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3930"/>
  </bookViews>
  <sheets>
    <sheet name="Acta Direcotrio" sheetId="20" r:id="rId1"/>
    <sheet name="Balance Gral." sheetId="4" r:id="rId2"/>
    <sheet name="Notas a los Estados Contables" sheetId="1" r:id="rId3"/>
    <sheet name="Flujo Efectivo " sheetId="5" r:id="rId4"/>
    <sheet name="Estado Variacion PN" sheetId="23" r:id="rId5"/>
    <sheet name="Anexo A" sheetId="9" r:id="rId6"/>
    <sheet name="Anexo B" sheetId="7" r:id="rId7"/>
    <sheet name="Anexo C" sheetId="8" r:id="rId8"/>
    <sheet name="Anexo D" sheetId="10" r:id="rId9"/>
    <sheet name="Anexo E" sheetId="11" r:id="rId10"/>
    <sheet name="Anexo F" sheetId="12" r:id="rId11"/>
    <sheet name="Anexo G" sheetId="13" r:id="rId12"/>
    <sheet name="Anexo H" sheetId="15" r:id="rId13"/>
    <sheet name="Anexo I" sheetId="16" r:id="rId14"/>
    <sheet name="Anexo J" sheetId="17" r:id="rId15"/>
  </sheets>
  <externalReferences>
    <externalReference r:id="rId16"/>
  </externalReferences>
  <definedNames>
    <definedName name="A_impresión_IM" localSheetId="0">#REF!</definedName>
    <definedName name="A_impresión_IM" localSheetId="12">#REF!</definedName>
    <definedName name="A_impresión_IM" localSheetId="1">'Balance Gral.'!$A$54:$H$93</definedName>
    <definedName name="A_impresión_IM" localSheetId="4">#REF!</definedName>
    <definedName name="A_impresión_IM">#REF!</definedName>
    <definedName name="_xlnm.Print_Area" localSheetId="5">'Anexo A'!$A$1:$M$62</definedName>
    <definedName name="_xlnm.Print_Area" localSheetId="7">'Anexo C'!$A$1:$M$39</definedName>
    <definedName name="_xlnm.Print_Area" localSheetId="9">'Anexo E'!$A$1:$G$44</definedName>
    <definedName name="_xlnm.Print_Area" localSheetId="12">'Anexo H'!$A$1:$H$88</definedName>
    <definedName name="_xlnm.Print_Area" localSheetId="13">'Anexo I'!$A$1:$E$46</definedName>
    <definedName name="_xlnm.Print_Area" localSheetId="14">'Anexo J'!$A$1:$J$52</definedName>
    <definedName name="_xlnm.Print_Area" localSheetId="1">'Balance Gral.'!$A$2:$H$285</definedName>
    <definedName name="_xlnm.Print_Area" localSheetId="4">'Estado Variacion PN'!$A$1:$I$29</definedName>
    <definedName name="_xlnm.Print_Area" localSheetId="3">'Flujo Efectivo '!$A$1:$G$49</definedName>
    <definedName name="_xlnm.Print_Area" localSheetId="2">'Notas a los Estados Contables'!$A$1:$E$959</definedName>
  </definedNames>
  <calcPr calcId="145621"/>
</workbook>
</file>

<file path=xl/calcChain.xml><?xml version="1.0" encoding="utf-8"?>
<calcChain xmlns="http://schemas.openxmlformats.org/spreadsheetml/2006/main">
  <c r="C23" i="16" l="1"/>
  <c r="E19" i="13"/>
  <c r="F50" i="13"/>
  <c r="F19" i="13"/>
  <c r="D26" i="12"/>
  <c r="D14" i="9" l="1"/>
  <c r="I14" i="9"/>
  <c r="C51" i="9"/>
  <c r="I20" i="23" l="1"/>
  <c r="H18" i="23"/>
  <c r="G18" i="23"/>
  <c r="F18" i="23"/>
  <c r="E18" i="23"/>
  <c r="D18" i="23"/>
  <c r="C18" i="23"/>
  <c r="B18" i="23"/>
  <c r="I16" i="23"/>
  <c r="I15" i="23"/>
  <c r="I14" i="23"/>
  <c r="I13" i="23"/>
  <c r="I12" i="23"/>
  <c r="I11" i="23"/>
  <c r="I9" i="23"/>
  <c r="I18" i="23" l="1"/>
  <c r="C931" i="1"/>
  <c r="D848" i="1"/>
  <c r="C848" i="1"/>
  <c r="E847" i="1"/>
  <c r="E848" i="1" l="1"/>
  <c r="C751" i="1"/>
  <c r="D719" i="1"/>
  <c r="C638" i="1"/>
  <c r="C633" i="1"/>
  <c r="C614" i="1"/>
  <c r="C596" i="1"/>
  <c r="D596" i="1"/>
  <c r="C540" i="1"/>
  <c r="C538" i="1"/>
  <c r="C537" i="1"/>
  <c r="D540" i="1"/>
  <c r="D538" i="1"/>
  <c r="D537" i="1"/>
  <c r="C450" i="1"/>
  <c r="C437" i="1"/>
  <c r="C427" i="1"/>
  <c r="D450" i="1"/>
  <c r="D437" i="1"/>
  <c r="D427" i="1"/>
  <c r="C247" i="4" l="1"/>
  <c r="C257" i="4"/>
  <c r="C258" i="4"/>
  <c r="C246" i="4"/>
  <c r="C255" i="4"/>
  <c r="C254" i="4"/>
  <c r="C240" i="4"/>
  <c r="C184" i="4" l="1"/>
  <c r="C125" i="4"/>
  <c r="C130" i="4"/>
  <c r="C122" i="4"/>
  <c r="C69" i="4"/>
  <c r="C68" i="4"/>
  <c r="C67" i="4"/>
  <c r="C64" i="4"/>
  <c r="C63" i="4"/>
  <c r="C37" i="4"/>
  <c r="C31" i="4"/>
  <c r="C30" i="4"/>
  <c r="C23" i="4"/>
  <c r="C21" i="4"/>
  <c r="C20" i="4"/>
  <c r="C18" i="4"/>
  <c r="C14" i="4"/>
  <c r="C11" i="4"/>
  <c r="E267" i="4"/>
  <c r="E258" i="4"/>
  <c r="E257" i="4"/>
  <c r="E255" i="4"/>
  <c r="E254" i="4"/>
  <c r="E259" i="4" s="1"/>
  <c r="E248" i="4"/>
  <c r="E240" i="4"/>
  <c r="E244" i="4" s="1"/>
  <c r="E185" i="4"/>
  <c r="E183" i="4"/>
  <c r="E173" i="4"/>
  <c r="E169" i="4"/>
  <c r="E165" i="4"/>
  <c r="E140" i="4"/>
  <c r="E141" i="4" s="1"/>
  <c r="E130" i="4"/>
  <c r="E129" i="4"/>
  <c r="E125" i="4"/>
  <c r="E122" i="4"/>
  <c r="E132" i="4" s="1"/>
  <c r="E75" i="4"/>
  <c r="E69" i="4"/>
  <c r="E68" i="4"/>
  <c r="E70" i="4" s="1"/>
  <c r="E67" i="4"/>
  <c r="E65" i="4"/>
  <c r="E63" i="4"/>
  <c r="E37" i="4"/>
  <c r="E38" i="4" s="1"/>
  <c r="E31" i="4"/>
  <c r="E30" i="4"/>
  <c r="E32" i="4" s="1"/>
  <c r="E23" i="4"/>
  <c r="E21" i="4"/>
  <c r="E20" i="4"/>
  <c r="E18" i="4"/>
  <c r="E17" i="4"/>
  <c r="E16" i="4"/>
  <c r="E14" i="4"/>
  <c r="E11" i="4"/>
  <c r="E12" i="4" s="1"/>
  <c r="E25" i="4" l="1"/>
  <c r="E249" i="4"/>
  <c r="E268" i="4" s="1"/>
  <c r="E270" i="4" s="1"/>
  <c r="E272" i="4" s="1"/>
  <c r="E175" i="4"/>
  <c r="E144" i="4"/>
  <c r="E177" i="4" s="1"/>
  <c r="E77" i="4"/>
  <c r="E40" i="4"/>
  <c r="C616" i="1"/>
  <c r="D618" i="1" s="1"/>
  <c r="D620" i="1"/>
  <c r="E79" i="4" l="1"/>
  <c r="H74" i="15" l="1"/>
  <c r="D639" i="1" l="1"/>
  <c r="D868" i="1" l="1"/>
  <c r="C868" i="1"/>
  <c r="B739" i="1"/>
  <c r="C739" i="1"/>
  <c r="D732" i="1"/>
  <c r="E732" i="1" s="1"/>
  <c r="E739" i="1" s="1"/>
  <c r="D733" i="1"/>
  <c r="D734" i="1"/>
  <c r="D735" i="1"/>
  <c r="D736" i="1"/>
  <c r="D737" i="1"/>
  <c r="D738" i="1"/>
  <c r="D544" i="1"/>
  <c r="C397" i="1"/>
  <c r="C368" i="1"/>
  <c r="D783" i="1"/>
  <c r="D757" i="1"/>
  <c r="D674" i="1"/>
  <c r="D665" i="1"/>
  <c r="D659" i="1"/>
  <c r="D602" i="1"/>
  <c r="D598" i="1"/>
  <c r="D594" i="1"/>
  <c r="D520" i="1"/>
  <c r="D516" i="1"/>
  <c r="D507" i="1"/>
  <c r="D503" i="1"/>
  <c r="D479" i="1"/>
  <c r="D483" i="1"/>
  <c r="D423" i="1"/>
  <c r="C544" i="1" l="1"/>
  <c r="D739" i="1"/>
  <c r="D509" i="1"/>
  <c r="D676" i="1"/>
  <c r="D522" i="1"/>
  <c r="D604" i="1"/>
  <c r="D485" i="1"/>
  <c r="C183" i="4"/>
  <c r="C17" i="4"/>
  <c r="C16" i="4"/>
  <c r="A139" i="4"/>
  <c r="C65" i="4"/>
  <c r="C75" i="4"/>
  <c r="C70" i="4" l="1"/>
  <c r="C77" i="4" s="1"/>
  <c r="A45" i="17" l="1"/>
  <c r="B45" i="16"/>
  <c r="A87" i="15"/>
  <c r="G75" i="15"/>
  <c r="F74" i="15"/>
  <c r="E74" i="15"/>
  <c r="D74" i="15"/>
  <c r="C74" i="15"/>
  <c r="B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A2" i="15"/>
  <c r="A65" i="13"/>
  <c r="D54" i="13"/>
  <c r="F52" i="13"/>
  <c r="C51" i="13"/>
  <c r="E52" i="13"/>
  <c r="C49" i="13"/>
  <c r="C48" i="13"/>
  <c r="F44" i="13"/>
  <c r="E44" i="13"/>
  <c r="D44" i="13"/>
  <c r="C43" i="13"/>
  <c r="C42" i="13"/>
  <c r="C41" i="13"/>
  <c r="C40" i="13"/>
  <c r="C39" i="13"/>
  <c r="C38" i="13"/>
  <c r="C37" i="13"/>
  <c r="C36" i="13"/>
  <c r="F29" i="13"/>
  <c r="E29" i="13"/>
  <c r="C27" i="13"/>
  <c r="C29" i="13" s="1"/>
  <c r="F24" i="13"/>
  <c r="E24" i="13"/>
  <c r="E31" i="13" s="1"/>
  <c r="D24" i="13"/>
  <c r="D29" i="13" s="1"/>
  <c r="D31" i="13" s="1"/>
  <c r="C22" i="13"/>
  <c r="C21" i="13"/>
  <c r="C20" i="13"/>
  <c r="C19" i="13"/>
  <c r="C18" i="13"/>
  <c r="A3" i="13"/>
  <c r="A56" i="12"/>
  <c r="E44" i="12"/>
  <c r="C44" i="12"/>
  <c r="F41" i="12"/>
  <c r="G41" i="12" s="1"/>
  <c r="B26" i="12"/>
  <c r="A4" i="12"/>
  <c r="E36" i="11"/>
  <c r="D28" i="11"/>
  <c r="C28" i="11"/>
  <c r="B28" i="11"/>
  <c r="F24" i="11"/>
  <c r="F28" i="11" s="1"/>
  <c r="E21" i="11"/>
  <c r="D21" i="11"/>
  <c r="C21" i="11"/>
  <c r="B21" i="11"/>
  <c r="F17" i="11"/>
  <c r="F21" i="11" s="1"/>
  <c r="A4" i="11"/>
  <c r="A40" i="10"/>
  <c r="D34" i="10"/>
  <c r="A34" i="10"/>
  <c r="A4" i="10"/>
  <c r="K51" i="9"/>
  <c r="J51" i="9"/>
  <c r="H51" i="9"/>
  <c r="F51" i="9"/>
  <c r="E51" i="9"/>
  <c r="L48" i="9"/>
  <c r="L51" i="9" s="1"/>
  <c r="G48" i="9"/>
  <c r="L47" i="9"/>
  <c r="G47" i="9"/>
  <c r="L46" i="9"/>
  <c r="G46" i="9"/>
  <c r="L45" i="9"/>
  <c r="L44" i="9"/>
  <c r="G44" i="9"/>
  <c r="L42" i="9"/>
  <c r="G42" i="9"/>
  <c r="M42" i="9" s="1"/>
  <c r="M41" i="9"/>
  <c r="L40" i="9"/>
  <c r="G40" i="9"/>
  <c r="L39" i="9"/>
  <c r="G39" i="9"/>
  <c r="L38" i="9"/>
  <c r="G38" i="9"/>
  <c r="L37" i="9"/>
  <c r="G37" i="9"/>
  <c r="L36" i="9"/>
  <c r="G36" i="9"/>
  <c r="L35" i="9"/>
  <c r="G35" i="9"/>
  <c r="M35" i="9" s="1"/>
  <c r="L34" i="9"/>
  <c r="G34" i="9"/>
  <c r="L33" i="9"/>
  <c r="L32" i="9"/>
  <c r="G32" i="9"/>
  <c r="L31" i="9"/>
  <c r="L30" i="9"/>
  <c r="G30" i="9"/>
  <c r="L29" i="9"/>
  <c r="L28" i="9"/>
  <c r="G28" i="9"/>
  <c r="L27" i="9"/>
  <c r="L26" i="9"/>
  <c r="G26" i="9"/>
  <c r="L25" i="9"/>
  <c r="L24" i="9"/>
  <c r="G24" i="9"/>
  <c r="L23" i="9"/>
  <c r="L22" i="9"/>
  <c r="G22" i="9"/>
  <c r="L21" i="9"/>
  <c r="G21" i="9"/>
  <c r="L20" i="9"/>
  <c r="G20" i="9"/>
  <c r="L19" i="9"/>
  <c r="L18" i="9"/>
  <c r="G18" i="9"/>
  <c r="L17" i="9"/>
  <c r="L16" i="9"/>
  <c r="G16" i="9"/>
  <c r="L15" i="9"/>
  <c r="L14" i="9"/>
  <c r="G14" i="9"/>
  <c r="D51" i="9"/>
  <c r="G12" i="9"/>
  <c r="M12" i="9" s="1"/>
  <c r="I22" i="7"/>
  <c r="H22" i="7"/>
  <c r="G22" i="7"/>
  <c r="E22" i="7"/>
  <c r="D22" i="7"/>
  <c r="C22" i="7"/>
  <c r="J18" i="7"/>
  <c r="J22" i="7" s="1"/>
  <c r="F18" i="7"/>
  <c r="F22" i="7" s="1"/>
  <c r="C267" i="4"/>
  <c r="C259" i="4"/>
  <c r="C248" i="4"/>
  <c r="C244" i="4"/>
  <c r="G212" i="4"/>
  <c r="E212" i="4"/>
  <c r="C185" i="4"/>
  <c r="K173" i="4"/>
  <c r="I173" i="4"/>
  <c r="C173" i="4"/>
  <c r="O173" i="4"/>
  <c r="M173" i="4"/>
  <c r="O172" i="4"/>
  <c r="M172" i="4"/>
  <c r="K169" i="4"/>
  <c r="I169" i="4"/>
  <c r="C169" i="4"/>
  <c r="O168" i="4"/>
  <c r="O169" i="4" s="1"/>
  <c r="M168" i="4"/>
  <c r="M169" i="4" s="1"/>
  <c r="K165" i="4"/>
  <c r="I165" i="4"/>
  <c r="C165" i="4"/>
  <c r="O164" i="4"/>
  <c r="O165" i="4" s="1"/>
  <c r="M164" i="4"/>
  <c r="M165" i="4" s="1"/>
  <c r="O141" i="4"/>
  <c r="K141" i="4"/>
  <c r="I141" i="4"/>
  <c r="C141" i="4"/>
  <c r="M139" i="4"/>
  <c r="M138" i="4"/>
  <c r="K132" i="4"/>
  <c r="I132" i="4"/>
  <c r="O131" i="4"/>
  <c r="M131" i="4"/>
  <c r="O130" i="4"/>
  <c r="M130" i="4"/>
  <c r="O129" i="4"/>
  <c r="M129" i="4"/>
  <c r="O127" i="4"/>
  <c r="M127" i="4"/>
  <c r="O125" i="4"/>
  <c r="M125" i="4"/>
  <c r="O123" i="4"/>
  <c r="O122" i="4"/>
  <c r="M122" i="4"/>
  <c r="O121" i="4"/>
  <c r="M121" i="4"/>
  <c r="K70" i="4"/>
  <c r="I70" i="4"/>
  <c r="M69" i="4"/>
  <c r="O68" i="4"/>
  <c r="M68" i="4"/>
  <c r="O67" i="4"/>
  <c r="O70" i="4" s="1"/>
  <c r="M67" i="4"/>
  <c r="K65" i="4"/>
  <c r="I65" i="4"/>
  <c r="O64" i="4"/>
  <c r="M64" i="4"/>
  <c r="O63" i="4"/>
  <c r="M63" i="4"/>
  <c r="A55" i="4"/>
  <c r="A113" i="4" s="1"/>
  <c r="A158" i="4" s="1"/>
  <c r="K38" i="4"/>
  <c r="I38" i="4"/>
  <c r="O37" i="4"/>
  <c r="M37" i="4"/>
  <c r="C38" i="4"/>
  <c r="O35" i="4"/>
  <c r="M35" i="4"/>
  <c r="O34" i="4"/>
  <c r="M34" i="4"/>
  <c r="K32" i="4"/>
  <c r="I32" i="4"/>
  <c r="O31" i="4"/>
  <c r="M31" i="4"/>
  <c r="O30" i="4"/>
  <c r="M30" i="4"/>
  <c r="C32" i="4"/>
  <c r="O29" i="4"/>
  <c r="M29" i="4"/>
  <c r="O28" i="4"/>
  <c r="M28" i="4"/>
  <c r="O27" i="4"/>
  <c r="M27" i="4"/>
  <c r="K25" i="4"/>
  <c r="I25" i="4"/>
  <c r="O24" i="4"/>
  <c r="M24" i="4"/>
  <c r="O21" i="4"/>
  <c r="M21" i="4"/>
  <c r="O19" i="4"/>
  <c r="M19" i="4"/>
  <c r="O18" i="4"/>
  <c r="M18" i="4"/>
  <c r="O16" i="4"/>
  <c r="M16" i="4"/>
  <c r="O14" i="4"/>
  <c r="M14" i="4"/>
  <c r="K12" i="4"/>
  <c r="I12" i="4"/>
  <c r="O11" i="4"/>
  <c r="O12" i="4" s="1"/>
  <c r="M11" i="4"/>
  <c r="M12" i="4" s="1"/>
  <c r="C12" i="4"/>
  <c r="D931" i="1"/>
  <c r="E930" i="1"/>
  <c r="E929" i="1"/>
  <c r="D876" i="1"/>
  <c r="C876" i="1"/>
  <c r="D898" i="1"/>
  <c r="E898" i="1"/>
  <c r="E846" i="1"/>
  <c r="E844" i="1"/>
  <c r="E845" i="1"/>
  <c r="E931" i="1" l="1"/>
  <c r="G74" i="15"/>
  <c r="M18" i="9"/>
  <c r="M36" i="9"/>
  <c r="K175" i="4"/>
  <c r="C24" i="13"/>
  <c r="C31" i="13" s="1"/>
  <c r="C44" i="13"/>
  <c r="F54" i="13"/>
  <c r="E54" i="13"/>
  <c r="F31" i="13"/>
  <c r="M32" i="9"/>
  <c r="M20" i="9"/>
  <c r="M28" i="9"/>
  <c r="M34" i="9"/>
  <c r="M39" i="9"/>
  <c r="M47" i="9"/>
  <c r="M14" i="9"/>
  <c r="M26" i="9"/>
  <c r="M38" i="9"/>
  <c r="M46" i="9"/>
  <c r="M48" i="9"/>
  <c r="M40" i="9"/>
  <c r="M37" i="9"/>
  <c r="M44" i="9"/>
  <c r="M30" i="9"/>
  <c r="M22" i="9"/>
  <c r="M16" i="9"/>
  <c r="C175" i="4"/>
  <c r="O132" i="4"/>
  <c r="O144" i="4" s="1"/>
  <c r="I77" i="4"/>
  <c r="I144" i="4"/>
  <c r="O65" i="4"/>
  <c r="M175" i="4"/>
  <c r="K77" i="4"/>
  <c r="I40" i="4"/>
  <c r="K40" i="4"/>
  <c r="K79" i="4" s="1"/>
  <c r="C25" i="4"/>
  <c r="C40" i="4" s="1"/>
  <c r="O32" i="4"/>
  <c r="O38" i="4"/>
  <c r="M141" i="4"/>
  <c r="M32" i="4"/>
  <c r="M38" i="4"/>
  <c r="M65" i="4"/>
  <c r="M70" i="4"/>
  <c r="M25" i="4"/>
  <c r="O25" i="4"/>
  <c r="M132" i="4"/>
  <c r="K144" i="4"/>
  <c r="I175" i="4"/>
  <c r="I177" i="4" s="1"/>
  <c r="C50" i="13"/>
  <c r="C52" i="13" s="1"/>
  <c r="F45" i="12"/>
  <c r="F48" i="12" s="1"/>
  <c r="M24" i="9"/>
  <c r="G51" i="9"/>
  <c r="I51" i="9"/>
  <c r="P50" i="9"/>
  <c r="Q50" i="9" s="1"/>
  <c r="K18" i="7"/>
  <c r="K22" i="7" s="1"/>
  <c r="R239" i="4"/>
  <c r="C249" i="4"/>
  <c r="C268" i="4" s="1"/>
  <c r="O175" i="4"/>
  <c r="O77" i="4"/>
  <c r="C132" i="4"/>
  <c r="R240" i="4"/>
  <c r="D793" i="1"/>
  <c r="C793" i="1"/>
  <c r="C783" i="1"/>
  <c r="D754" i="1"/>
  <c r="D758" i="1" s="1"/>
  <c r="C757" i="1"/>
  <c r="C754" i="1"/>
  <c r="C723" i="1"/>
  <c r="D723" i="1"/>
  <c r="C691" i="1"/>
  <c r="D691" i="1"/>
  <c r="C659" i="1"/>
  <c r="C674" i="1"/>
  <c r="C665" i="1"/>
  <c r="C639" i="1"/>
  <c r="D616" i="1"/>
  <c r="D619" i="1" s="1"/>
  <c r="C54" i="13" l="1"/>
  <c r="C758" i="1"/>
  <c r="K177" i="4"/>
  <c r="O40" i="4"/>
  <c r="O79" i="4" s="1"/>
  <c r="M40" i="4"/>
  <c r="C79" i="4"/>
  <c r="M51" i="9"/>
  <c r="K212" i="4"/>
  <c r="O177" i="4"/>
  <c r="I79" i="4"/>
  <c r="M144" i="4"/>
  <c r="M177" i="4" s="1"/>
  <c r="M77" i="4"/>
  <c r="I212" i="4"/>
  <c r="C144" i="4"/>
  <c r="C270" i="4"/>
  <c r="C676" i="1"/>
  <c r="C598" i="1"/>
  <c r="C602" i="1"/>
  <c r="C594" i="1"/>
  <c r="C520" i="1"/>
  <c r="C516" i="1"/>
  <c r="C507" i="1"/>
  <c r="C503" i="1"/>
  <c r="D495" i="1"/>
  <c r="C495" i="1"/>
  <c r="D492" i="1"/>
  <c r="C492" i="1"/>
  <c r="C479" i="1"/>
  <c r="C483" i="1"/>
  <c r="C451" i="1"/>
  <c r="D441" i="1"/>
  <c r="C441" i="1"/>
  <c r="D433" i="1"/>
  <c r="C423" i="1"/>
  <c r="D451" i="1"/>
  <c r="D447" i="1"/>
  <c r="C447" i="1"/>
  <c r="D397" i="1"/>
  <c r="D347" i="1"/>
  <c r="C347" i="1"/>
  <c r="C344" i="1"/>
  <c r="D344" i="1"/>
  <c r="D326" i="1"/>
  <c r="C326" i="1"/>
  <c r="M79" i="4" l="1"/>
  <c r="M212" i="4" s="1"/>
  <c r="D497" i="1"/>
  <c r="O212" i="4"/>
  <c r="C177" i="4"/>
  <c r="C272" i="4"/>
  <c r="C604" i="1"/>
  <c r="C522" i="1"/>
  <c r="C497" i="1"/>
  <c r="C509" i="1"/>
  <c r="D452" i="1"/>
  <c r="C433" i="1"/>
  <c r="C452" i="1" s="1"/>
  <c r="C485" i="1"/>
  <c r="C349" i="1"/>
  <c r="D349" i="1"/>
  <c r="D380" i="1"/>
  <c r="C380" i="1"/>
  <c r="C212" i="4" l="1"/>
  <c r="D368" i="1"/>
</calcChain>
</file>

<file path=xl/sharedStrings.xml><?xml version="1.0" encoding="utf-8"?>
<sst xmlns="http://schemas.openxmlformats.org/spreadsheetml/2006/main" count="1459" uniqueCount="1151">
  <si>
    <t xml:space="preserve">     Fondo Fijo - Planta San Antonio</t>
  </si>
  <si>
    <t xml:space="preserve">     Fondo Fijo – Artigas</t>
  </si>
  <si>
    <t xml:space="preserve">     Fondo Fijo - Oficina Central</t>
  </si>
  <si>
    <t xml:space="preserve">     Fondo Fijo -  EESS Von Polesky</t>
  </si>
  <si>
    <t>Total en Fondo Fijo (a)</t>
  </si>
  <si>
    <t xml:space="preserve">     Banco de la Nación Argentina</t>
  </si>
  <si>
    <t xml:space="preserve">     Banco Itau S.A.  – US$ Cta. Bonos</t>
  </si>
  <si>
    <t xml:space="preserve">     Banco Itau S.A.  – Gs.  Cta. Bonos </t>
  </si>
  <si>
    <t xml:space="preserve">     Banco Regional US$</t>
  </si>
  <si>
    <t xml:space="preserve">     BBVA US$</t>
  </si>
  <si>
    <t xml:space="preserve">     Banco Amambay S.A.</t>
  </si>
  <si>
    <t xml:space="preserve">     Bancop S.A.</t>
  </si>
  <si>
    <t>Total en Bancos (b)</t>
  </si>
  <si>
    <t>Total Recaudaciones a Depositar (c)</t>
  </si>
  <si>
    <t xml:space="preserve">Total Disponible (a) + (b) + (c) </t>
  </si>
  <si>
    <t xml:space="preserve">   </t>
  </si>
  <si>
    <t>Acaray Gas S.R.L.</t>
  </si>
  <si>
    <t>Yacyreta Gas S.R.L.</t>
  </si>
  <si>
    <t>Deudores Accionistas</t>
  </si>
  <si>
    <t>Clientes Varios</t>
  </si>
  <si>
    <t>Total Deudores por ventas</t>
  </si>
  <si>
    <t xml:space="preserve">Cheques Rechazados </t>
  </si>
  <si>
    <t>Cheques de cobro diferido</t>
  </si>
  <si>
    <t>Total Documentos a Cobrar</t>
  </si>
  <si>
    <t>Previsión Acum. Cheques Rechazados – Anexo E</t>
  </si>
  <si>
    <t xml:space="preserve">Y.P.F. Repsol </t>
  </si>
  <si>
    <t>Refinor S.A.</t>
  </si>
  <si>
    <t>Axion Argentina</t>
  </si>
  <si>
    <t>Y.P.F.B.</t>
  </si>
  <si>
    <t xml:space="preserve">Total Anticipos </t>
  </si>
  <si>
    <t>Gas Licuado de Petróleo</t>
  </si>
  <si>
    <t>Total GLP (a)</t>
  </si>
  <si>
    <t>Total Estaciones de Servicios (b)</t>
  </si>
  <si>
    <t>Envases para Gas Licuado de Petróleo</t>
  </si>
  <si>
    <t xml:space="preserve">    Garrafas Vacías</t>
  </si>
  <si>
    <t xml:space="preserve">    Generadores a Gas</t>
  </si>
  <si>
    <t xml:space="preserve">    Tanques para Uso Industrial</t>
  </si>
  <si>
    <t xml:space="preserve">    Calefones a Gas</t>
  </si>
  <si>
    <t>Total Envases (c)</t>
  </si>
  <si>
    <t xml:space="preserve">    Banco Regional</t>
  </si>
  <si>
    <t xml:space="preserve">    Total (a)</t>
  </si>
  <si>
    <r>
      <t xml:space="preserve">     </t>
    </r>
    <r>
      <rPr>
        <sz val="10"/>
        <color theme="1"/>
        <rFont val="Book Antiqua"/>
        <family val="1"/>
      </rPr>
      <t xml:space="preserve">Intereses a Vencer – Gs. </t>
    </r>
  </si>
  <si>
    <r>
      <t xml:space="preserve">     </t>
    </r>
    <r>
      <rPr>
        <sz val="10"/>
        <color theme="1"/>
        <rFont val="Book Antiqua"/>
        <family val="1"/>
      </rPr>
      <t>Intereses a Vencer – US$</t>
    </r>
  </si>
  <si>
    <t xml:space="preserve">     Total (b)</t>
  </si>
  <si>
    <t xml:space="preserve"> Total (d)</t>
  </si>
  <si>
    <t xml:space="preserve">  </t>
  </si>
  <si>
    <r>
      <t xml:space="preserve">     </t>
    </r>
    <r>
      <rPr>
        <sz val="10"/>
        <color theme="1"/>
        <rFont val="Book Antiqua"/>
        <family val="1"/>
      </rPr>
      <t xml:space="preserve">Intereses a Pagar – Gs. </t>
    </r>
  </si>
  <si>
    <r>
      <t xml:space="preserve">     </t>
    </r>
    <r>
      <rPr>
        <sz val="10"/>
        <color theme="1"/>
        <rFont val="Book Antiqua"/>
        <family val="1"/>
      </rPr>
      <t>Intereses a Pagar – US$</t>
    </r>
  </si>
  <si>
    <t>Varios</t>
  </si>
  <si>
    <t xml:space="preserve">    Impresos y Útiles</t>
  </si>
  <si>
    <t xml:space="preserve">    Insumos para garrafas</t>
  </si>
  <si>
    <t xml:space="preserve">    Repuestos</t>
  </si>
  <si>
    <t xml:space="preserve">    Materiales Varios</t>
  </si>
  <si>
    <t xml:space="preserve">    Lubricantes</t>
  </si>
  <si>
    <t>Total Varios</t>
  </si>
  <si>
    <t>Mejoras en propiedades de terceros</t>
  </si>
  <si>
    <t>Amortización Acumulada</t>
  </si>
  <si>
    <t>Valor neto Mejoras (a)</t>
  </si>
  <si>
    <t>Contratos Distribuidores</t>
  </si>
  <si>
    <t>Amortización Contratos</t>
  </si>
  <si>
    <t>Valor neto contratos (b)</t>
  </si>
  <si>
    <t>Mantenimiento Garrafas</t>
  </si>
  <si>
    <t>Amortización Mantenimiento</t>
  </si>
  <si>
    <t>Valor neto Mantenimiento (c)</t>
  </si>
  <si>
    <t>TOTAL CARGOS DIFERIDOS (a+b+c)</t>
  </si>
  <si>
    <t>YPF Argentina</t>
  </si>
  <si>
    <t>Total Proveedores del Exterior</t>
  </si>
  <si>
    <t>Regional</t>
  </si>
  <si>
    <t>Banco Itau S.A.</t>
  </si>
  <si>
    <t>Banco Continental S.A.</t>
  </si>
  <si>
    <t>Banco Regional S.A. – Gs.</t>
  </si>
  <si>
    <t>Proveedores Locales</t>
  </si>
  <si>
    <t>TLP S.A.</t>
  </si>
  <si>
    <t xml:space="preserve">Proveedores Varios </t>
  </si>
  <si>
    <t>Copetrol</t>
  </si>
  <si>
    <t>Total Proveedores Locales</t>
  </si>
  <si>
    <t>SERIES</t>
  </si>
  <si>
    <t>Corto plazo</t>
  </si>
  <si>
    <t>Largo Plazo</t>
  </si>
  <si>
    <t>TOTAL</t>
  </si>
  <si>
    <t>Serie 11</t>
  </si>
  <si>
    <t>Serie 12</t>
  </si>
  <si>
    <t>Serie 13</t>
  </si>
  <si>
    <t>Serie 14</t>
  </si>
  <si>
    <t>Serie 15</t>
  </si>
  <si>
    <t>Serie 16</t>
  </si>
  <si>
    <t>Serie 17</t>
  </si>
  <si>
    <t>Sueldos y Jornales</t>
  </si>
  <si>
    <t>Vacaciones</t>
  </si>
  <si>
    <t xml:space="preserve">Aporte Obrero y Patronal </t>
  </si>
  <si>
    <t>Provisión Varias</t>
  </si>
  <si>
    <t xml:space="preserve">Secciones </t>
  </si>
  <si>
    <t>Equipos Electrónicos</t>
  </si>
  <si>
    <t>Rodados</t>
  </si>
  <si>
    <t>Incendios</t>
  </si>
  <si>
    <t>Valores</t>
  </si>
  <si>
    <t>Vida colectivo</t>
  </si>
  <si>
    <t>Barcaza</t>
  </si>
  <si>
    <t>Total Cuentas de Orden Deudoras y Acreedoras</t>
  </si>
  <si>
    <t>Entidad Financiera</t>
  </si>
  <si>
    <t>Banco Continental  S.A.E.C.A</t>
  </si>
  <si>
    <t>Financiera Rio</t>
  </si>
  <si>
    <t>Tipo de Garantía</t>
  </si>
  <si>
    <t>Prendaria</t>
  </si>
  <si>
    <t>Nelson Gonzalez</t>
  </si>
  <si>
    <t>Hipotecaria</t>
  </si>
  <si>
    <t>De las Nieves S.A.C.I.</t>
  </si>
  <si>
    <t>Berestovoy S.R.L.</t>
  </si>
  <si>
    <t>Seguro de caución</t>
  </si>
  <si>
    <t>Bortolini y Cia. S.A.</t>
  </si>
  <si>
    <t>Milcíades Vera López</t>
  </si>
  <si>
    <t>Ricardo Scavenius</t>
  </si>
  <si>
    <t>Sabino Sosa</t>
  </si>
  <si>
    <t>Miguel Angel Acosta</t>
  </si>
  <si>
    <t>Ysapy Paraguay S.A.</t>
  </si>
  <si>
    <t>Primitivo Vera</t>
  </si>
  <si>
    <t>Cliente</t>
  </si>
  <si>
    <t>David Palacios</t>
  </si>
  <si>
    <t>EESS Corona Independencia</t>
  </si>
  <si>
    <t>Guavira Poty (Nelpar S.A.)</t>
  </si>
  <si>
    <t>Jose Hrycan</t>
  </si>
  <si>
    <t>De Las Nieves SACI</t>
  </si>
  <si>
    <t xml:space="preserve">Olga de Villalba </t>
  </si>
  <si>
    <t>RR Transportes</t>
  </si>
  <si>
    <t>Andrés Jara Benítez</t>
  </si>
  <si>
    <t>Sergio Sánchez</t>
  </si>
  <si>
    <t>Graciela López Torres</t>
  </si>
  <si>
    <t xml:space="preserve">Varios </t>
  </si>
  <si>
    <t>Previsión
 Acumulada</t>
  </si>
  <si>
    <t>Débitos (A)</t>
  </si>
  <si>
    <t>Créditos (B)</t>
  </si>
  <si>
    <t>Totales</t>
  </si>
  <si>
    <t>Notas a los Estados Contables</t>
  </si>
  <si>
    <t xml:space="preserve">Las modificaciones del Estatuto Social han sido las siguientes: </t>
  </si>
  <si>
    <r>
      <t>Gas Corona Sociedad Anónima</t>
    </r>
    <r>
      <rPr>
        <sz val="12"/>
        <color theme="1"/>
        <rFont val="Book Antiqua"/>
        <family val="1"/>
      </rPr>
      <t xml:space="preserve"> fue constituido por Escritura Pública Nº 71  </t>
    </r>
  </si>
  <si>
    <t xml:space="preserve">de fecha 4 de agosto de 1971, pasada ante el Escribano Don José Livio </t>
  </si>
  <si>
    <t xml:space="preserve">Lezcano. Sus Estatutos Sociales fueron aprobados y reconocida su Personería </t>
  </si>
  <si>
    <t xml:space="preserve">Jurídica por Decreto del Poder Ejecutivo de la Nación Nº 22.810 de fecha 10 </t>
  </si>
  <si>
    <t xml:space="preserve">de noviembre  de 1971 e inscripto en el Registro Público de Comercio bajo el </t>
  </si>
  <si>
    <t>Nº 549, página 137 y siguientes, de fecha 25 de noviembre de 1971.</t>
  </si>
  <si>
    <r>
      <t>1.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El Ente.</t>
    </r>
  </si>
  <si>
    <r>
      <t xml:space="preserve">Primera Modificación de los Estatutos Sociales: </t>
    </r>
    <r>
      <rPr>
        <sz val="12"/>
        <color theme="1"/>
        <rFont val="Book Antiqua"/>
        <family val="1"/>
      </rPr>
      <t xml:space="preserve">Por aumento de capital, </t>
    </r>
  </si>
  <si>
    <t xml:space="preserve"> 1975 e inscripta en el Registro Público de Comercio, bajo el número 171, de </t>
  </si>
  <si>
    <t>según Decreto del Poder Ejecutivo de la Nación Nº 14.778 del 9 de mayo de</t>
  </si>
  <si>
    <t xml:space="preserve">fecha 25 de Mayo de 1975, conforme en la Escritura Pública Nº 69 </t>
  </si>
  <si>
    <t xml:space="preserve">protocolizada ante el Escribano Gervasio Recalde, en fecha 18 de marzo de </t>
  </si>
  <si>
    <t xml:space="preserve">1975. </t>
  </si>
  <si>
    <r>
      <t>Segunda Modificación de los Estatutos Sociales:</t>
    </r>
    <r>
      <rPr>
        <sz val="12"/>
        <color theme="1"/>
        <rFont val="Book Antiqua"/>
        <family val="1"/>
      </rPr>
      <t xml:space="preserve"> Por aumento de Capital, </t>
    </r>
  </si>
  <si>
    <t xml:space="preserve">Escritura Pública Nº 14 de fecha 4 de setiembre de 1986, autorizada por el </t>
  </si>
  <si>
    <t xml:space="preserve">Escribano Público Octavio Godoy Cáceres aprobada por Decreto del Poder </t>
  </si>
  <si>
    <t xml:space="preserve">Ejecutivo Nº 18.996 de fecha 29 de diciembre de1986 e inscripta en el Registro </t>
  </si>
  <si>
    <t xml:space="preserve">Público de Comercio, bajo el Nº 114, de fecha 4 de setiembre de 1986. </t>
  </si>
  <si>
    <r>
      <t xml:space="preserve">Tercera Modificación de los Estatutos Sociales: </t>
    </r>
    <r>
      <rPr>
        <sz val="12"/>
        <color theme="1"/>
        <rFont val="Book Antiqua"/>
        <family val="1"/>
      </rPr>
      <t xml:space="preserve">Por Escritura Pública Nº 295 </t>
    </r>
  </si>
  <si>
    <t xml:space="preserve">de fecha 3 de octubre de 1996 autorizada por la Escribana Pública Carmen </t>
  </si>
  <si>
    <t xml:space="preserve">Estigarribia de Fassanello. Inscripta en el Registro de Personas Jurídicas y </t>
  </si>
  <si>
    <t xml:space="preserve">Asociaciones, bajo el Nº 648 y en el folio 6948, Serie B, en fecha 21 de </t>
  </si>
  <si>
    <t xml:space="preserve">noviembre de 1996, y en Registro Público de Comercio con el Nº 896 – Serie </t>
  </si>
  <si>
    <t xml:space="preserve">C – Folio 8240 del 25 de Noviembre de 1996. </t>
  </si>
  <si>
    <r>
      <t xml:space="preserve">Cuarta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</si>
  <si>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 por Escritura Pública Nº 19 del 10 </t>
  </si>
  <si>
    <t xml:space="preserve">de setiembre de 2003 ante la Escribana Carmen Estigarribia de Fassanello e </t>
  </si>
  <si>
    <t xml:space="preserve">inscripto en el Registro de Personas Jurídicas y Asociaciones con el Nº 537 – </t>
  </si>
  <si>
    <t xml:space="preserve">Folio 5492 y siguientes -  Serie D del 4 de noviembre de 2003 y en el Registro </t>
  </si>
  <si>
    <t xml:space="preserve">Público de Comercio con el Nº 435 – Folio 435 – Folio 4356 y siguientes Serie </t>
  </si>
  <si>
    <t xml:space="preserve">C el 6 de noviembre de 2003. </t>
  </si>
  <si>
    <r>
      <t xml:space="preserve">Quinta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</si>
  <si>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>Capital y transformación de la firma Gas Corona S.A, en Emisora de Capital</t>
  </si>
  <si>
    <t xml:space="preserve">Abierto por Escritura Pública Nº 10 de fecha 27 de mayo de 2005 ante la </t>
  </si>
  <si>
    <t xml:space="preserve">Escribana Carmen Estigarribia de Fassanello e inscripto en el Registro de </t>
  </si>
  <si>
    <t xml:space="preserve">Personas Jurídicas y Asociaciones con el Nº 225 – Folio 2995 y siguientes – </t>
  </si>
  <si>
    <t xml:space="preserve">Serie A el 26 de julio de 2005 y en el Registro Público de Comercio con el Nº </t>
  </si>
  <si>
    <t xml:space="preserve">241 – Folio 3552 y siguientes – Serie A el 26 de julio de  2005. </t>
  </si>
  <si>
    <r>
      <t xml:space="preserve">Sexta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</si>
  <si>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Capital Social de la firma Gas Corona S.A.E.C.A. por Escritura Pública Nº 84 </t>
  </si>
  <si>
    <t xml:space="preserve">del 14 de junio de 2007 ante la Escribana Carmen Estigarribia de Fassanello e </t>
  </si>
  <si>
    <t xml:space="preserve">inscripto en el Registro de Personas Jurídicas y Asociaciones con el Nº 283 – </t>
  </si>
  <si>
    <t>Folio 3239 y siguientes -  Serie A del 4 de setiembre de 2007 y en el Registro</t>
  </si>
  <si>
    <t>Público de Comercio con el Nº 544 - Folio 5648 y siguientes Serie A del 4 de</t>
  </si>
  <si>
    <t xml:space="preserve">setiembre de 2007. Escritura de Emisión de Acciones dentro del Capital </t>
  </si>
  <si>
    <t xml:space="preserve">Social de la firma Gas Corona S.A.E.C.A. por Escritura Pública Nº 85 del 14 </t>
  </si>
  <si>
    <t xml:space="preserve">de junio de 2007 ante la Escribana Carmen Estigarribia de Fassanello e </t>
  </si>
  <si>
    <t xml:space="preserve">inscripto en el Registro Público de Comercio con el Nº 325 - Folio 5233 y </t>
  </si>
  <si>
    <t xml:space="preserve">siguientes Serie C del 6 de setiembre de 2007. </t>
  </si>
  <si>
    <r>
      <t xml:space="preserve">Séptima Modificación de los Estatutos Sociales: </t>
    </r>
    <r>
      <rPr>
        <sz val="12"/>
        <color theme="1"/>
        <rFont val="Book Antiqua"/>
        <family val="1"/>
      </rPr>
      <t>Escritura de Aumento de</t>
    </r>
  </si>
  <si>
    <t xml:space="preserve">Capital Social y Emisión de Acciones dentro del Capital Social de la firma </t>
  </si>
  <si>
    <t xml:space="preserve">Gas Corona S.A.E.C.A. por Escritura Pública Nº 138 del 21 de agosto de 2008 </t>
  </si>
  <si>
    <t xml:space="preserve">ante la Escribana Carmen Paredes Cabrera e inscripto en el Registro de </t>
  </si>
  <si>
    <t xml:space="preserve">Personas Jurídicas y Asociaciones con el Nº 653– Folio 6355 y siguientes -  </t>
  </si>
  <si>
    <t xml:space="preserve">Serie C del 25 de setiembre de 2008 y en el Registro Público de Comercio con </t>
  </si>
  <si>
    <t xml:space="preserve">el Nº 734 - Folio 6612 y siguientes Serie E del 25 de setiembre de 2008. </t>
  </si>
  <si>
    <r>
      <t xml:space="preserve">Protocolización Acta de Asamblea: </t>
    </r>
    <r>
      <rPr>
        <sz val="12"/>
        <color theme="1"/>
        <rFont val="Book Antiqua"/>
        <family val="1"/>
      </rPr>
      <t xml:space="preserve">Escritura de Protocolización por </t>
    </r>
  </si>
  <si>
    <t xml:space="preserve">integración del  Capital Social  de la firma Gas Corona S.A.E.C.A. por </t>
  </si>
  <si>
    <t>Escritura Pública Nº 19 del 16 de marzo de 2010 ante la Escribana Carmen</t>
  </si>
  <si>
    <t xml:space="preserve">Paredes Cabrera e inscripto en el Registro de Personas Jurídicas y </t>
  </si>
  <si>
    <t xml:space="preserve">Asociaciones con el Nº 69 – Folio 776 y siguientes -  Serie G del 07 de abril de </t>
  </si>
  <si>
    <t xml:space="preserve">2010 y en el Registro Público de Comercio con el Nº 191 - Folio 2204 y </t>
  </si>
  <si>
    <t xml:space="preserve">siguientes - Serie F del 7 de abril de 2010. </t>
  </si>
  <si>
    <r>
      <t xml:space="preserve">Octava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</si>
  <si>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195 del 22 de julio de 2010 </t>
  </si>
  <si>
    <t xml:space="preserve">Personas Jurídicas y Asociaciones con el Nº 423 – Folio 5203 y siguientes -  </t>
  </si>
  <si>
    <t xml:space="preserve">Serie B del 1 de setiembre de 2010 y en el Registro Público de Comercio con </t>
  </si>
  <si>
    <t xml:space="preserve">el Nº 456 - Folio 4004 y siguientes - Serie C del 1 de setiembre de 2010. </t>
  </si>
  <si>
    <t xml:space="preserve">integración el Capital Social de la firma Gas Corona S.A.E.C.A. por Escritura </t>
  </si>
  <si>
    <t xml:space="preserve">Pública Nº 83 del 31 de agosto de 2011 ante la Escribana Carmen Paredes </t>
  </si>
  <si>
    <t>Cabrera e inscripto en el Registro Público de Comercio Sección Contratos</t>
  </si>
  <si>
    <t>bajo el Nº 407- Folio 4340 y siguientes - Serie H del 12 de septiembre de 2011.</t>
  </si>
  <si>
    <r>
      <t xml:space="preserve">Novena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</si>
  <si>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17 del 05 de octubre de 2012 </t>
  </si>
  <si>
    <t xml:space="preserve">ante la Escribana Myrian Garcete de Enciso Cuquejo e inscripto en el Registro </t>
  </si>
  <si>
    <t xml:space="preserve">Público de Comercio Sección Contratos bajo el Nº 1546- Folio 14406 y </t>
  </si>
  <si>
    <t>siguientes – Serie A del 19 de noviembre de 2012.</t>
  </si>
  <si>
    <t xml:space="preserve">Pública Nº 19, folio 31 y sgtes.  del 16 de agosto de 2013 ante la Escribana </t>
  </si>
  <si>
    <t xml:space="preserve">Myrian Garcete de Enciso e inscripto en el Registro Público de Comercio </t>
  </si>
  <si>
    <t xml:space="preserve">Sección Contratos bajo el Nº 157- Folio 1838 y siguientes - Serie E del 02 de </t>
  </si>
  <si>
    <t>septiembre de 2013.</t>
  </si>
  <si>
    <r>
      <t xml:space="preserve">Decima  Modificación de los Estatutos Sociales: </t>
    </r>
    <r>
      <rPr>
        <sz val="12"/>
        <color theme="1"/>
        <rFont val="Book Antiqua"/>
        <family val="1"/>
      </rPr>
      <t xml:space="preserve">Escritura de Aumento de </t>
    </r>
  </si>
  <si>
    <t xml:space="preserve">Gas Corona S.A.E.C.A. por Escritura Pública Nº 19 del 03 de noviembre de </t>
  </si>
  <si>
    <t xml:space="preserve">2014 ante la Escribana Myrian Garcete de Enciso Cuquejo e inscripto en el </t>
  </si>
  <si>
    <t>Registro Público de Comercio en la Serie C,  bajo el Nº 560- Folio 6394 y</t>
  </si>
  <si>
    <t xml:space="preserve">siguientes y en el Registro Público de Contratos bajo el Nro. 336, Serie E – </t>
  </si>
  <si>
    <t>Folio 3351 de fecha 17 de julio de 2014.</t>
  </si>
  <si>
    <t xml:space="preserve">Pública Nº 05, folio 07 y sgtes.  del 01 de julio de 2015 ante la Escribana </t>
  </si>
  <si>
    <t xml:space="preserve">Myrian Garcete de Enciso e inscripto en el Registro Público de Comercio, </t>
  </si>
  <si>
    <t xml:space="preserve">Matricula Nro. 724,  bajo el Nº 01 Folio 01-07 y siguientes – Serie Comercial </t>
  </si>
  <si>
    <t>del 02 de julio de 2015.</t>
  </si>
  <si>
    <r>
      <t xml:space="preserve">Decima  Primera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</si>
  <si>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>Aumento de Capital Social y Emisión de Acciones dentro del Capital Socia</t>
  </si>
  <si>
    <t xml:space="preserve">de la firma Gas Corona S.A.E.C.A. por Escritura Pública Nº 3 del 06 de mayo </t>
  </si>
  <si>
    <t xml:space="preserve">de 2016 ante la Escribana Myrian Garcete de Enciso Cuquejo e inscripto en el </t>
  </si>
  <si>
    <t xml:space="preserve">Registro Público de Comercio Sección Personas Jurídicas y Asociaciones,  en </t>
  </si>
  <si>
    <t xml:space="preserve">la Serie C,  bajo el Nº 1 Folio 6394 y siguientes y en el Registro Público de </t>
  </si>
  <si>
    <t xml:space="preserve">Contratos bajo el Nro. 336, Serie Folio 1 de fecha 15 de junio de 2016. Y en la </t>
  </si>
  <si>
    <t xml:space="preserve">Dirección de los Registros Públicos Sección Comercio en la Serie C, bajo el </t>
  </si>
  <si>
    <t>Nro. 02, folio 08-17, de fecha 15/06/2016.</t>
  </si>
  <si>
    <r>
      <t xml:space="preserve">Decima  Segunda Modificación de los Estatutos Sociales: </t>
    </r>
    <r>
      <rPr>
        <sz val="12"/>
        <color theme="1"/>
        <rFont val="Book Antiqua"/>
        <family val="1"/>
      </rPr>
      <t xml:space="preserve">Escritura de </t>
    </r>
  </si>
  <si>
    <t xml:space="preserve">Aumento de Capital Social y Emisión de Acciones dentro del Capital Social </t>
  </si>
  <si>
    <t xml:space="preserve">de la firma Gas Corona S.A.E.C.A. por Escritura Pública Nº 7 del 15 de junio </t>
  </si>
  <si>
    <t xml:space="preserve">de 2017 ante la Escribana Myrian Garcete de Enciso Cuquejo e inscripto en el </t>
  </si>
  <si>
    <t>Registro Público de Comercio Sección Personas Jurídicas y Asociaciones,  en</t>
  </si>
  <si>
    <t>la Serie Comercial,  bajo el Nº 2,  Folio 13  en fecha 23/08/2017 y en la</t>
  </si>
  <si>
    <t xml:space="preserve">Dirección Gral. Registro Público; Sección Comercio bajo el Nro. 03,  Folio 18 </t>
  </si>
  <si>
    <t xml:space="preserve">de fecha 29 de setiembre de 2017. </t>
  </si>
  <si>
    <t xml:space="preserve">Pública Nº 13, folio 36 y sgtes.  del 04 de junio de 2018 ante la Escribana </t>
  </si>
  <si>
    <t xml:space="preserve">Matricula Nro. 724,  bajo el Nº 4 Folio 28-36 y siguientes – Serie Comercial del </t>
  </si>
  <si>
    <t>15  de octubre de 2018.</t>
  </si>
  <si>
    <t xml:space="preserve">De acuerdo a la última modificación de los Estatutos Sociales, el Capital </t>
  </si>
  <si>
    <t xml:space="preserve">El objetivo de la sociedad comprende todas la actividades lícitas a las que </t>
  </si>
  <si>
    <t xml:space="preserve">podrá dedicarse por cuenta propia, de terceros o asociados a terceros, y en </t>
  </si>
  <si>
    <t>especial al fraccionamiento y comercialización de los productos derivados</t>
  </si>
  <si>
    <t xml:space="preserve">del petróleo, la importación, comercialización, promoción y venta de toda </t>
  </si>
  <si>
    <t xml:space="preserve">clase de mercaderías, productos y elementos para cocinas a Gas y demás </t>
  </si>
  <si>
    <t xml:space="preserve">derivados; la importación de productos para el hogar. Podrá asimismo, </t>
  </si>
  <si>
    <t xml:space="preserve">comprar, vender, fraccionar, importar, exportar y envasar toda clase de </t>
  </si>
  <si>
    <t xml:space="preserve">productos, artículos y mercaderías, adquirir, establecer y exportar toda clase </t>
  </si>
  <si>
    <t xml:space="preserve">de empresas agrícolas, industriales, ganaderas y de cualquier otro tipo. </t>
  </si>
  <si>
    <t xml:space="preserve">Podrá también descontar, comprar y vender letras, pagarés, cheques, giros y </t>
  </si>
  <si>
    <t xml:space="preserve">otros documentos negociables, comprar y vender cédulas hipotecarias y </t>
  </si>
  <si>
    <t xml:space="preserve">cualquier otra clase de papeles negociables o títulos valores de oferta pública </t>
  </si>
  <si>
    <t xml:space="preserve">o privada. </t>
  </si>
  <si>
    <t xml:space="preserve">La sociedad podrá emitir acciones obligaciones u otros títulos valores y </t>
  </si>
  <si>
    <t xml:space="preserve">podrán ser negociables en oferta pública a través del Mercado de Valores de </t>
  </si>
  <si>
    <t xml:space="preserve">conformidad a las leyes que regulan este mercado. La sociedad podrá actuar </t>
  </si>
  <si>
    <t xml:space="preserve">por cuenta propia, de terceros o asociada con otras personas o sociedades </t>
  </si>
  <si>
    <t xml:space="preserve">participando en su capital. La Sociedad queda autorizada con plena </t>
  </si>
  <si>
    <t xml:space="preserve">capacidad jurídica para entender y desarrollar Cualquier tipo de actividades </t>
  </si>
  <si>
    <t xml:space="preserve">comerciales, industriales, inmobiliarias, empresariales o cualquier otra </t>
  </si>
  <si>
    <t xml:space="preserve">actividad lícita sin más limitaciones que las previstas en las leyes respectivas </t>
  </si>
  <si>
    <t xml:space="preserve">y este estatuto. </t>
  </si>
  <si>
    <t xml:space="preserve">La Sociedad tendrá una duración de cincuenta (50) años contados a partir del </t>
  </si>
  <si>
    <t xml:space="preserve">día en que la modificación de los Estatutos Sociales sea registrada en los </t>
  </si>
  <si>
    <t xml:space="preserve">correspondientes Registros Públicos, pudiendo ser prorrogado su término o </t>
  </si>
  <si>
    <t xml:space="preserve">anticiparse su disolución por resolución de la Asamblea General de </t>
  </si>
  <si>
    <t>Accionistas.</t>
  </si>
  <si>
    <t xml:space="preserve">En fecha 30 de agosto de 2005, según Resolución Nº 877/05, la Comisión </t>
  </si>
  <si>
    <t xml:space="preserve">Nacional de Valores resuelve, calificar a Gas Corona Sociedad Anónima </t>
  </si>
  <si>
    <t xml:space="preserve">como Sociedad Emisora de Capital Abierto, y en consecuencia autorizarla </t>
  </si>
  <si>
    <t xml:space="preserve">para operar en el mercado de valores e inscribirla en los Registros que al </t>
  </si>
  <si>
    <t xml:space="preserve">efecto lleva la Comisión, llevando la nomenclatura de S.A.E.C.A. </t>
  </si>
  <si>
    <r>
      <t>1.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Políticas de Contabilidad.</t>
    </r>
  </si>
  <si>
    <t xml:space="preserve">La Sociedad adopta sus políticas de contabilidad siguiendo los lineamientos </t>
  </si>
  <si>
    <t xml:space="preserve">generales de la práctica contable utilizados habitualmente en la República del </t>
  </si>
  <si>
    <t>Paraguay.</t>
  </si>
  <si>
    <r>
      <t>a)</t>
    </r>
    <r>
      <rPr>
        <b/>
        <sz val="7"/>
        <color theme="1"/>
        <rFont val="Times New Roman"/>
        <family val="1"/>
      </rPr>
      <t xml:space="preserve">  </t>
    </r>
    <r>
      <rPr>
        <b/>
        <sz val="14"/>
        <color theme="1"/>
        <rFont val="Book Antiqua"/>
        <family val="1"/>
      </rPr>
      <t>Moneda de Cuenta.</t>
    </r>
  </si>
  <si>
    <t xml:space="preserve">Los presentes estados contables, han sido preparados en base a la </t>
  </si>
  <si>
    <t>moneda oficial del Paraguay, el guaraní.</t>
  </si>
  <si>
    <t xml:space="preserve">Los estados contables han sido preparados en base a cifras históricas, </t>
  </si>
  <si>
    <t xml:space="preserve">sin considerar el efecto que las variaciones en el poder adquisitivo de la </t>
  </si>
  <si>
    <t xml:space="preserve">moneda local pudieran tener sobre los rubros no monetarios que los </t>
  </si>
  <si>
    <t xml:space="preserve">componen, debido a que la corrección monetaria no es un principio de </t>
  </si>
  <si>
    <t xml:space="preserve">contabilidad de aceptación generalizada ni una norma vigente en el </t>
  </si>
  <si>
    <t xml:space="preserve">Paraguay. Constituye una excepción al criterio descrito, el ajuste por </t>
  </si>
  <si>
    <t xml:space="preserve">diferencia de cambio y el revalúo obligatorio de los bienes del activo fijo </t>
  </si>
  <si>
    <t>en virtud a lo que establece la Ley Nº 125/91.</t>
  </si>
  <si>
    <r>
      <t>a)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Moneda Extranjera.</t>
    </r>
  </si>
  <si>
    <t xml:space="preserve">Los activos y pasivos en moneda extranjera se valúan al tipo de cambio </t>
  </si>
  <si>
    <t xml:space="preserve">comprador y vendedor respectivamente, vigentes a la fecha de cierre. </t>
  </si>
  <si>
    <t xml:space="preserve">Las diferencias netas de cambio devengadas por fluctuaciones en los </t>
  </si>
  <si>
    <t xml:space="preserve">tipos de cambio entre las fechas de concertación de las operaciones y su </t>
  </si>
  <si>
    <t xml:space="preserve">liquidación o valuación al cierre del período se imputan a la cuenta </t>
  </si>
  <si>
    <t>Diferencias de Cambio del Estado de Resultados.</t>
  </si>
  <si>
    <t>Para el reconocimiento de las ganancias y pérdidas se ha aplicado el</t>
  </si>
  <si>
    <t>principio de lo devengado.</t>
  </si>
  <si>
    <t xml:space="preserve">Los bienes son revaluados anualmente de acuerdo al Artículo 12 de la </t>
  </si>
  <si>
    <t xml:space="preserve">Ley Nº 125/91, considerando los coeficientes de actualización </t>
  </si>
  <si>
    <t xml:space="preserve">suministrados por la Sub Secretaría de Estado de Tributación. </t>
  </si>
  <si>
    <t xml:space="preserve">Las depreciaciones son computadas a partir del año siguiente de la </t>
  </si>
  <si>
    <t xml:space="preserve">incorporación con cargo a resultados del ejercicio, utilizando el sistema </t>
  </si>
  <si>
    <t xml:space="preserve">lineal, a tasas que están dentro de los límites permitidos por las leyes </t>
  </si>
  <si>
    <t xml:space="preserve">tributarias y que se consideran adecuadas para extinguir el valor bruto </t>
  </si>
  <si>
    <t xml:space="preserve">de los bienes al fin de su vida útil. El costo, la reevaluación y la </t>
  </si>
  <si>
    <t xml:space="preserve">depreciación acumulada de los bienes vendidos o retirados, son </t>
  </si>
  <si>
    <t xml:space="preserve">eliminados de las cuentas del activo, y la ganancia o pérdida es aplicada </t>
  </si>
  <si>
    <t>a resultados. Los activos intangibles (licencias de software) son</t>
  </si>
  <si>
    <t>amortizados a una tasa del 25% anual, a partir del año siguiente de la</t>
  </si>
  <si>
    <t>incorporación al activo.</t>
  </si>
  <si>
    <t>Los inventarios de GLP  y Combustibles están valuados a precio</t>
  </si>
  <si>
    <t xml:space="preserve">promedio ponderado, calculado a partir del precio de adquisición de </t>
  </si>
  <si>
    <t>cada partida que ingresa al inventario de existencias.</t>
  </si>
  <si>
    <t xml:space="preserve">La empresa constituye previsiones para deudores de dudoso cobro a los </t>
  </si>
  <si>
    <t xml:space="preserve">efectos de regularizar aquellos créditos que, a entender de la Dirección, </t>
  </si>
  <si>
    <t>presentan riesgos de su total recuperación.</t>
  </si>
  <si>
    <t xml:space="preserve">La Dirección estima que la aplicación de la siguiente escala de </t>
  </si>
  <si>
    <t xml:space="preserve">previsiones es suficiente para exponer el valor neto probable de </t>
  </si>
  <si>
    <t>realización de los créditos de antigua data:</t>
  </si>
  <si>
    <t>Rubro contable</t>
  </si>
  <si>
    <t>Días de Atrasos</t>
  </si>
  <si>
    <t>Previsión (%)</t>
  </si>
  <si>
    <t>Mayor a 180</t>
  </si>
  <si>
    <t>Clientes en Gestión de Cobro</t>
  </si>
  <si>
    <t>Mayor a 360</t>
  </si>
  <si>
    <t>Cheques Rechazados</t>
  </si>
  <si>
    <t xml:space="preserve">Comprende, en guaraníes: </t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</si>
  <si>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Disponibilidades.</t>
    </r>
  </si>
  <si>
    <t xml:space="preserve">     Fondo Fijo -  Choferes</t>
  </si>
  <si>
    <t xml:space="preserve">     Fondo Fijo – Viajes Internacional</t>
  </si>
  <si>
    <t xml:space="preserve">     Banco Continental</t>
  </si>
  <si>
    <t xml:space="preserve">     BBVA</t>
  </si>
  <si>
    <t xml:space="preserve">     Banco Itau S.A. – Gs</t>
  </si>
  <si>
    <t xml:space="preserve">     Banco Regional</t>
  </si>
  <si>
    <t xml:space="preserve">     GNB Bank</t>
  </si>
  <si>
    <t xml:space="preserve">     Banco Sudameris S.A.</t>
  </si>
  <si>
    <t xml:space="preserve">     Banco Continental Salarios</t>
  </si>
  <si>
    <r>
      <t xml:space="preserve">     </t>
    </r>
    <r>
      <rPr>
        <sz val="10"/>
        <color theme="1"/>
        <rFont val="Book Antiqua"/>
        <family val="1"/>
      </rPr>
      <t>Recaudaciones a Depositar – Gs</t>
    </r>
  </si>
  <si>
    <t xml:space="preserve">Este rubro está compuesto por facturas pendientes de cobro y se compone, en </t>
  </si>
  <si>
    <t>guaraníes:</t>
  </si>
  <si>
    <r>
      <t>4.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Deudores por Ventas</t>
    </r>
  </si>
  <si>
    <r>
      <t>5.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Book Antiqua"/>
        <family val="1"/>
      </rPr>
      <t>Documentos a cobrar</t>
    </r>
  </si>
  <si>
    <t>Este rubro comprende los cheques recibidos de clientes (Estaciones de Servicios)</t>
  </si>
  <si>
    <t>distribuidos por todo el país. Su composición es la siguiente:</t>
  </si>
  <si>
    <t>6.  Anticipo a Proveedores</t>
  </si>
  <si>
    <t xml:space="preserve">Este rubro incluye sumas de dinero anticipadas a proveedores Locales y del </t>
  </si>
  <si>
    <t>Exterior,  y Préstamos al Personal, según detalle:</t>
  </si>
  <si>
    <t>Surtidores Wayner</t>
  </si>
  <si>
    <t>7.  Existencias</t>
  </si>
  <si>
    <t>Este rubro comprende; en guaraníes:</t>
  </si>
  <si>
    <t xml:space="preserve">    </t>
  </si>
  <si>
    <t>Importación en Curso</t>
  </si>
  <si>
    <t xml:space="preserve">    Gas Licuado de Petróleo</t>
  </si>
  <si>
    <t xml:space="preserve">    Repuestos Varios - Surtidores</t>
  </si>
  <si>
    <t>Total Importación en Curso (d)</t>
  </si>
  <si>
    <t xml:space="preserve">Repuestos Varios </t>
  </si>
  <si>
    <t xml:space="preserve">    Repuestos Varios en Deposito</t>
  </si>
  <si>
    <t>Total Existencia (a+b+c+d+e)</t>
  </si>
  <si>
    <t>Lubricantes y Agua destilada</t>
  </si>
  <si>
    <t xml:space="preserve">Estación de Servicios Artigas </t>
  </si>
  <si>
    <t>Estación de Servicios Von Polesky</t>
  </si>
  <si>
    <t>Estación de Servicios Pai Pérez</t>
  </si>
  <si>
    <t xml:space="preserve">Insumos p/Garrafas </t>
  </si>
  <si>
    <t>Importado GLP</t>
  </si>
  <si>
    <t>Total Repuestos (e)</t>
  </si>
  <si>
    <t>Estaciones de Servicios</t>
  </si>
  <si>
    <t>8. Intereses a Vencer y a Pagar</t>
  </si>
  <si>
    <t>Total Interés Vencer L.P.(c+d)</t>
  </si>
  <si>
    <t>Intereses a Vencer Financieros a L.P.</t>
  </si>
  <si>
    <t>Intereses a Pagar  Financieros a C.P.</t>
  </si>
  <si>
    <t>Total Intereses a Pagar C.P. (a+b)</t>
  </si>
  <si>
    <t>Interes a Pagar Bonos Bursátiles L.P.</t>
  </si>
  <si>
    <t>Interes a Pagar Largo Plazo</t>
  </si>
  <si>
    <t>Intereses a Pagar Financieros a L.P.</t>
  </si>
  <si>
    <r>
      <t xml:space="preserve"> </t>
    </r>
    <r>
      <rPr>
        <b/>
        <sz val="12"/>
        <color theme="1"/>
        <rFont val="Book Antiqua"/>
        <family val="1"/>
      </rPr>
      <t>Total Interés a Pagar L.P.(c+d)</t>
    </r>
  </si>
  <si>
    <t>9. Gastos Pagados por Adelantado. Varios</t>
  </si>
  <si>
    <r>
      <t>10.</t>
    </r>
    <r>
      <rPr>
        <b/>
        <sz val="7"/>
        <color theme="1"/>
        <rFont val="Times New Roman"/>
        <family val="1"/>
      </rPr>
      <t>    </t>
    </r>
    <r>
      <rPr>
        <b/>
        <sz val="14"/>
        <color theme="1"/>
        <rFont val="Book Antiqua"/>
        <family val="1"/>
      </rPr>
      <t>Cargos Diferidos</t>
    </r>
  </si>
  <si>
    <t xml:space="preserve">Comprenden todas las mejoras o inversiones realizadas en propiedades de terceros </t>
  </si>
  <si>
    <t xml:space="preserve">(distribuidores de gas licuado de petróleo y estaciones de servicios). Estas </t>
  </si>
  <si>
    <t xml:space="preserve">inversiones son amortizadas de manera lineal y uniforme en función del plazo de  </t>
  </si>
  <si>
    <t>vigencia de los contratos firmados con los distribuidores.</t>
  </si>
  <si>
    <t xml:space="preserve">De igual manera, este rubro comprende los mantenimientos realizados a los </t>
  </si>
  <si>
    <t xml:space="preserve">envases (garrafas). La Dirección estima que los repuestos aplicados y los </t>
  </si>
  <si>
    <t xml:space="preserve">mantenimientos periódicos agregan una vida útil de 5 (cinco) años a los envases, </t>
  </si>
  <si>
    <t xml:space="preserve">por lo que estos cargos son amortizados en ese plazo, a partir del año siguiente del </t>
  </si>
  <si>
    <t xml:space="preserve">alta contable. El Mantenimiento de  Garrafas consiste en; llevar las garrafas a una </t>
  </si>
  <si>
    <t xml:space="preserve">Empresa Habilitada por Entidades Estatales para la Rehabilitación del envase cada </t>
  </si>
  <si>
    <t xml:space="preserve">5 años a partir de la fecha de su habilitación toda garrafa será re inspeccionada y </t>
  </si>
  <si>
    <t xml:space="preserve">remarcada para continuar en servicio. Esta rehabilitación consiste en arenado, </t>
  </si>
  <si>
    <t>prueba hidráulica y en planta la realización de la pintura.</t>
  </si>
  <si>
    <t xml:space="preserve">Según las NIC. Los Cargos Diferidos dependen de su recuperabilidad y su </t>
  </si>
  <si>
    <t xml:space="preserve">materialidad. Los Cargos Diferidos pueden ser mejoras, remodelación, arreglos, </t>
  </si>
  <si>
    <t xml:space="preserve">reacondicionamientos y todo esto conlleva a invertir tiempo, recursos, mano de </t>
  </si>
  <si>
    <t xml:space="preserve">obra, dinero, etc. O sea estas inversiones no me permiten llevar a gastos por que se </t>
  </si>
  <si>
    <t>obtendrá una recuperabilidad de eso. (Beneficio futuro)</t>
  </si>
  <si>
    <t xml:space="preserve">Condición del Activo: Recurso controlado, proveniente de eventos pasados de los </t>
  </si>
  <si>
    <t>cuales se espera recibir un beneficio futuro. (NIC 1)</t>
  </si>
  <si>
    <t xml:space="preserve">En conclusión, Gas Corona realiza Inversiones en propiedad de terceros, </t>
  </si>
  <si>
    <t xml:space="preserve">rehabilitación y pintura de las garrafas ya que estas son instrumentos directos para </t>
  </si>
  <si>
    <t>comercialización de  nuestro producto.</t>
  </si>
  <si>
    <t xml:space="preserve">Es decir que el fraccionamiento y la venta de GLP  dependen del </t>
  </si>
  <si>
    <t xml:space="preserve">acondicionamiento técnico de los envases. </t>
  </si>
  <si>
    <t xml:space="preserve">Al respecto, cabe señalar, que teniendo en cuenta la condición del Activo, solo </t>
  </si>
  <si>
    <t xml:space="preserve">resta decir que la Rehabilitación y pintura son recursos controlados de hechos </t>
  </si>
  <si>
    <t xml:space="preserve">pasados y que  genera un beneficio futuro ya que es el instrumento de venta del </t>
  </si>
  <si>
    <t xml:space="preserve">Gas Licuado de Petróleo Fraccionado. Este rubro está compuesto de la siguiente </t>
  </si>
  <si>
    <t>manera:</t>
  </si>
  <si>
    <t>SITUACION</t>
  </si>
  <si>
    <t>Monto (en G.)</t>
  </si>
  <si>
    <t xml:space="preserve">Previsiones </t>
  </si>
  <si>
    <t>En Gs.</t>
  </si>
  <si>
    <t>A. Cartera no Vencida</t>
  </si>
  <si>
    <t>Normal</t>
  </si>
  <si>
    <t>En Gestion de Cobro</t>
  </si>
  <si>
    <t>En Gestion de Cobro Judicial</t>
  </si>
  <si>
    <t>B. Total cartera vencida</t>
  </si>
  <si>
    <t xml:space="preserve">Observaciones </t>
  </si>
  <si>
    <t>Criterios de Calificacion utilizadas</t>
  </si>
  <si>
    <t>de    1   a     90   días de atraso</t>
  </si>
  <si>
    <t>En Gestión de Cobro</t>
  </si>
  <si>
    <t>de    91  a    180   días de atraso</t>
  </si>
  <si>
    <t>En Gestión de Cobro Judicial</t>
  </si>
  <si>
    <t>de    181  días de atraso en adelante</t>
  </si>
  <si>
    <t>% Prev.
s/Cartera</t>
  </si>
  <si>
    <t>12.   Proveedores del Exterior</t>
  </si>
  <si>
    <t xml:space="preserve">RGA S.R.L. </t>
  </si>
  <si>
    <t>Tradefin S.A.</t>
  </si>
  <si>
    <t>13.  Obligaciones en el Sistema Fianciero</t>
  </si>
  <si>
    <t xml:space="preserve">El saldo de las obligaciones bancarias de corto plazo (Préstamos Amortizables y </t>
  </si>
  <si>
    <t xml:space="preserve">Sudameris Bank </t>
  </si>
  <si>
    <t>Total Préstamos (a)</t>
  </si>
  <si>
    <t>Cheques Diferidos a pagar</t>
  </si>
  <si>
    <t>Banco BBVA</t>
  </si>
  <si>
    <t>Banco BBVA USD</t>
  </si>
  <si>
    <t xml:space="preserve">Banco Continental S.A.                                                                                </t>
  </si>
  <si>
    <t>Total Cheques diferidos a Pagar (b)</t>
  </si>
  <si>
    <t xml:space="preserve">Sobregiros en Cta. Cte. </t>
  </si>
  <si>
    <t>BBVA</t>
  </si>
  <si>
    <t>BBVA USD</t>
  </si>
  <si>
    <t>Banco Sudameris</t>
  </si>
  <si>
    <t>Total Sobregiros en Cta. Cte. ©</t>
  </si>
  <si>
    <t>Préstamos en el Sistema Financiero</t>
  </si>
  <si>
    <t>Total Obligaciones Financieras (a+b+c)</t>
  </si>
  <si>
    <t>GNB Bank</t>
  </si>
  <si>
    <t>14.  Cheques emitidos no cobrados</t>
  </si>
  <si>
    <t xml:space="preserve">Este rubro agrupa los cheques girados contra las cuentas corrientes de la firma y </t>
  </si>
  <si>
    <t>la siguiente:</t>
  </si>
  <si>
    <t>Banco Regional S.A. – US$</t>
  </si>
  <si>
    <t xml:space="preserve">Este rubro agrupa los pasivos comerciales de la firma. La composición del saldo al </t>
  </si>
  <si>
    <t>Petrolera San Antonio S.A.</t>
  </si>
  <si>
    <t xml:space="preserve">Axion Energy Paraguay S.A. </t>
  </si>
  <si>
    <t>Monte Alegre S.A.</t>
  </si>
  <si>
    <t>Yacyreta S.A.</t>
  </si>
  <si>
    <t>Gastotal</t>
  </si>
  <si>
    <t xml:space="preserve">Petrosur 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</si>
  <si>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 xml:space="preserve">Proveedores Locales </t>
    </r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</si>
  <si>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4"/>
        <color theme="1"/>
        <rFont val="Book Antiqua"/>
        <family val="1"/>
      </rPr>
      <t>Bonos Bursátiles</t>
    </r>
  </si>
  <si>
    <t>Los nuevos  títulos de deuda fueron emitidos y colocados durante los ejercicios, 2016</t>
  </si>
  <si>
    <t xml:space="preserve">Los capitales presentan vencimientos entre agosto   de 2016  hasta noviembre  de 2020, </t>
  </si>
  <si>
    <t>Provisiones y Previsiones Varias</t>
  </si>
  <si>
    <t>17. Provisiones y Previsiones Varias</t>
  </si>
  <si>
    <t xml:space="preserve">Este rubro agrupa otros pasivos, cuya incidencia cierta  e incierta sobre los estados </t>
  </si>
  <si>
    <t xml:space="preserve">contables es estimada por la Dirección, por lo que se procede a provisionarlos y </t>
  </si>
  <si>
    <t>Aguinaldo</t>
  </si>
  <si>
    <t>Total Provisiones</t>
  </si>
  <si>
    <t>Previsiones  Varias</t>
  </si>
  <si>
    <t>Previsiones por Demanda</t>
  </si>
  <si>
    <t>Total Previsiones</t>
  </si>
  <si>
    <r>
      <t>18.</t>
    </r>
    <r>
      <rPr>
        <b/>
        <sz val="7"/>
        <color theme="1"/>
        <rFont val="Times New Roman"/>
        <family val="1"/>
      </rPr>
      <t>  </t>
    </r>
    <r>
      <rPr>
        <b/>
        <sz val="14"/>
        <color theme="1"/>
        <rFont val="Book Antiqua"/>
        <family val="1"/>
      </rPr>
      <t>Pólizas de Seguros</t>
    </r>
  </si>
  <si>
    <t xml:space="preserve">Este rubro agrupa el valor asegurado de los activos productivos de la empresa. Las </t>
  </si>
  <si>
    <t>pólizas han sido contratadas con empresas aseguradoras del mercado local. La</t>
  </si>
  <si>
    <t>Incendio Muelle</t>
  </si>
  <si>
    <t xml:space="preserve">Responsabilidad civil </t>
  </si>
  <si>
    <t xml:space="preserve">Total </t>
  </si>
  <si>
    <r>
      <t>19.</t>
    </r>
    <r>
      <rPr>
        <b/>
        <sz val="7"/>
        <color theme="1"/>
        <rFont val="Times New Roman"/>
        <family val="1"/>
      </rPr>
      <t>   </t>
    </r>
    <r>
      <rPr>
        <b/>
        <sz val="14"/>
        <color theme="1"/>
        <rFont val="Book Antiqua"/>
        <family val="1"/>
      </rPr>
      <t>Cheques Descontados</t>
    </r>
  </si>
  <si>
    <t xml:space="preserve">Este rubro agrupa los cheques diferidos de clientes los cuales son descontados en el </t>
  </si>
  <si>
    <t>sistema financiero antes de su fecha de cobro. Se compone de la siguiente manera:</t>
  </si>
  <si>
    <r>
      <t>20.</t>
    </r>
    <r>
      <rPr>
        <b/>
        <sz val="7"/>
        <color rgb="FF000000"/>
        <rFont val="Times New Roman"/>
        <family val="1"/>
      </rPr>
      <t>  </t>
    </r>
    <r>
      <rPr>
        <b/>
        <sz val="14"/>
        <color rgb="FF000000"/>
        <rFont val="Book Antiqua"/>
        <family val="1"/>
      </rPr>
      <t>Garantías sobre Créditos Concedidos</t>
    </r>
  </si>
  <si>
    <t xml:space="preserve">Este rubro agrupa las garantías reales otorgadas por clientes, las cuales respaldan </t>
  </si>
  <si>
    <t xml:space="preserve">los créditos comerciales que fueron otorgados a los mismos y que se encuentran </t>
  </si>
  <si>
    <t>Distribuidor 3 Fronteras S.A.</t>
  </si>
  <si>
    <t>Purificación Morel</t>
  </si>
  <si>
    <t>Marcio Pereira</t>
  </si>
  <si>
    <t xml:space="preserve">Total Cuentas de Orden Deudoras y Acreedoras </t>
  </si>
  <si>
    <r>
      <t>21.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Tasaciones de Inmuebles</t>
    </r>
  </si>
  <si>
    <t xml:space="preserve">En fecha 01/09/2015, la Sociedad contrató los servicios profesionales del Señor Arq. Juan Angel </t>
  </si>
  <si>
    <t xml:space="preserve">Nuñez Scarpellini, Tasador con Matrícula Nº 828, a los efectos de realizar un avalúo de los </t>
  </si>
  <si>
    <t xml:space="preserve">terrenos de propiedad de GAS CORONA SAECA, con Nº de Cta. Cte. Catastral. 15-0006-01 </t>
  </si>
  <si>
    <t xml:space="preserve">jurisdicción de la ciudad de Asunción, y Nº de Cta. Cte. Catastral. 27-0319-02, jurisdicción de la </t>
  </si>
  <si>
    <t xml:space="preserve">ciudad de San Antonio. La tasación incluyó el avalúo del terreno, las construcciones y todas las </t>
  </si>
  <si>
    <t xml:space="preserve">mejoras realizadas en dichos inmuebles. De la comparación entre el valor contable de cada </t>
  </si>
  <si>
    <t xml:space="preserve">inmueble y el valor de tasación de las mismas, se evidencia que el valor de tasación es muy </t>
  </si>
  <si>
    <t xml:space="preserve">superior al valor contable, producto de la plusvalía por efecto de una mayor tasa de apreciación </t>
  </si>
  <si>
    <t xml:space="preserve">del valor de mercado de los inmuebles, frente al incremento acumulado el IPC, coeficiente </t>
  </si>
  <si>
    <t>utilizado por la Administración para la actualización anual de los valores de los activos fijos.</t>
  </si>
  <si>
    <t xml:space="preserve">De esta forma, en esta cuenta de orden, se revela el incremento del valor económico de estos </t>
  </si>
  <si>
    <t xml:space="preserve">terrenos, no contemplados en las tasas anuales de revaluación.  En el siguiente cuadro se </t>
  </si>
  <si>
    <t>exponen comparativamente los valores resultantes:</t>
  </si>
  <si>
    <t>INMUEBLES</t>
  </si>
  <si>
    <t>VALOR DE TASACIÓN</t>
  </si>
  <si>
    <t>VALOR LIBRO</t>
  </si>
  <si>
    <t>VALOR DE ACTUALIZACIÓN</t>
  </si>
  <si>
    <t>Cta. Cte. Catastral. 15-0006-01 jurisdicción de la ciudad de Asunción</t>
  </si>
  <si>
    <t>Cta. Cte. Catastral. 27-0319-02 jurisdicción de la ciudad de San Antonio</t>
  </si>
  <si>
    <t>TOTALES</t>
  </si>
  <si>
    <t>Cta. Cte. Catastral 12-0071-01 y 12-0071-13, juridiccion de Asuncion</t>
  </si>
  <si>
    <t xml:space="preserve">La diferencia del avalúo se expone en esta cuenta de orden al sólo efecto informativo y no fue </t>
  </si>
  <si>
    <t xml:space="preserve">societario, en atención a lo establecido en la NIC 17, párrafo 46, que dice: “Si se revalúa un </t>
  </si>
  <si>
    <t xml:space="preserve">determinado elemento perteneciente a la Propiedad, planta y equipo, deben también ser </t>
  </si>
  <si>
    <t>revaluados todos los activos que pertenezcan a la misma clase de activos.”</t>
  </si>
  <si>
    <r>
      <t xml:space="preserve">incrementado en el rubro de bienes de uso, debido a que la avaluación de los inmuebles </t>
    </r>
    <r>
      <rPr>
        <b/>
        <u/>
        <sz val="10"/>
        <color theme="1"/>
        <rFont val="Book Antiqua"/>
        <family val="1"/>
      </rPr>
      <t xml:space="preserve">fue </t>
    </r>
  </si>
  <si>
    <r>
      <t>parcial y se limitó a estos dos inmuebles</t>
    </r>
    <r>
      <rPr>
        <sz val="10"/>
        <color theme="1"/>
        <rFont val="Book Antiqua"/>
        <family val="1"/>
      </rPr>
      <t xml:space="preserve">, excluyendo otros que forman parte del patrimonio </t>
    </r>
  </si>
  <si>
    <r>
      <t>22.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4"/>
        <color rgb="FF000000"/>
        <rFont val="Book Antiqua"/>
        <family val="1"/>
      </rPr>
      <t xml:space="preserve">Deudores en Gestión de Cobro </t>
    </r>
  </si>
  <si>
    <t xml:space="preserve">El rubro Deudores en Gestión de Cobro incluye créditos de los años 2006, 2007, </t>
  </si>
  <si>
    <t xml:space="preserve">La Dirección ha estimado conveniente constituir la previsión que regularice el </t>
  </si>
  <si>
    <t xml:space="preserve">valor de los  créditos en gestión judicial. </t>
  </si>
  <si>
    <t xml:space="preserve">En gestión judicial </t>
  </si>
  <si>
    <t>En gestión judicial</t>
  </si>
  <si>
    <t>Importe
 crédito</t>
  </si>
  <si>
    <t>Previsión 
Acumulada</t>
  </si>
  <si>
    <t>(Bienes embargados)</t>
  </si>
  <si>
    <t>(Conv. de acreedores)</t>
  </si>
  <si>
    <t>23.  Litigios Judiciales en Curso</t>
  </si>
  <si>
    <t xml:space="preserve">cuyos resultados (favorables o desfavorables) no pueden ser determinados con una </t>
  </si>
  <si>
    <t xml:space="preserve">certeza razonable, de acuerdo al criterio profesional y al leal entender de los </t>
  </si>
  <si>
    <t xml:space="preserve">asesores jurídicos de la Sociedad. </t>
  </si>
  <si>
    <t>Por tal motivo, ante la imposibilidad de evaluar la probabilidad de un resultado, y</t>
  </si>
  <si>
    <t xml:space="preserve">por lo tanto, de una estimación monetaria del importe total de la pérdida o del </t>
  </si>
  <si>
    <t xml:space="preserve">pasivo contingente, la Dirección ha considerado pertinente registrar los importes </t>
  </si>
  <si>
    <t xml:space="preserve">reclamados en cuentas de orden, a modo informativo.  </t>
  </si>
  <si>
    <t xml:space="preserve">A continuación el detalle de los casos más significativos (en términos monetarios): </t>
  </si>
  <si>
    <t>Contraparte o demandante</t>
  </si>
  <si>
    <t>Situación procesal al 31.03.2018</t>
  </si>
  <si>
    <t xml:space="preserve">Olga Villalba de Martínez </t>
  </si>
  <si>
    <t>Peritaje contable en trámite</t>
  </si>
  <si>
    <t>Derlis Valdez Miranda</t>
  </si>
  <si>
    <t>Recurso de apelación en trámite</t>
  </si>
  <si>
    <r>
      <t>24.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4"/>
        <color rgb="FF000000"/>
        <rFont val="Book Antiqua"/>
        <family val="1"/>
      </rPr>
      <t>Nómina accionaria de Irundymi S.A.</t>
    </r>
  </si>
  <si>
    <t>La composición accionaria de Irundymi S.A., accionista mayoritario de Gas Corona</t>
  </si>
  <si>
    <t>Accionistas</t>
  </si>
  <si>
    <t>C.I.</t>
  </si>
  <si>
    <t>Luisa Isabel Schaerer de Pallarés</t>
  </si>
  <si>
    <t>Maria Luisa  Pallarés</t>
  </si>
  <si>
    <t>María del Rocio Pallarés</t>
  </si>
  <si>
    <t>María Ester Pallarés</t>
  </si>
  <si>
    <t>Veronica Pallares</t>
  </si>
  <si>
    <t>María Celeste Pallarés</t>
  </si>
  <si>
    <t>Maria Jazmín Pallares</t>
  </si>
  <si>
    <t>Eduardo Pallares</t>
  </si>
  <si>
    <t>3.5%</t>
  </si>
  <si>
    <t>Participación 
accionaria</t>
  </si>
  <si>
    <t>25. Partes relacionadas</t>
  </si>
  <si>
    <t xml:space="preserve">Gas Corona S.A.E.C.A. realiza actividades de compra-venta de combustibles </t>
  </si>
  <si>
    <t xml:space="preserve">derivados del petróleo y servicios de flete nacional e internacional con 3 (tres) </t>
  </si>
  <si>
    <t xml:space="preserve">partes vinculadas: Acaray Gas S.R.L., Yacyreta Gas S.R.L. y Transoil Paraguay S.A. </t>
  </si>
  <si>
    <t xml:space="preserve">La vinculación se debe a que existen apoderados o directores comunes entre estas </t>
  </si>
  <si>
    <t xml:space="preserve">empresas e Irundymi S.A. (accionista mayoritario de Gas Corona S.A.E.C.A.). </t>
  </si>
  <si>
    <t>es el siguiente:</t>
  </si>
  <si>
    <t>Empresas</t>
  </si>
  <si>
    <t>Saldo a favor
 de Gas Corona
 SAECA (A-B)</t>
  </si>
  <si>
    <r>
      <t>26.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Book Antiqua"/>
        <family val="1"/>
      </rPr>
      <t>Restricciones al derecho de propiedad.</t>
    </r>
  </si>
  <si>
    <t xml:space="preserve">No existen restricciones sobre los bienes de la empresa al cierre del presente </t>
  </si>
  <si>
    <t>ejercicio anual, ni se ha otorgado garantía alguna sobre los mismos</t>
  </si>
  <si>
    <t>Sra. Luisa I. Schaerer de Pallarés</t>
  </si>
  <si>
    <t>Lic. María Celeste Pallarés Viveros</t>
  </si>
  <si>
    <t xml:space="preserve">     Presidente</t>
  </si>
  <si>
    <t xml:space="preserve">                Vicepresidente</t>
  </si>
  <si>
    <t>Dr. Raúl Fernando Vargas</t>
  </si>
  <si>
    <t xml:space="preserve">              Síndico</t>
  </si>
  <si>
    <t xml:space="preserve">        Contadora</t>
  </si>
  <si>
    <t xml:space="preserve">BALANCE GENERAL </t>
  </si>
  <si>
    <t>(Expresado en guaraníes)</t>
  </si>
  <si>
    <t>A C T I V O</t>
  </si>
  <si>
    <t>Dic/05</t>
  </si>
  <si>
    <t>Dic/04</t>
  </si>
  <si>
    <t>Variación</t>
  </si>
  <si>
    <t>ACTIVO CORRIENTE</t>
  </si>
  <si>
    <t>DISPONIBLE</t>
  </si>
  <si>
    <r>
      <t xml:space="preserve">   Caja y Bancos </t>
    </r>
    <r>
      <rPr>
        <b/>
        <sz val="12"/>
        <rFont val="Times New Roman"/>
        <family val="1"/>
      </rPr>
      <t>- Nota 3</t>
    </r>
  </si>
  <si>
    <t>REALIZABLES</t>
  </si>
  <si>
    <r>
      <t xml:space="preserve">   Deudores por Venta</t>
    </r>
    <r>
      <rPr>
        <b/>
        <sz val="12"/>
        <rFont val="Times New Roman"/>
        <family val="1"/>
      </rPr>
      <t xml:space="preserve"> - Nota 4 y Nota 11</t>
    </r>
  </si>
  <si>
    <r>
      <t xml:space="preserve">   Deudores en Gestión de Cobro - </t>
    </r>
    <r>
      <rPr>
        <b/>
        <sz val="12"/>
        <rFont val="Times New Roman"/>
        <family val="1"/>
      </rPr>
      <t>Nota 22</t>
    </r>
  </si>
  <si>
    <t xml:space="preserve">   Deudores Varios</t>
  </si>
  <si>
    <t xml:space="preserve">   Impuesto al Valor Agregado</t>
  </si>
  <si>
    <t xml:space="preserve">   Reteciones Computables</t>
  </si>
  <si>
    <r>
      <t xml:space="preserve">   Documentos a Cobrar - </t>
    </r>
    <r>
      <rPr>
        <b/>
        <sz val="12"/>
        <rFont val="Times New Roman"/>
        <family val="1"/>
      </rPr>
      <t>Nota 5</t>
    </r>
  </si>
  <si>
    <r>
      <t xml:space="preserve">   Anticipo a Proveedores  - </t>
    </r>
    <r>
      <rPr>
        <b/>
        <sz val="12"/>
        <rFont val="Times New Roman"/>
        <family val="1"/>
      </rPr>
      <t>Nota 6</t>
    </r>
  </si>
  <si>
    <t xml:space="preserve">   Anticipo Impuesto a la Renta</t>
  </si>
  <si>
    <t>EXISTENCIAS - Nota 2. f), Nota 7 y Anexo F</t>
  </si>
  <si>
    <t xml:space="preserve">   Gas Licuado de Petróleo </t>
  </si>
  <si>
    <t xml:space="preserve">   Envases para Gas Licuado</t>
  </si>
  <si>
    <t xml:space="preserve">   Importaciones en Curso</t>
  </si>
  <si>
    <t xml:space="preserve">   Repuestos Varios</t>
  </si>
  <si>
    <t xml:space="preserve">   Estaciones de Servicios</t>
  </si>
  <si>
    <t>GASTOS PAGADOS POR ADELANTADO</t>
  </si>
  <si>
    <t xml:space="preserve">   Seguros</t>
  </si>
  <si>
    <r>
      <t xml:space="preserve">   Intereses a Vencer -</t>
    </r>
    <r>
      <rPr>
        <b/>
        <sz val="12"/>
        <rFont val="Times New Roman"/>
        <family val="1"/>
      </rPr>
      <t>Nota 8</t>
    </r>
  </si>
  <si>
    <t xml:space="preserve">   Provisiones Varias</t>
  </si>
  <si>
    <r>
      <t xml:space="preserve">   Varios </t>
    </r>
    <r>
      <rPr>
        <b/>
        <sz val="12"/>
        <rFont val="Times New Roman"/>
        <family val="1"/>
      </rPr>
      <t>- Nota 9</t>
    </r>
  </si>
  <si>
    <t>Total Activo Corriente</t>
  </si>
  <si>
    <t>Sra. Luisa I. Schaerer de Pallares</t>
  </si>
  <si>
    <t>Sra. Maria Celeste Pallares Viveros</t>
  </si>
  <si>
    <t>Presidente</t>
  </si>
  <si>
    <t xml:space="preserve">Vicepresidente </t>
  </si>
  <si>
    <t>Dr. Raul Fernando Vargas</t>
  </si>
  <si>
    <t>C.P. Gloria Elizabeth Flecha</t>
  </si>
  <si>
    <t>Síndico</t>
  </si>
  <si>
    <t xml:space="preserve">Contadora </t>
  </si>
  <si>
    <t>ACTIVO NO CORRIENTE</t>
  </si>
  <si>
    <t>BIENES DE USO - Nota 2.e) y Anexo A</t>
  </si>
  <si>
    <t xml:space="preserve">   Bienes en Operación</t>
  </si>
  <si>
    <t xml:space="preserve">   Depreciaciones Acumuladas</t>
  </si>
  <si>
    <t>Cargos Diferidos - Nota 10</t>
  </si>
  <si>
    <t xml:space="preserve">   Mejoras en Propiedad de Terceros</t>
  </si>
  <si>
    <t xml:space="preserve">   Contratos</t>
  </si>
  <si>
    <t xml:space="preserve">   Mantenimiento de Garrafas</t>
  </si>
  <si>
    <t>Intereses  y Seguros a Vencer a Largo Plazo</t>
  </si>
  <si>
    <r>
      <t xml:space="preserve">   Intereses a Vencer Bonos Gs. L.P.</t>
    </r>
    <r>
      <rPr>
        <b/>
        <sz val="12"/>
        <rFont val="Times New Roman"/>
        <family val="1"/>
      </rPr>
      <t xml:space="preserve"> Nota 8</t>
    </r>
  </si>
  <si>
    <r>
      <t xml:space="preserve">   Intereses a Vencer Bonos USD L.P.  </t>
    </r>
    <r>
      <rPr>
        <b/>
        <sz val="12"/>
        <rFont val="Times New Roman"/>
        <family val="1"/>
      </rPr>
      <t>Nota 8</t>
    </r>
  </si>
  <si>
    <t xml:space="preserve">   Seguros a Vencer L.P.</t>
  </si>
  <si>
    <t>Total Activo No Corriente</t>
  </si>
  <si>
    <t>TOTAL ACTIVO</t>
  </si>
  <si>
    <t>P A S I V O</t>
  </si>
  <si>
    <t>PASIVO CORRIENTE</t>
  </si>
  <si>
    <t>EXIGIBLES</t>
  </si>
  <si>
    <t xml:space="preserve">   Documentos a Pagar</t>
  </si>
  <si>
    <r>
      <t xml:space="preserve">   Intereses a Pagar - </t>
    </r>
    <r>
      <rPr>
        <b/>
        <sz val="12"/>
        <rFont val="Times New Roman"/>
        <family val="1"/>
      </rPr>
      <t>Nota 8</t>
    </r>
  </si>
  <si>
    <t>Total Pasivo Corriente</t>
  </si>
  <si>
    <t>PASIVO NO CORRIENTE</t>
  </si>
  <si>
    <t>ACREEDORES VARIOS</t>
  </si>
  <si>
    <t xml:space="preserve">   Documentos a Pagar </t>
  </si>
  <si>
    <t>Total Pasivo no Corriente</t>
  </si>
  <si>
    <t>TOTAL PASIVO</t>
  </si>
  <si>
    <t xml:space="preserve">VicePresidente </t>
  </si>
  <si>
    <t>PATRIMONIO NETO</t>
  </si>
  <si>
    <t>CAPITAL SOCIAL</t>
  </si>
  <si>
    <t xml:space="preserve">   Capital Integrado</t>
  </si>
  <si>
    <t>RESERVAS</t>
  </si>
  <si>
    <t xml:space="preserve">   Reserva Legal</t>
  </si>
  <si>
    <t>RESULTADOS</t>
  </si>
  <si>
    <t xml:space="preserve">   Del Ejercicio</t>
  </si>
  <si>
    <t>TOTAL PATRIMONIO NETO</t>
  </si>
  <si>
    <t>TOTAL PASIVO Y PATRIMONIO NETO</t>
  </si>
  <si>
    <t>CUENTAS DE ORDEN</t>
  </si>
  <si>
    <r>
      <t xml:space="preserve">   Pólizas de Seguros </t>
    </r>
    <r>
      <rPr>
        <b/>
        <sz val="12"/>
        <rFont val="Book Antiqua"/>
        <family val="1"/>
      </rPr>
      <t>(Nota 18)</t>
    </r>
  </si>
  <si>
    <r>
      <t xml:space="preserve">   Cheques Descontados </t>
    </r>
    <r>
      <rPr>
        <b/>
        <sz val="12"/>
        <rFont val="Book Antiqua"/>
        <family val="1"/>
      </rPr>
      <t>(Nota 19)</t>
    </r>
  </si>
  <si>
    <t xml:space="preserve">   Litigios Judiciales en Curso</t>
  </si>
  <si>
    <r>
      <t xml:space="preserve">   Garantías sobre Créditos Otorgados </t>
    </r>
    <r>
      <rPr>
        <b/>
        <sz val="12"/>
        <rFont val="Book Antiqua"/>
        <family val="1"/>
      </rPr>
      <t>(Nota 20)</t>
    </r>
  </si>
  <si>
    <r>
      <t xml:space="preserve">   Tasaciones Inmuebles </t>
    </r>
    <r>
      <rPr>
        <b/>
        <sz val="12"/>
        <rFont val="Book Antiqua"/>
        <family val="1"/>
      </rPr>
      <t>Nota 21</t>
    </r>
  </si>
  <si>
    <t>Las Notas que se adjuntan forman parte integrante de estos Estados Contables</t>
  </si>
  <si>
    <t xml:space="preserve">Vice- Presidente </t>
  </si>
  <si>
    <t>ESTADO DE RESULTADOS</t>
  </si>
  <si>
    <t>POR EL PERIODO COMPRENDIDO ENTRE</t>
  </si>
  <si>
    <t>VENTAS</t>
  </si>
  <si>
    <t xml:space="preserve">   Ventas GLP</t>
  </si>
  <si>
    <t xml:space="preserve">   Ventas Combustibles Liquidos y afines </t>
  </si>
  <si>
    <t>Menos</t>
  </si>
  <si>
    <t xml:space="preserve">   Devoluciones y Descuentos - GLP</t>
  </si>
  <si>
    <t xml:space="preserve">   Devoluciones y Descuentos - Combustible</t>
  </si>
  <si>
    <t>Ventas Netas</t>
  </si>
  <si>
    <t xml:space="preserve">   Costos de Mercaderías Vendidas GLP</t>
  </si>
  <si>
    <t xml:space="preserve">   Costos de Mercaderías Vendidas Combustible</t>
  </si>
  <si>
    <t>RESULTADO BRUTO</t>
  </si>
  <si>
    <t>Más</t>
  </si>
  <si>
    <t>OTROS INGRESOS NO OPERATIVOS</t>
  </si>
  <si>
    <t xml:space="preserve">   Intereses Ganados</t>
  </si>
  <si>
    <t xml:space="preserve">   Ventas de Envases</t>
  </si>
  <si>
    <t xml:space="preserve">   Ventas de Repuestos y Materiales Varios</t>
  </si>
  <si>
    <t xml:space="preserve">   Ventas de Servicios</t>
  </si>
  <si>
    <t xml:space="preserve">   Ventas de Bienes de Uso</t>
  </si>
  <si>
    <t xml:space="preserve">   Otros Ingresos</t>
  </si>
  <si>
    <t xml:space="preserve">   Diferencia de cambio</t>
  </si>
  <si>
    <t>GASTOS DE EXPLOTACIÓN</t>
  </si>
  <si>
    <t xml:space="preserve">   Gastos de Fraccionamiento GLP</t>
  </si>
  <si>
    <t xml:space="preserve">   Gastos de Distribución GLP y Combustible</t>
  </si>
  <si>
    <t xml:space="preserve">   Gastos Administrativos</t>
  </si>
  <si>
    <t xml:space="preserve">   Gastos Financieros</t>
  </si>
  <si>
    <t xml:space="preserve">   Gastos Estaciones de Servicios</t>
  </si>
  <si>
    <t>RESULTADO ANTES DE IMPUESTO</t>
  </si>
  <si>
    <t xml:space="preserve">   Impuesto a la Renta</t>
  </si>
  <si>
    <t xml:space="preserve">RESULTADO ANTES DE RESERVA LEGAL </t>
  </si>
  <si>
    <t xml:space="preserve">  Reserva Legal </t>
  </si>
  <si>
    <t xml:space="preserve">GANANCIA (PÉRDIDA) LÍQUIDA DEL EJERCICIO </t>
  </si>
  <si>
    <t xml:space="preserve">                C.P. Gloria Elizabeth Flecha</t>
  </si>
  <si>
    <t>ESTADO DE FLUJO DE EFECTIVO (SEGÚN MÉTODO DIRECTO)</t>
  </si>
  <si>
    <t>POR EL PERIODO COMPRENDIDO ENTRE EL</t>
  </si>
  <si>
    <t>(Expresado en Guaranies)</t>
  </si>
  <si>
    <t>Dividendos Pagados</t>
  </si>
  <si>
    <t xml:space="preserve">Sra. Luisa Isabel  Schaerer de Pallarés </t>
  </si>
  <si>
    <t>Sra. María Celeste Pallarés Viveros</t>
  </si>
  <si>
    <t xml:space="preserve">       Vicepresidente </t>
  </si>
  <si>
    <t xml:space="preserve">C.P. Gloria Elizabeth Flecha </t>
  </si>
  <si>
    <t>Síndico Titular</t>
  </si>
  <si>
    <t>Contadora</t>
  </si>
  <si>
    <t>ESTADO DE VARIACIÓN DEL PATRIMONIO NETO</t>
  </si>
  <si>
    <r>
      <rPr>
        <b/>
        <sz val="14"/>
        <rFont val="Times New Roman"/>
        <family val="1"/>
      </rPr>
      <t>(Expresado en guaraníes)</t>
    </r>
  </si>
  <si>
    <t>CAPITAL</t>
  </si>
  <si>
    <t>Concepto</t>
  </si>
  <si>
    <t>Anticipo para</t>
  </si>
  <si>
    <t>Del</t>
  </si>
  <si>
    <t>Integrado</t>
  </si>
  <si>
    <t>Aumento de Capital</t>
  </si>
  <si>
    <t>Generales</t>
  </si>
  <si>
    <t>Legal</t>
  </si>
  <si>
    <t>Revalúo</t>
  </si>
  <si>
    <t>Acumulado</t>
  </si>
  <si>
    <t>Ejercicio</t>
  </si>
  <si>
    <t>Transferencia utilidades</t>
  </si>
  <si>
    <r>
      <rPr>
        <sz val="10"/>
        <rFont val="Times New Roman"/>
        <family val="1"/>
      </rPr>
      <t>a Resultados Acumulados</t>
    </r>
  </si>
  <si>
    <t>Capitalización Reserva de Revalúo</t>
  </si>
  <si>
    <t>Capitalización de Resultados</t>
  </si>
  <si>
    <t>Distribución de Dividendos</t>
  </si>
  <si>
    <t xml:space="preserve">Reserva del Ejercicio </t>
  </si>
  <si>
    <t>Resultado del Ejercicio</t>
  </si>
  <si>
    <r>
      <rPr>
        <sz val="12"/>
        <rFont val="Times New Roman"/>
        <family val="1"/>
      </rPr>
      <t>Las Notas que se adjuntan forman parte integrante de estos estados contables</t>
    </r>
  </si>
  <si>
    <t xml:space="preserve">Sra. Luisa I. Schaerer de Pallarés </t>
  </si>
  <si>
    <t xml:space="preserve">Lic. María Celeste Pallarés Viveros </t>
  </si>
  <si>
    <t xml:space="preserve">Lic. Gloria Elizabeth Flecha </t>
  </si>
  <si>
    <r>
      <rPr>
        <b/>
        <sz val="10"/>
        <rFont val="Times New Roman"/>
        <family val="1"/>
      </rPr>
      <t>Síndico</t>
    </r>
  </si>
  <si>
    <t>ANEXO B</t>
  </si>
  <si>
    <t>BALANCE GENERAL</t>
  </si>
  <si>
    <t>ACTIVOS INTANGIBLES</t>
  </si>
  <si>
    <t>VALORES DE ORIGEN</t>
  </si>
  <si>
    <t>AMORTIZACIONES</t>
  </si>
  <si>
    <t>Al Inicio</t>
  </si>
  <si>
    <t>Al Cierre</t>
  </si>
  <si>
    <t xml:space="preserve">Acumulados </t>
  </si>
  <si>
    <t>CUENTAS</t>
  </si>
  <si>
    <t xml:space="preserve">del </t>
  </si>
  <si>
    <t xml:space="preserve">al Inicio </t>
  </si>
  <si>
    <t xml:space="preserve">al Cierre </t>
  </si>
  <si>
    <t>Neto</t>
  </si>
  <si>
    <t>Periodo</t>
  </si>
  <si>
    <t>Aumentos</t>
  </si>
  <si>
    <t>Disminución</t>
  </si>
  <si>
    <t>del Periodo</t>
  </si>
  <si>
    <t>Bajas</t>
  </si>
  <si>
    <t>Resultante</t>
  </si>
  <si>
    <t>Implementación Software</t>
  </si>
  <si>
    <t>Totales Ejercicio Actual</t>
  </si>
  <si>
    <t>Totales Ejercicio Anterior</t>
  </si>
  <si>
    <t xml:space="preserve">          Presidente</t>
  </si>
  <si>
    <t xml:space="preserve">         Vicepresidente </t>
  </si>
  <si>
    <t xml:space="preserve">           Síndico</t>
  </si>
  <si>
    <t>ANEXO C</t>
  </si>
  <si>
    <t>INVERSIONES, ACCIONES, DEBENTURES Y OTROS TÍTULOS EMITIDOS EN SERIE</t>
  </si>
  <si>
    <t>PARTICIPACIÓN EN OTRAS SOCIEDADES</t>
  </si>
  <si>
    <t>Denominación y Características</t>
  </si>
  <si>
    <t>Valor</t>
  </si>
  <si>
    <t xml:space="preserve">Valor </t>
  </si>
  <si>
    <t>Información sobre el Emisor</t>
  </si>
  <si>
    <t xml:space="preserve">de los Valores </t>
  </si>
  <si>
    <t xml:space="preserve">Nominal </t>
  </si>
  <si>
    <t>Patrimonial</t>
  </si>
  <si>
    <t>de</t>
  </si>
  <si>
    <t xml:space="preserve">de </t>
  </si>
  <si>
    <t>% de</t>
  </si>
  <si>
    <t>Actividad</t>
  </si>
  <si>
    <t>Según Ultimo Balance</t>
  </si>
  <si>
    <t>Emisor</t>
  </si>
  <si>
    <t>Clase</t>
  </si>
  <si>
    <t>Unitario</t>
  </si>
  <si>
    <t>Cantidad</t>
  </si>
  <si>
    <t>Total</t>
  </si>
  <si>
    <t>Proporcional</t>
  </si>
  <si>
    <t>Libros</t>
  </si>
  <si>
    <t>Cotización</t>
  </si>
  <si>
    <t>Participación</t>
  </si>
  <si>
    <t>Principal</t>
  </si>
  <si>
    <t>Capital</t>
  </si>
  <si>
    <t>Resultado</t>
  </si>
  <si>
    <t>Patrimonio Neto</t>
  </si>
  <si>
    <t xml:space="preserve">Inversiones </t>
  </si>
  <si>
    <t>Temporarias</t>
  </si>
  <si>
    <t>Permanentes</t>
  </si>
  <si>
    <t>ANEXO A</t>
  </si>
  <si>
    <t>BIENES DE USO</t>
  </si>
  <si>
    <t xml:space="preserve"> </t>
  </si>
  <si>
    <t>Al inicio</t>
  </si>
  <si>
    <t>Altas y transf.</t>
  </si>
  <si>
    <t>Bajas del</t>
  </si>
  <si>
    <t>Al cierre</t>
  </si>
  <si>
    <t>Acumuladas al</t>
  </si>
  <si>
    <t xml:space="preserve">Altas </t>
  </si>
  <si>
    <t>del periodo</t>
  </si>
  <si>
    <t>periodo</t>
  </si>
  <si>
    <t>inicio del periodo</t>
  </si>
  <si>
    <t>Ajustes</t>
  </si>
  <si>
    <t>cierre del periodo</t>
  </si>
  <si>
    <t>Inmuebles</t>
  </si>
  <si>
    <t>Edificios y Mejoras</t>
  </si>
  <si>
    <t>Maquinarias y Equipos</t>
  </si>
  <si>
    <t>Maquinas de Oficinas</t>
  </si>
  <si>
    <t>Tanques para Gas Licuado de Petróleo</t>
  </si>
  <si>
    <t>Instalaciones</t>
  </si>
  <si>
    <t>Muebles y Útiles de Oficina</t>
  </si>
  <si>
    <t>Muebles y Bancos de Trabajos</t>
  </si>
  <si>
    <t>Herramientas</t>
  </si>
  <si>
    <t>Equipos de Seguridad y Protección</t>
  </si>
  <si>
    <t>Equipos de Comunicación</t>
  </si>
  <si>
    <t>Embarcacion</t>
  </si>
  <si>
    <t>Equipos de Informática</t>
  </si>
  <si>
    <t xml:space="preserve">Implementación Software </t>
  </si>
  <si>
    <t>Equipos de Jardinería</t>
  </si>
  <si>
    <t>Maq. y Eq. Estaciones de Servicios</t>
  </si>
  <si>
    <t>Obras y Proyectos en Ejecucion</t>
  </si>
  <si>
    <t>Barcaza (*)</t>
  </si>
  <si>
    <t xml:space="preserve">Total Ejercicio actual </t>
  </si>
  <si>
    <t>Total Ejercicio anterior</t>
  </si>
  <si>
    <t xml:space="preserve">(*) La escritura de transferencia y el cambio de bandera de esta embarcación se encuentran en trámite, por lo que este bien aún no se deprecia en el Cuadro de Revaluo y Depreciación de los Bienes del Activo Fijo. </t>
  </si>
  <si>
    <t>ANEXO D</t>
  </si>
  <si>
    <t>OTRAS INVERSIONES</t>
  </si>
  <si>
    <t xml:space="preserve"> de</t>
  </si>
  <si>
    <t>Registrado</t>
  </si>
  <si>
    <t>Cuentas</t>
  </si>
  <si>
    <t>Costo</t>
  </si>
  <si>
    <t>Amortización</t>
  </si>
  <si>
    <t>Año Actual</t>
  </si>
  <si>
    <t>Año Anterior</t>
  </si>
  <si>
    <r>
      <t xml:space="preserve">Corrientes </t>
    </r>
    <r>
      <rPr>
        <b/>
        <sz val="10"/>
        <rFont val="Times New Roman"/>
        <family val="1"/>
      </rPr>
      <t>(*)</t>
    </r>
  </si>
  <si>
    <t>Sub Total</t>
  </si>
  <si>
    <t>No Corrientes</t>
  </si>
  <si>
    <t>Totales Ejercicio</t>
  </si>
  <si>
    <t>ANEXO E</t>
  </si>
  <si>
    <t>PREVISIONES</t>
  </si>
  <si>
    <t xml:space="preserve">Saldo al </t>
  </si>
  <si>
    <t>Saldo al</t>
  </si>
  <si>
    <t>Inicio del</t>
  </si>
  <si>
    <t>Cierre del</t>
  </si>
  <si>
    <t>RUBRO</t>
  </si>
  <si>
    <t>Constitución</t>
  </si>
  <si>
    <t>Desafestación</t>
  </si>
  <si>
    <t>Aplicación</t>
  </si>
  <si>
    <t>Ejerc. Actual</t>
  </si>
  <si>
    <t>Ejerc. Anterior</t>
  </si>
  <si>
    <t xml:space="preserve">Deducidas </t>
  </si>
  <si>
    <r>
      <t xml:space="preserve">del Activo </t>
    </r>
    <r>
      <rPr>
        <b/>
        <sz val="10"/>
        <rFont val="Times New Roman"/>
        <family val="1"/>
      </rPr>
      <t>(*)</t>
    </r>
  </si>
  <si>
    <t xml:space="preserve">Incluidas en </t>
  </si>
  <si>
    <r>
      <t xml:space="preserve">el Pasivo </t>
    </r>
    <r>
      <rPr>
        <b/>
        <sz val="10"/>
        <rFont val="Times New Roman"/>
        <family val="1"/>
      </rPr>
      <t>(**)</t>
    </r>
  </si>
  <si>
    <r>
      <t>(*)</t>
    </r>
    <r>
      <rPr>
        <sz val="12"/>
        <rFont val="Times New Roman"/>
        <family val="1"/>
      </rPr>
      <t xml:space="preserve">  Corresponde a previsiones para créditos incobrables</t>
    </r>
  </si>
  <si>
    <t>ANEXO F</t>
  </si>
  <si>
    <t>COSTO DE MERCADERÍAS O PRODUCTOS VENDIDOS</t>
  </si>
  <si>
    <t>O SERVICIOS PRESTADOS</t>
  </si>
  <si>
    <t>DETALLE</t>
  </si>
  <si>
    <t>Actual</t>
  </si>
  <si>
    <t>Anterior</t>
  </si>
  <si>
    <t>I.   COSTO DE MERCADERÍAS O</t>
  </si>
  <si>
    <t xml:space="preserve">     PRODUCTOS VENDIDOS</t>
  </si>
  <si>
    <t>Existencias al comienzo del periodo</t>
  </si>
  <si>
    <t>Mercaderías GLP</t>
  </si>
  <si>
    <t>Mercaderías  Combustible</t>
  </si>
  <si>
    <t>Importaciones en Curso</t>
  </si>
  <si>
    <t>Envases para GLP</t>
  </si>
  <si>
    <t>Repuestos Varios</t>
  </si>
  <si>
    <t>Compras y Costos de Producción del</t>
  </si>
  <si>
    <t>a) Compras</t>
  </si>
  <si>
    <t>b) Costos de Producción</t>
  </si>
  <si>
    <t>Diferencia de Inventario</t>
  </si>
  <si>
    <t>Resultado por Tenencia</t>
  </si>
  <si>
    <t>Existencias al cierre del periodo</t>
  </si>
  <si>
    <t>Mercaderías Combustible</t>
  </si>
  <si>
    <t xml:space="preserve">Importaciones en Curso </t>
  </si>
  <si>
    <t xml:space="preserve">II.  COSTOS DE SERVICIOS </t>
  </si>
  <si>
    <t xml:space="preserve">     PRESTADOS SEGÚN ANEXO H</t>
  </si>
  <si>
    <t xml:space="preserve">     COSTO DE MERCADERÍAS O</t>
  </si>
  <si>
    <t xml:space="preserve">     PRODUCTOS VENDIDOS Y</t>
  </si>
  <si>
    <t xml:space="preserve">     SERVICIOS PRESTADOS</t>
  </si>
  <si>
    <t>ANEXO G</t>
  </si>
  <si>
    <t>ACTIVOS Y PASIVOS EN MONEDA EXTRANJERA</t>
  </si>
  <si>
    <t>Moneda Extranjera</t>
  </si>
  <si>
    <t>Moneda Local</t>
  </si>
  <si>
    <t xml:space="preserve">Monto </t>
  </si>
  <si>
    <t xml:space="preserve">Cambio </t>
  </si>
  <si>
    <t>Monto</t>
  </si>
  <si>
    <t>Vigente</t>
  </si>
  <si>
    <t>ACTIVO</t>
  </si>
  <si>
    <t>Activos Corrientes</t>
  </si>
  <si>
    <t>Caja</t>
  </si>
  <si>
    <t>US$ Americano</t>
  </si>
  <si>
    <t>Bancos</t>
  </si>
  <si>
    <t>Clientes</t>
  </si>
  <si>
    <t>Adelanto a Proveedores</t>
  </si>
  <si>
    <t>Intereses a Vencer (Bonos Bursátiles)</t>
  </si>
  <si>
    <t>Sub Totales</t>
  </si>
  <si>
    <t>Activos No Corrientes</t>
  </si>
  <si>
    <t>Interes a Vencer Bonos USD</t>
  </si>
  <si>
    <t>PASIVO</t>
  </si>
  <si>
    <t>Pasivos Corrientes</t>
  </si>
  <si>
    <t>Provisiones Varias</t>
  </si>
  <si>
    <t>Sobregiros en Banco</t>
  </si>
  <si>
    <t>Proveedores del Exterior</t>
  </si>
  <si>
    <t xml:space="preserve">Proveedores Locales </t>
  </si>
  <si>
    <t>Cheques Emitidos no cobrados</t>
  </si>
  <si>
    <t>Bonos Bursátiles (Capital)</t>
  </si>
  <si>
    <t>Bonos Bursátiles (Intereses)</t>
  </si>
  <si>
    <t>Documentos a Pagar</t>
  </si>
  <si>
    <t>Pasivos No Corrientes</t>
  </si>
  <si>
    <t>ANEXO H</t>
  </si>
  <si>
    <t>(Expresado guaraníes)</t>
  </si>
  <si>
    <t>INFORMACIÓN REQUERIDA SOBRE COSTOS Y GASTOS</t>
  </si>
  <si>
    <t>R U B R O S</t>
  </si>
  <si>
    <t>Gastos de  Fraccionamiento GLP</t>
  </si>
  <si>
    <t>Gastos de Distribución</t>
  </si>
  <si>
    <t>Gastos Administrativos</t>
  </si>
  <si>
    <t>Gastos Financieros</t>
  </si>
  <si>
    <t>Sueldos, Jornales y Cargas sociales</t>
  </si>
  <si>
    <t>Aporte Patronal IPS</t>
  </si>
  <si>
    <t xml:space="preserve">Uniformes </t>
  </si>
  <si>
    <t>Fletes Varios</t>
  </si>
  <si>
    <t>Combustibles y Lubricantes</t>
  </si>
  <si>
    <t>Mantenimiento y Repuestos</t>
  </si>
  <si>
    <t>Mantenimiento Planta</t>
  </si>
  <si>
    <t>Gastos de Transportes</t>
  </si>
  <si>
    <t>Seguros</t>
  </si>
  <si>
    <t>Impuestos, Tasas y Patentes</t>
  </si>
  <si>
    <t>Depreciación del Ejercicio</t>
  </si>
  <si>
    <t>Servicio de Grua y Cubiertas Recapada</t>
  </si>
  <si>
    <t>Agua, Luz, Teléfono, Internet</t>
  </si>
  <si>
    <t>Suministro e Insumos</t>
  </si>
  <si>
    <t>Hielo</t>
  </si>
  <si>
    <t>Gastos Tecnicos</t>
  </si>
  <si>
    <t>Amortizaciones del Ejercicio</t>
  </si>
  <si>
    <t>Gastos Varios</t>
  </si>
  <si>
    <t>Transporte de Caudales</t>
  </si>
  <si>
    <t xml:space="preserve">Remuneración Personal Superior </t>
  </si>
  <si>
    <t>Honorarios y Comisiones</t>
  </si>
  <si>
    <t>Gastos no Deducibles</t>
  </si>
  <si>
    <t>Impresos y Útiles</t>
  </si>
  <si>
    <t>Gastos de Asamblea</t>
  </si>
  <si>
    <t>Encuadernaciones</t>
  </si>
  <si>
    <t>Indemnización Despido</t>
  </si>
  <si>
    <t>Pasajes, Estadías y Viáticos</t>
  </si>
  <si>
    <t>Enseres</t>
  </si>
  <si>
    <t>Publicidad y propaganda</t>
  </si>
  <si>
    <t>Gastos Soporte Informatico software</t>
  </si>
  <si>
    <t>Servicio de monitoreo GPS</t>
  </si>
  <si>
    <t>Donación</t>
  </si>
  <si>
    <t>Licencia Ambiental</t>
  </si>
  <si>
    <t>Capacitación del personal</t>
  </si>
  <si>
    <t>Servicio de Vigilancia</t>
  </si>
  <si>
    <t>Verificacion Tecnica</t>
  </si>
  <si>
    <t>Conservacion y Limpieza</t>
  </si>
  <si>
    <t>Materiales de Limpieza</t>
  </si>
  <si>
    <t>Materiales de Ferreteria/Electricos</t>
  </si>
  <si>
    <t xml:space="preserve">Refrigerio Produccion/Suministros </t>
  </si>
  <si>
    <t xml:space="preserve">Gastos Judiciales </t>
  </si>
  <si>
    <t>Precintos</t>
  </si>
  <si>
    <t>Seguridad Ocupacional</t>
  </si>
  <si>
    <t>Transporte del Personal</t>
  </si>
  <si>
    <t>Gastos de Agenciamiento de GLP</t>
  </si>
  <si>
    <t>Lavados Movil</t>
  </si>
  <si>
    <t>Eventos , Regalos Colabor. y Clientes</t>
  </si>
  <si>
    <t>Servicio Desague Residual</t>
  </si>
  <si>
    <t>Costo Ventas Varias</t>
  </si>
  <si>
    <t>Ayuda Escolar</t>
  </si>
  <si>
    <t>Gastos Tarjetas Bancard</t>
  </si>
  <si>
    <t>Previsión para cuentas incobrables</t>
  </si>
  <si>
    <t>Aporte CADIPAC</t>
  </si>
  <si>
    <t>Lecturas J Fleischaman</t>
  </si>
  <si>
    <t>Gastos CNV y Bolsa de Valores</t>
  </si>
  <si>
    <t>Compra de Diarios</t>
  </si>
  <si>
    <t>Gastos de Cafeteria</t>
  </si>
  <si>
    <t xml:space="preserve">Comisiones Descuento Cheques </t>
  </si>
  <si>
    <t>Gastos de Barcaza</t>
  </si>
  <si>
    <t>Gastos Financieros Varios</t>
  </si>
  <si>
    <t>Intereses Pagados Varios</t>
  </si>
  <si>
    <t>Intereses Bonos Bursátiles</t>
  </si>
  <si>
    <t>Gastos Varios en el Exterior</t>
  </si>
  <si>
    <t xml:space="preserve">Alquileres Varios </t>
  </si>
  <si>
    <t>Diferencia de Cambio</t>
  </si>
  <si>
    <t>Servicio Odontologico al Personal</t>
  </si>
  <si>
    <t>Gastos Varios Taller Transoil-Corona</t>
  </si>
  <si>
    <t>T O T A L E S</t>
  </si>
  <si>
    <t>Ejercicio Anterior</t>
  </si>
  <si>
    <t xml:space="preserve">Sra. Luisa Isabel Schaerer de Pallarés </t>
  </si>
  <si>
    <t xml:space="preserve">                        Presidente</t>
  </si>
  <si>
    <t xml:space="preserve">                                      Síndico</t>
  </si>
  <si>
    <t>ANEXO I</t>
  </si>
  <si>
    <t>DATOS ESTADÍSTICOS</t>
  </si>
  <si>
    <t>Acumulado al Fin del Periodo</t>
  </si>
  <si>
    <t>INDICADORES OPERATIVOS</t>
  </si>
  <si>
    <t xml:space="preserve">   Ejercicio Actual</t>
  </si>
  <si>
    <t>Volumen de Ventas Gas (en kilos)</t>
  </si>
  <si>
    <t>Volumen de Ventas Gas (en miles guaraníes)</t>
  </si>
  <si>
    <t>Volumen de Ventas Combustibles (en litros)</t>
  </si>
  <si>
    <t>Volumen de Ventas Combustibles (en miles de guaraníes)</t>
  </si>
  <si>
    <t>Cantidad de Empleados y Obreros</t>
  </si>
  <si>
    <t>Consumo de Energía (en guaraníes)</t>
  </si>
  <si>
    <t>Cantidad de Sucursales</t>
  </si>
  <si>
    <t>(Otros)</t>
  </si>
  <si>
    <r>
      <t>Nota:</t>
    </r>
    <r>
      <rPr>
        <sz val="10"/>
        <rFont val="Times New Roman"/>
        <family val="1"/>
      </rPr>
      <t xml:space="preserve">   El volumen de operaciones podrá consignarse en unidades físicas, en unidades equivalentes o en algún índice que resulte apropiado para indicar el nivel de la actividad. </t>
    </r>
  </si>
  <si>
    <t>Vicepresidente</t>
  </si>
  <si>
    <t>ANEXO J</t>
  </si>
  <si>
    <t>ÍNDICES ECONÓMICOS – FINANCIEROS</t>
  </si>
  <si>
    <t>INDICES</t>
  </si>
  <si>
    <t>Liquidez (1)</t>
  </si>
  <si>
    <t>Endeudamiento (2)</t>
  </si>
  <si>
    <t>Rentabilidad (3)</t>
  </si>
  <si>
    <t>Resultado Antes</t>
  </si>
  <si>
    <t>Del Impuesto a</t>
  </si>
  <si>
    <t>1)</t>
  </si>
  <si>
    <t>Activo Corriente</t>
  </si>
  <si>
    <t>2)</t>
  </si>
  <si>
    <t>Total del Pasivo</t>
  </si>
  <si>
    <t>3)</t>
  </si>
  <si>
    <t>la Renta</t>
  </si>
  <si>
    <t>Pasivo Corriente</t>
  </si>
  <si>
    <t>Excluido el Resultado</t>
  </si>
  <si>
    <t>Del Periodo</t>
  </si>
  <si>
    <r>
      <t xml:space="preserve">    </t>
    </r>
    <r>
      <rPr>
        <b/>
        <sz val="10"/>
        <rFont val="Times New Roman"/>
        <family val="1"/>
      </rPr>
      <t>Síndico</t>
    </r>
  </si>
  <si>
    <t xml:space="preserve">C. P. Gloria Elizabeth Flecha </t>
  </si>
  <si>
    <t>C.P.  Gloria Elizabeth Flecha</t>
  </si>
  <si>
    <t>horas, se reúne en su local social, sito en Avenida San Antonio y Avenida Padre</t>
  </si>
  <si>
    <t xml:space="preserve">Américo Ferreira, el Directorio de Gas Corona S.A.E.C.A. integrado por su Presidente: </t>
  </si>
  <si>
    <t xml:space="preserve">Sra. Luisa Isabel Schaerer de Pallarés, Vicepresidente: Lic. María Celeste Pallarés </t>
  </si>
  <si>
    <t xml:space="preserve">Viveros, Síndico Titular: Dr. Raúl Fernando Vargas  y la Contadora: Lic. Gloria </t>
  </si>
  <si>
    <t>Elizabeth Flecha, para el tratar los siguientes puntos:</t>
  </si>
  <si>
    <t>Orden del Día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</si>
  <si>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Book Antiqua"/>
        <family val="1"/>
      </rPr>
      <t>Consideración del Acta de Directorio de la sesión anterior.</t>
    </r>
  </si>
  <si>
    <t xml:space="preserve">Desarrollo y Resoluciones </t>
  </si>
  <si>
    <t xml:space="preserve">lectura al Acta de la sesión anterior, cuyo texto es aprobado por unanimidad. </t>
  </si>
  <si>
    <t>1. Como primer punto del orden del día, la Sra. Luisa I. Schaerer de Pallarés da</t>
  </si>
  <si>
    <t xml:space="preserve">2.  Seguidamente la Lic. Gloria Elizabeth Flecha, contadora de la firma, presenta y </t>
  </si>
  <si>
    <t xml:space="preserve">consideración los informes presentados. </t>
  </si>
  <si>
    <t xml:space="preserve">Seguidamente, los miembros del Directorio aprueban por unanimidad los Estados </t>
  </si>
  <si>
    <t xml:space="preserve">Contables Trimestrales que serán presentados a la Comisión Nacional de Valores y </t>
  </si>
  <si>
    <t xml:space="preserve">a la Bolsa de Valores y Productos de Asunción S.A. según las exigencias expuestas </t>
  </si>
  <si>
    <t xml:space="preserve">en las  disposiciones del Mercado de Capitales. </t>
  </si>
  <si>
    <t xml:space="preserve">    Lic. María Celeste Pallarés Viveros</t>
  </si>
  <si>
    <t xml:space="preserve">       Dr. Raúl Fernando Vargas</t>
  </si>
  <si>
    <t xml:space="preserve">   Acreedores Varios</t>
  </si>
  <si>
    <t xml:space="preserve">   Dividendos a Pagar</t>
  </si>
  <si>
    <t xml:space="preserve">   Dirección de Grandes Contribuyentes</t>
  </si>
  <si>
    <t xml:space="preserve">   Obligaciones Bancarias</t>
  </si>
  <si>
    <t>El valor neto de las transacciones entre partes relacionadas al 30 de junio de 2019</t>
  </si>
  <si>
    <t xml:space="preserve">2008 y 2009 inclusive que presentan atrasos en la cobranza, cuyo detalle al 30 de </t>
  </si>
  <si>
    <t xml:space="preserve">El saldo de las obligaciones comerciales con proveedores del exterior al 30 de </t>
  </si>
  <si>
    <t>Estación Servicios SA y Planta</t>
  </si>
  <si>
    <t xml:space="preserve">    Uniformes</t>
  </si>
  <si>
    <t xml:space="preserve">    Seguridad Ocupacional</t>
  </si>
  <si>
    <t>Refinor</t>
  </si>
  <si>
    <t>Banco Continental  S.A.E.C.A.</t>
  </si>
  <si>
    <t>Transgas</t>
  </si>
  <si>
    <t>Anticipo Proveedores Locales</t>
  </si>
  <si>
    <t xml:space="preserve">Total de Cheques Emitidos
 No Cobrados </t>
  </si>
  <si>
    <t>Saldo al 30 de Junio de 2019</t>
  </si>
  <si>
    <t xml:space="preserve">d) Reconocimiento de ingresos y Egresos </t>
  </si>
  <si>
    <t>e) Valuación de los Bienes de Usos</t>
  </si>
  <si>
    <t>f) Valuación de Existencias</t>
  </si>
  <si>
    <t>g) Previsión  por Incobrables</t>
  </si>
  <si>
    <t xml:space="preserve">     Fondo Fijo -  ESSS Pai Pérez</t>
  </si>
  <si>
    <t>Interés a Vencer Corto Plazo</t>
  </si>
  <si>
    <t>Interés Vencer Financieros  C.P.</t>
  </si>
  <si>
    <t>Interés Vencer  Bonos Bursátiles C.P.</t>
  </si>
  <si>
    <t>Total Interés a Vencer C.P. (a+b)</t>
  </si>
  <si>
    <t>Interés a Vencer Largo Plazo</t>
  </si>
  <si>
    <t>Interés Vencer Bonos Bursátiles L.P.</t>
  </si>
  <si>
    <t>Interés a Pagar Corto Plazo</t>
  </si>
  <si>
    <t>Interés a Pagar  Bonos Bursátiles C.P.</t>
  </si>
  <si>
    <t xml:space="preserve">2.   Consideración de los Estados Contables Básicos correspondientes al Segundo  </t>
  </si>
  <si>
    <t xml:space="preserve">expone los Estados Contables Trimestrales correspondientes al 30 de junio de </t>
  </si>
  <si>
    <r>
      <t xml:space="preserve">   Previsión Deudores por Ventas </t>
    </r>
    <r>
      <rPr>
        <b/>
        <sz val="12"/>
        <rFont val="Times New Roman"/>
        <family val="1"/>
      </rPr>
      <t>Nota 2.g) Nota 4; 11 y Anexo E</t>
    </r>
  </si>
  <si>
    <r>
      <t xml:space="preserve">   Previsión Gestión de Cobro </t>
    </r>
    <r>
      <rPr>
        <b/>
        <sz val="12"/>
        <rFont val="Times New Roman"/>
        <family val="1"/>
      </rPr>
      <t>Nota 2.g) Nota 22 ; 11 y Anexo E</t>
    </r>
  </si>
  <si>
    <r>
      <t xml:space="preserve">   Previsión Documentos a  Cobrar - </t>
    </r>
    <r>
      <rPr>
        <b/>
        <sz val="12"/>
        <rFont val="Times New Roman"/>
        <family val="1"/>
      </rPr>
      <t>Nota 5 y Anexo E</t>
    </r>
  </si>
  <si>
    <r>
      <t xml:space="preserve">   Proveedores del Exterior</t>
    </r>
    <r>
      <rPr>
        <b/>
        <sz val="12"/>
        <rFont val="Times New Roman"/>
        <family val="1"/>
      </rPr>
      <t xml:space="preserve"> - Nota 12 y Anexo G</t>
    </r>
  </si>
  <si>
    <r>
      <t xml:space="preserve">   Obligaciones Bancarias</t>
    </r>
    <r>
      <rPr>
        <b/>
        <sz val="12"/>
        <rFont val="Times New Roman"/>
        <family val="1"/>
      </rPr>
      <t xml:space="preserve"> - Nota 13</t>
    </r>
  </si>
  <si>
    <r>
      <t xml:space="preserve">   Cheques emitidos no cobrados en Bancos - </t>
    </r>
    <r>
      <rPr>
        <b/>
        <sz val="12"/>
        <rFont val="Times New Roman"/>
        <family val="1"/>
      </rPr>
      <t>Nota 14</t>
    </r>
  </si>
  <si>
    <r>
      <t xml:space="preserve">   Proveedores Locales - </t>
    </r>
    <r>
      <rPr>
        <b/>
        <sz val="12"/>
        <rFont val="Times New Roman"/>
        <family val="1"/>
      </rPr>
      <t>Nota 15 y Anexo G</t>
    </r>
    <r>
      <rPr>
        <sz val="11"/>
        <color theme="1"/>
        <rFont val="Calibri"/>
        <family val="2"/>
        <scheme val="minor"/>
      </rPr>
      <t/>
    </r>
  </si>
  <si>
    <r>
      <t xml:space="preserve">   Bonos Bursátiles - </t>
    </r>
    <r>
      <rPr>
        <b/>
        <sz val="12"/>
        <rFont val="Times New Roman"/>
        <family val="1"/>
      </rPr>
      <t>Nota 16</t>
    </r>
  </si>
  <si>
    <r>
      <t xml:space="preserve">   Provisiones y Previsiones Varias - </t>
    </r>
    <r>
      <rPr>
        <b/>
        <sz val="12"/>
        <rFont val="Times New Roman"/>
        <family val="1"/>
      </rPr>
      <t>Nota 17</t>
    </r>
  </si>
  <si>
    <t>ACTA DE DIRECTORIO Nº 463/20</t>
  </si>
  <si>
    <t xml:space="preserve">En la ciudad de San Antonio, a los 27  días del mes  julio de  del 2020, siendo las 11:00 </t>
  </si>
  <si>
    <t>Trimestre del Ejercicio Anual 2020.</t>
  </si>
  <si>
    <t>2020. Tras un breve intercambio de opiniones, comentarios y consultas se ponen a</t>
  </si>
  <si>
    <t>Sin otros puntos que considerar, se levanta la sesión siendo las 13:00 hs.</t>
  </si>
  <si>
    <t>AL 30 DE JUNIO DE 2020 Y 2019</t>
  </si>
  <si>
    <t>EL 1° DE ENERO Y EL 30 DE JUNIO DE 2020 Y 2019</t>
  </si>
  <si>
    <t xml:space="preserve">      Al 30 de junio de 2020</t>
  </si>
  <si>
    <t xml:space="preserve">Decima  Tercera Modificación de los Estatutos Sociales: Escritura de </t>
  </si>
  <si>
    <t xml:space="preserve">de la firma Gas Corona S.A.E.C.A. por Escritura Pública Nº 20 del 04 de junio </t>
  </si>
  <si>
    <t xml:space="preserve">de 2019 ante la Escribana Myrian Garcete de Enciso Cuquejo e inscripto en el </t>
  </si>
  <si>
    <t>la  Serie  Comercial,  bajo el Nº 3,  Folio 26  en fecha  12/08/2019  y  en  la</t>
  </si>
  <si>
    <t xml:space="preserve">Dirección Gral. Registro Público; Sección Comercio bajo el Nro. 5,  Folio 37 </t>
  </si>
  <si>
    <t xml:space="preserve">de fecha 12 de agosto de 2019. </t>
  </si>
  <si>
    <t>suscripto ha sido aumentado a Gs. 50.000.000.000 (Guaraníes cicuenta</t>
  </si>
  <si>
    <t>mil millones) y el Capital integrado a Gs. 48.000.000.000 (Guaraníes cuarenta</t>
  </si>
  <si>
    <t xml:space="preserve">y ocho mil millones). </t>
  </si>
  <si>
    <t>El Capital Social se fija en la suma de Gs. 50.000.000.000 (Guaraníes Cincuenta</t>
  </si>
  <si>
    <t xml:space="preserve"> mil millones) y estará dividida en cincuenta  series de Gs. 1.000.000.000</t>
  </si>
  <si>
    <t xml:space="preserve"> (Guaraníes un mil millones) cada serie. Cada serie estará compuesta de 100</t>
  </si>
  <si>
    <t xml:space="preserve"> (cien) acciones, de Gs. 10.000.000 (Guaraníes diez millones</t>
  </si>
  <si>
    <r>
      <t>b)</t>
    </r>
    <r>
      <rPr>
        <b/>
        <sz val="7"/>
        <color theme="1"/>
        <rFont val="Times New Roman"/>
        <family val="1"/>
      </rPr>
      <t> </t>
    </r>
    <r>
      <rPr>
        <b/>
        <sz val="14"/>
        <color theme="1"/>
        <rFont val="Book Antiqua"/>
        <family val="1"/>
      </rPr>
      <t>Efectos de la Inflación.</t>
    </r>
  </si>
  <si>
    <t xml:space="preserve">Al 30 de junio de 2020, los activos en dólares estadounidenses  </t>
  </si>
  <si>
    <t xml:space="preserve">fueron valuados a Gs. 6.793,79 por cada dólar, mientras que los pasivos </t>
  </si>
  <si>
    <t>fueron valuados a Gs. 6.820,47 por cada dólar.</t>
  </si>
  <si>
    <t xml:space="preserve">     Banco Rio Caja de Ahorro</t>
  </si>
  <si>
    <t xml:space="preserve">     Banco Rio Cuenta Corriente</t>
  </si>
  <si>
    <t>11. Composicion de la Cartera de Creditos 30/06/2020 (ANEXO D)</t>
  </si>
  <si>
    <t>TOTAL DE LA CARTERA DE CREDITO AL 30/06/2020 (A+B)</t>
  </si>
  <si>
    <t>(-) TOTAL PREVISIONES AL 30/06/2020</t>
  </si>
  <si>
    <t>TOTAL NETO CARTERA DE CREDITOS AL 30/06/2020</t>
  </si>
  <si>
    <t>junio de 2020 se compone como sigue:</t>
  </si>
  <si>
    <t>Stándar Global Busines</t>
  </si>
  <si>
    <t>SEI Servicios Informaticos</t>
  </si>
  <si>
    <t xml:space="preserve">cheques diferidos a pagar) al 30 de junio de 2020 se compone como sigue, en </t>
  </si>
  <si>
    <t xml:space="preserve">que aún no han sido cobrados en bancos. La composición al 30 de junio de 2020 es </t>
  </si>
  <si>
    <t>30 de junio de 2020 es la siguiente:</t>
  </si>
  <si>
    <t>inclusive. La composición al 30 de junio de 2020</t>
  </si>
  <si>
    <t>previsionar los. La composición del saldo al 30 de junio de 2020 es la siguiente:</t>
  </si>
  <si>
    <t>composición del saldo al 30 de junio de 2020 es la siguiente:</t>
  </si>
  <si>
    <t>vigentes al 30 de junio de 2020. La composición es la siguiente:</t>
  </si>
  <si>
    <t>San Juan del Parana - Itapua</t>
  </si>
  <si>
    <t>junio de 2020 es el siguiente:</t>
  </si>
  <si>
    <t>Situación al 30.06.2020</t>
  </si>
  <si>
    <t xml:space="preserve">Al 30 de junio de 2020, Gas Corona S.A.E.C.A. registra sendos litigios judiciales </t>
  </si>
  <si>
    <t>S.A.E.C.A., al 30 de junio de 2020 es la siguiente:</t>
  </si>
  <si>
    <t>1º DE ENERO Y EL 30 DE JUNIO DE 2020</t>
  </si>
  <si>
    <t>AL 30 DE JUNIO DE 2020</t>
  </si>
  <si>
    <t>Flujo de Efectivo de Actividades Operativas</t>
  </si>
  <si>
    <t>Cobranzas Efectuada a Clientes</t>
  </si>
  <si>
    <t>Pago efectuados a Proveedores y Empleados</t>
  </si>
  <si>
    <t>Efectivo generado por las Operaciones</t>
  </si>
  <si>
    <t>Intereses Pagados</t>
  </si>
  <si>
    <t>Otros Ingresos y (Egresos) Neto</t>
  </si>
  <si>
    <t>Pago de Impuesto a la Renta</t>
  </si>
  <si>
    <t>Flujo  Neto de Efectivo de Actividades Operativas</t>
  </si>
  <si>
    <t>Flujo de Efectivo de Actividades de Inversión</t>
  </si>
  <si>
    <t>Adquisiocion de Bienes de Uso</t>
  </si>
  <si>
    <t>Venta de Bienes de Uso</t>
  </si>
  <si>
    <t>Intereses Cobrados sobre Inversiones</t>
  </si>
  <si>
    <t>Adquisiocion de Inversiones</t>
  </si>
  <si>
    <t>Flujo Neto de Efectivo de  Actividades de Inversión</t>
  </si>
  <si>
    <t>Flujo de Efectivo de Actividades de Financiacion</t>
  </si>
  <si>
    <t>(Disminución) Incremento de Préstamos</t>
  </si>
  <si>
    <t>Aportes de Capital recibidos</t>
  </si>
  <si>
    <t>Flujo Neto de efectivo de Actividades de Financiamiento</t>
  </si>
  <si>
    <t>(Disminución) Incremento neto de Efectivos</t>
  </si>
  <si>
    <t>Efecto estimado de la Diferencia  de Cambio sobre el Saldo de efectivo</t>
  </si>
  <si>
    <t>Efectivo al principio del año</t>
  </si>
  <si>
    <t>Efectivo al final del año</t>
  </si>
  <si>
    <t>Saldo al 31 de diciembre de 2019</t>
  </si>
  <si>
    <t>Saldo al 30 de Junio de 2020</t>
  </si>
  <si>
    <t xml:space="preserve">          Vice- Presidente </t>
  </si>
  <si>
    <t xml:space="preserve">                    Presidente</t>
  </si>
  <si>
    <t xml:space="preserve">                   Contadora</t>
  </si>
  <si>
    <t xml:space="preserve">                           Síndico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</si>
</sst>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3" formatCode="_ * #,##0.00_ ;_ * \-#,##0.00_ ;_ * &quot;-&quot;??_ ;_ @_ "/>
    <numFmt numFmtId="164" formatCode="_-* #,##0.00_-;\-* #,##0.00_-;_-* \-??_-;_-@_-"/>
    <numFmt numFmtId="165" formatCode="General_)"/>
    <numFmt numFmtId="166" formatCode="#,##0\ _$;\-#,##0\ _$"/>
    <numFmt numFmtId="167" formatCode="#,##0\ ;\(#,##0\)"/>
    <numFmt numFmtId="168" formatCode="_-* #,##0.00\ _G_-;\-* #,##0.00\ _G_-;_-* &quot;-&quot;??\ _G_-;_-@_-"/>
    <numFmt numFmtId="169" formatCode="_-* #,##0\ _G_-;\-* #,##0\ _G_-;_-* &quot;-&quot;??\ _G_-;_-@_-"/>
    <numFmt numFmtId="170" formatCode="#,##0.00\ ;\(#,##0.00\)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-* #,##0_-;\-* #,##0_-;_-* \-??_-;_-@_-"/>
    <numFmt numFmtId="175" formatCode="_(* #,##0_);_(* \(#,##0\);_(* \-??_);_(@_)"/>
    <numFmt numFmtId="176" formatCode="d&quot; de &quot;mmm&quot; de &quot;yy"/>
    <numFmt numFmtId="177" formatCode="_-* #,##0.00\ &quot;G&quot;_-;\-* #,##0.00\ &quot;G&quot;_-;_-* &quot;-&quot;??\ &quot;G&quot;_-;_-@_-"/>
    <numFmt numFmtId="178" formatCode="#,##0;[Red]#,##0"/>
    <numFmt numFmtId="179" formatCode="#,##0\ ;\-#,##0\ ;&quot; -&quot;#\ ;@\ "/>
    <numFmt numFmtId="180" formatCode="_-* #,##0.00000_-;\-* #,##0.00000_-;_-* \-??_-;_-@_-"/>
    <numFmt numFmtId="181" formatCode="_-* #,##0\ _G_-;\-* #,##0\ _G_-;_-* &quot;-&quot;\ _G_-;_-@_-"/>
    <numFmt numFmtId="182" formatCode="_-* #,##0.00\ _€_-;\-* #,##0.00\ _€_-;_-* &quot;-&quot;??\ _€_-;_-@_-"/>
    <numFmt numFmtId="183" formatCode="#,##0_ ;[Red]\-#,##0\ 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11"/>
      <color theme="0"/>
      <name val="Calibri"/>
      <family val="2"/>
      <scheme val="minor"/>
    </font>
    <font>
      <b/>
      <sz val="14"/>
      <color theme="0"/>
      <name val="Book Antiqua"/>
      <family val="1"/>
    </font>
    <font>
      <b/>
      <sz val="20"/>
      <color theme="1"/>
      <name val="Calibri"/>
      <family val="2"/>
      <scheme val="minor"/>
    </font>
    <font>
      <sz val="12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24"/>
      <color theme="1"/>
      <name val="Book Antiqua"/>
      <family val="1"/>
    </font>
    <font>
      <b/>
      <shadow/>
      <sz val="24"/>
      <color theme="1"/>
      <name val="Book Antiqua"/>
      <family val="1"/>
    </font>
    <font>
      <b/>
      <sz val="14"/>
      <color theme="1"/>
      <name val="Book Antiqua"/>
      <family val="1"/>
    </font>
    <font>
      <b/>
      <sz val="7"/>
      <color theme="1"/>
      <name val="Times New Roman"/>
      <family val="1"/>
    </font>
    <font>
      <b/>
      <u/>
      <sz val="11"/>
      <color theme="1"/>
      <name val="Book Antiqua"/>
      <family val="1"/>
    </font>
    <font>
      <b/>
      <sz val="13"/>
      <color theme="1"/>
      <name val="Book Antiqua"/>
      <family val="1"/>
    </font>
    <font>
      <b/>
      <u/>
      <sz val="9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8"/>
      <color rgb="FF000000"/>
      <name val="Book Antiqua"/>
      <family val="1"/>
    </font>
    <font>
      <sz val="9"/>
      <color rgb="FF000000"/>
      <name val="Book Antiqua"/>
      <family val="1"/>
    </font>
    <font>
      <b/>
      <sz val="14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u/>
      <sz val="10"/>
      <color rgb="FF000000"/>
      <name val="Book Antiqua"/>
      <family val="1"/>
    </font>
    <font>
      <u/>
      <sz val="10"/>
      <color rgb="FF000000"/>
      <name val="Book Antiqua"/>
      <family val="1"/>
    </font>
    <font>
      <b/>
      <sz val="7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color theme="0"/>
      <name val="Book Antiqua"/>
      <family val="1"/>
    </font>
    <font>
      <sz val="12"/>
      <name val="Courier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ourier"/>
      <family val="3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name val="Courier"/>
      <family val="3"/>
    </font>
    <font>
      <b/>
      <sz val="12"/>
      <name val="Courier"/>
      <family val="3"/>
    </font>
    <font>
      <sz val="12"/>
      <color rgb="FFFF0000"/>
      <name val="Courier"/>
      <family val="3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  <charset val="1"/>
    </font>
    <font>
      <b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"/>
      <family val="2"/>
    </font>
    <font>
      <sz val="7"/>
      <color theme="1"/>
      <name val="Times New Roman"/>
      <family val="1"/>
    </font>
    <font>
      <sz val="10"/>
      <name val="Bitstream Vera Sans"/>
      <family val="2"/>
    </font>
    <font>
      <b/>
      <sz val="7"/>
      <color rgb="FF000000"/>
      <name val="Book Antiqua"/>
      <family val="1"/>
    </font>
    <font>
      <sz val="7"/>
      <color theme="1"/>
      <name val="Book Antiqua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3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3" tint="0.59999389629810485"/>
        <bgColor indexed="5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3" tint="0.79998168889431442"/>
        <bgColor indexed="56"/>
      </patternFill>
    </fill>
    <fill>
      <patternFill patternType="solid">
        <fgColor theme="4" tint="0.39997558519241921"/>
        <bgColor indexed="56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41" fontId="1" fillId="0" borderId="0" applyFont="0" applyFill="0" applyBorder="0" applyAlignment="0" applyProtection="0"/>
    <xf numFmtId="0" fontId="31" fillId="0" borderId="0"/>
    <xf numFmtId="164" fontId="31" fillId="0" borderId="0" applyFont="0" applyFill="0" applyAlignment="0" applyProtection="0"/>
    <xf numFmtId="165" fontId="54" fillId="0" borderId="0"/>
    <xf numFmtId="9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79" fillId="0" borderId="0"/>
    <xf numFmtId="43" fontId="31" fillId="0" borderId="0" applyFont="0" applyFill="0" applyBorder="0" applyAlignment="0" applyProtection="0"/>
    <xf numFmtId="164" fontId="31" fillId="0" borderId="0" applyFont="0" applyFill="0" applyAlignment="0" applyProtection="0"/>
    <xf numFmtId="164" fontId="31" fillId="0" borderId="0" applyFont="0" applyFill="0" applyAlignment="0" applyProtection="0"/>
    <xf numFmtId="171" fontId="35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8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8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7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8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168" fontId="105" fillId="0" borderId="0" applyFont="0" applyFill="0" applyBorder="0" applyAlignment="0" applyProtection="0"/>
  </cellStyleXfs>
  <cellXfs count="977">
    <xf numFmtId="0" fontId="0" fillId="0" borderId="0" xfId="0"/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3" fontId="6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1" fillId="0" borderId="0" xfId="0" applyFont="1"/>
    <xf numFmtId="41" fontId="5" fillId="0" borderId="0" xfId="1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2" xfId="1" applyFont="1" applyBorder="1" applyAlignment="1">
      <alignment horizontal="right" vertical="center"/>
    </xf>
    <xf numFmtId="41" fontId="6" fillId="0" borderId="2" xfId="1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41" fontId="5" fillId="0" borderId="0" xfId="1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Alignment="1">
      <alignment horizontal="justify" vertical="center"/>
    </xf>
    <xf numFmtId="0" fontId="9" fillId="0" borderId="0" xfId="0" applyFont="1" applyFill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1" fontId="5" fillId="0" borderId="0" xfId="1" applyFont="1" applyBorder="1" applyAlignment="1">
      <alignment vertical="center" wrapText="1"/>
    </xf>
    <xf numFmtId="41" fontId="5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3" fontId="15" fillId="0" borderId="18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2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17" fillId="0" borderId="0" xfId="0" applyFont="1"/>
    <xf numFmtId="0" fontId="12" fillId="0" borderId="0" xfId="0" applyFont="1"/>
    <xf numFmtId="0" fontId="12" fillId="0" borderId="0" xfId="0" applyFont="1" applyAlignment="1"/>
    <xf numFmtId="0" fontId="17" fillId="0" borderId="0" xfId="0" applyFont="1" applyAlignme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41" fontId="6" fillId="0" borderId="8" xfId="1" applyFont="1" applyBorder="1" applyAlignment="1">
      <alignment horizontal="right" vertical="center" wrapText="1"/>
    </xf>
    <xf numFmtId="41" fontId="8" fillId="0" borderId="0" xfId="1" applyFont="1" applyAlignment="1">
      <alignment horizontal="right" vertical="center" wrapText="1"/>
    </xf>
    <xf numFmtId="41" fontId="5" fillId="0" borderId="5" xfId="1" applyFont="1" applyBorder="1" applyAlignment="1">
      <alignment horizontal="right" vertical="center" wrapText="1"/>
    </xf>
    <xf numFmtId="41" fontId="6" fillId="0" borderId="5" xfId="1" applyFont="1" applyBorder="1" applyAlignment="1">
      <alignment horizontal="right" vertical="center" wrapText="1"/>
    </xf>
    <xf numFmtId="41" fontId="6" fillId="0" borderId="6" xfId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41" fontId="5" fillId="0" borderId="0" xfId="1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7" fillId="0" borderId="7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17" fillId="0" borderId="7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29" fillId="0" borderId="0" xfId="0" applyFont="1"/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2" fillId="6" borderId="0" xfId="2" applyFont="1" applyFill="1" applyBorder="1" applyAlignment="1"/>
    <xf numFmtId="0" fontId="34" fillId="6" borderId="25" xfId="2" applyFont="1" applyFill="1" applyBorder="1" applyAlignment="1">
      <alignment horizontal="center"/>
    </xf>
    <xf numFmtId="0" fontId="33" fillId="6" borderId="7" xfId="2" applyFont="1" applyFill="1" applyBorder="1" applyAlignment="1"/>
    <xf numFmtId="0" fontId="33" fillId="6" borderId="22" xfId="2" applyFont="1" applyFill="1" applyBorder="1" applyAlignment="1"/>
    <xf numFmtId="0" fontId="18" fillId="6" borderId="36" xfId="2" applyFont="1" applyFill="1" applyBorder="1" applyAlignment="1"/>
    <xf numFmtId="0" fontId="18" fillId="6" borderId="35" xfId="2" applyFont="1" applyFill="1" applyBorder="1" applyAlignment="1"/>
    <xf numFmtId="0" fontId="18" fillId="6" borderId="37" xfId="2" applyFont="1" applyFill="1" applyBorder="1" applyAlignment="1"/>
    <xf numFmtId="0" fontId="36" fillId="6" borderId="28" xfId="2" applyFont="1" applyFill="1" applyBorder="1" applyAlignment="1"/>
    <xf numFmtId="0" fontId="36" fillId="6" borderId="3" xfId="2" applyFont="1" applyFill="1" applyBorder="1" applyAlignment="1"/>
    <xf numFmtId="0" fontId="18" fillId="6" borderId="28" xfId="2" applyFont="1" applyFill="1" applyBorder="1" applyAlignment="1"/>
    <xf numFmtId="0" fontId="18" fillId="6" borderId="3" xfId="2" applyFont="1" applyFill="1" applyBorder="1" applyAlignment="1"/>
    <xf numFmtId="0" fontId="18" fillId="6" borderId="28" xfId="2" applyFont="1" applyFill="1" applyBorder="1" applyAlignment="1">
      <alignment horizontal="left"/>
    </xf>
    <xf numFmtId="0" fontId="18" fillId="6" borderId="3" xfId="2" applyFont="1" applyFill="1" applyBorder="1" applyAlignment="1">
      <alignment horizontal="left"/>
    </xf>
    <xf numFmtId="0" fontId="18" fillId="6" borderId="29" xfId="2" applyFont="1" applyFill="1" applyBorder="1" applyAlignment="1">
      <alignment horizontal="left"/>
    </xf>
    <xf numFmtId="0" fontId="18" fillId="6" borderId="10" xfId="2" applyFont="1" applyFill="1" applyBorder="1" applyAlignment="1"/>
    <xf numFmtId="0" fontId="36" fillId="6" borderId="0" xfId="2" applyFont="1" applyFill="1"/>
    <xf numFmtId="0" fontId="36" fillId="6" borderId="13" xfId="2" applyFont="1" applyFill="1" applyBorder="1" applyAlignment="1"/>
    <xf numFmtId="0" fontId="36" fillId="6" borderId="5" xfId="2" applyFont="1" applyFill="1" applyBorder="1" applyAlignment="1"/>
    <xf numFmtId="0" fontId="36" fillId="6" borderId="14" xfId="2" applyFont="1" applyFill="1" applyBorder="1" applyAlignment="1"/>
    <xf numFmtId="0" fontId="36" fillId="6" borderId="36" xfId="2" applyFont="1" applyFill="1" applyBorder="1" applyAlignment="1"/>
    <xf numFmtId="0" fontId="36" fillId="6" borderId="35" xfId="2" applyFont="1" applyFill="1" applyBorder="1" applyAlignment="1"/>
    <xf numFmtId="0" fontId="36" fillId="6" borderId="31" xfId="2" applyFont="1" applyFill="1" applyBorder="1" applyAlignment="1"/>
    <xf numFmtId="0" fontId="36" fillId="6" borderId="10" xfId="2" applyFont="1" applyFill="1" applyBorder="1" applyAlignment="1"/>
    <xf numFmtId="0" fontId="37" fillId="6" borderId="28" xfId="2" applyFont="1" applyFill="1" applyBorder="1" applyAlignment="1"/>
    <xf numFmtId="0" fontId="37" fillId="6" borderId="31" xfId="2" applyFont="1" applyFill="1" applyBorder="1" applyAlignment="1"/>
    <xf numFmtId="0" fontId="18" fillId="6" borderId="21" xfId="2" applyFont="1" applyFill="1" applyBorder="1" applyAlignment="1"/>
    <xf numFmtId="0" fontId="18" fillId="6" borderId="7" xfId="2" applyFont="1" applyFill="1" applyBorder="1" applyAlignment="1"/>
    <xf numFmtId="0" fontId="18" fillId="6" borderId="22" xfId="2" applyFont="1" applyFill="1" applyBorder="1" applyAlignment="1"/>
    <xf numFmtId="0" fontId="34" fillId="6" borderId="26" xfId="2" applyFont="1" applyFill="1" applyBorder="1" applyAlignment="1">
      <alignment horizontal="center" wrapText="1"/>
    </xf>
    <xf numFmtId="41" fontId="36" fillId="6" borderId="25" xfId="1" applyFont="1" applyFill="1" applyBorder="1" applyAlignment="1"/>
    <xf numFmtId="41" fontId="36" fillId="6" borderId="3" xfId="1" applyFont="1" applyFill="1" applyBorder="1" applyAlignment="1"/>
    <xf numFmtId="41" fontId="18" fillId="6" borderId="25" xfId="1" applyFont="1" applyFill="1" applyBorder="1" applyAlignment="1"/>
    <xf numFmtId="41" fontId="18" fillId="6" borderId="3" xfId="1" applyFont="1" applyFill="1" applyBorder="1" applyAlignment="1"/>
    <xf numFmtId="41" fontId="18" fillId="6" borderId="35" xfId="1" applyFont="1" applyFill="1" applyBorder="1" applyAlignment="1"/>
    <xf numFmtId="9" fontId="36" fillId="6" borderId="25" xfId="1" applyNumberFormat="1" applyFont="1" applyFill="1" applyBorder="1" applyAlignment="1"/>
    <xf numFmtId="9" fontId="18" fillId="6" borderId="25" xfId="1" applyNumberFormat="1" applyFont="1" applyFill="1" applyBorder="1" applyAlignment="1"/>
    <xf numFmtId="41" fontId="6" fillId="0" borderId="0" xfId="1" applyFont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/>
    <xf numFmtId="41" fontId="1" fillId="0" borderId="0" xfId="1" applyFont="1" applyBorder="1"/>
    <xf numFmtId="41" fontId="6" fillId="0" borderId="2" xfId="1" applyFont="1" applyBorder="1" applyAlignment="1">
      <alignment vertical="center" wrapText="1"/>
    </xf>
    <xf numFmtId="41" fontId="6" fillId="0" borderId="0" xfId="1" applyFont="1" applyAlignment="1">
      <alignment horizontal="right" vertical="center" wrapText="1"/>
    </xf>
    <xf numFmtId="41" fontId="6" fillId="0" borderId="10" xfId="1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9" fillId="0" borderId="0" xfId="0" applyFont="1" applyFill="1" applyBorder="1"/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0" fontId="16" fillId="3" borderId="19" xfId="0" applyFont="1" applyFill="1" applyBorder="1" applyAlignment="1">
      <alignment horizontal="center" vertical="center"/>
    </xf>
    <xf numFmtId="41" fontId="16" fillId="3" borderId="22" xfId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vertical="center"/>
    </xf>
    <xf numFmtId="41" fontId="40" fillId="0" borderId="39" xfId="1" applyFont="1" applyBorder="1" applyAlignment="1">
      <alignment horizontal="right" vertical="center"/>
    </xf>
    <xf numFmtId="3" fontId="40" fillId="0" borderId="3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41" fontId="21" fillId="0" borderId="40" xfId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40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41" fontId="40" fillId="0" borderId="41" xfId="1" applyFont="1" applyBorder="1" applyAlignment="1">
      <alignment horizontal="left" vertical="center"/>
    </xf>
    <xf numFmtId="0" fontId="0" fillId="0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1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3" fontId="45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 wrapText="1"/>
    </xf>
    <xf numFmtId="3" fontId="6" fillId="0" borderId="7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41" fontId="20" fillId="0" borderId="14" xfId="1" applyFont="1" applyBorder="1" applyAlignment="1">
      <alignment vertical="center" wrapText="1"/>
    </xf>
    <xf numFmtId="41" fontId="19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 wrapText="1"/>
    </xf>
    <xf numFmtId="41" fontId="20" fillId="0" borderId="14" xfId="1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5" fillId="0" borderId="0" xfId="0" applyFont="1"/>
    <xf numFmtId="0" fontId="49" fillId="0" borderId="0" xfId="0" applyFont="1" applyBorder="1"/>
    <xf numFmtId="0" fontId="5" fillId="0" borderId="0" xfId="0" applyFont="1" applyAlignment="1">
      <alignment horizontal="left" vertical="center"/>
    </xf>
    <xf numFmtId="0" fontId="49" fillId="0" borderId="0" xfId="0" applyFont="1"/>
    <xf numFmtId="0" fontId="0" fillId="0" borderId="0" xfId="0" applyFont="1" applyBorder="1"/>
    <xf numFmtId="0" fontId="0" fillId="0" borderId="0" xfId="0" applyFont="1"/>
    <xf numFmtId="0" fontId="16" fillId="4" borderId="12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0" fillId="0" borderId="18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3" fontId="20" fillId="0" borderId="18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vertical="center" wrapText="1"/>
    </xf>
    <xf numFmtId="41" fontId="19" fillId="0" borderId="15" xfId="1" applyFont="1" applyBorder="1" applyAlignment="1">
      <alignment vertical="center" wrapText="1"/>
    </xf>
    <xf numFmtId="41" fontId="20" fillId="0" borderId="18" xfId="1" applyFont="1" applyBorder="1" applyAlignment="1">
      <alignment horizontal="right" vertical="center" wrapText="1"/>
    </xf>
    <xf numFmtId="41" fontId="20" fillId="0" borderId="14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9" fillId="0" borderId="9" xfId="0" applyNumberFormat="1" applyFont="1" applyBorder="1" applyAlignment="1">
      <alignment horizontal="center" vertical="center"/>
    </xf>
    <xf numFmtId="0" fontId="0" fillId="0" borderId="0" xfId="0" applyAlignment="1"/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2" fillId="6" borderId="0" xfId="2" applyFont="1" applyFill="1" applyBorder="1" applyAlignment="1"/>
    <xf numFmtId="0" fontId="29" fillId="0" borderId="0" xfId="0" applyFont="1" applyBorder="1"/>
    <xf numFmtId="0" fontId="53" fillId="0" borderId="0" xfId="0" applyFont="1" applyFill="1" applyAlignment="1">
      <alignment horizontal="left" vertical="center"/>
    </xf>
    <xf numFmtId="165" fontId="55" fillId="0" borderId="0" xfId="4" applyFont="1" applyBorder="1" applyAlignment="1" applyProtection="1">
      <alignment horizontal="center"/>
    </xf>
    <xf numFmtId="165" fontId="54" fillId="0" borderId="0" xfId="4" applyFont="1" applyBorder="1"/>
    <xf numFmtId="165" fontId="57" fillId="0" borderId="0" xfId="4" applyFont="1" applyBorder="1" applyAlignment="1" applyProtection="1">
      <alignment horizontal="center"/>
    </xf>
    <xf numFmtId="165" fontId="32" fillId="0" borderId="0" xfId="4" applyFont="1" applyBorder="1" applyAlignment="1" applyProtection="1">
      <alignment horizontal="left"/>
    </xf>
    <xf numFmtId="165" fontId="56" fillId="0" borderId="0" xfId="4" applyFont="1" applyBorder="1"/>
    <xf numFmtId="165" fontId="57" fillId="0" borderId="42" xfId="4" applyFont="1" applyBorder="1" applyAlignment="1" applyProtection="1">
      <alignment horizontal="center"/>
    </xf>
    <xf numFmtId="165" fontId="59" fillId="0" borderId="0" xfId="4" applyFont="1" applyBorder="1"/>
    <xf numFmtId="165" fontId="60" fillId="0" borderId="0" xfId="4" applyFont="1" applyBorder="1"/>
    <xf numFmtId="165" fontId="57" fillId="0" borderId="0" xfId="4" applyFont="1" applyBorder="1" applyAlignment="1" applyProtection="1">
      <alignment horizontal="left"/>
    </xf>
    <xf numFmtId="166" fontId="56" fillId="0" borderId="0" xfId="4" applyNumberFormat="1" applyFont="1" applyBorder="1" applyProtection="1"/>
    <xf numFmtId="166" fontId="60" fillId="0" borderId="0" xfId="4" applyNumberFormat="1" applyFont="1" applyBorder="1" applyProtection="1"/>
    <xf numFmtId="165" fontId="56" fillId="0" borderId="0" xfId="4" applyFont="1" applyBorder="1" applyAlignment="1" applyProtection="1">
      <alignment horizontal="left"/>
    </xf>
    <xf numFmtId="166" fontId="56" fillId="0" borderId="0" xfId="4" applyNumberFormat="1" applyFont="1" applyBorder="1" applyAlignment="1" applyProtection="1">
      <alignment horizontal="justify"/>
    </xf>
    <xf numFmtId="167" fontId="61" fillId="0" borderId="0" xfId="4" applyNumberFormat="1" applyFont="1" applyBorder="1" applyAlignment="1" applyProtection="1"/>
    <xf numFmtId="167" fontId="56" fillId="0" borderId="0" xfId="4" applyNumberFormat="1" applyFont="1" applyBorder="1" applyAlignment="1" applyProtection="1"/>
    <xf numFmtId="165" fontId="56" fillId="0" borderId="0" xfId="4" applyFont="1" applyBorder="1" applyAlignment="1">
      <alignment horizontal="justify"/>
    </xf>
    <xf numFmtId="167" fontId="33" fillId="0" borderId="43" xfId="4" applyNumberFormat="1" applyFont="1" applyFill="1" applyBorder="1" applyAlignment="1" applyProtection="1"/>
    <xf numFmtId="167" fontId="58" fillId="0" borderId="43" xfId="4" applyNumberFormat="1" applyFont="1" applyFill="1" applyBorder="1" applyAlignment="1" applyProtection="1"/>
    <xf numFmtId="167" fontId="60" fillId="0" borderId="0" xfId="4" applyNumberFormat="1" applyFont="1" applyFill="1" applyBorder="1" applyAlignment="1" applyProtection="1"/>
    <xf numFmtId="167" fontId="56" fillId="0" borderId="0" xfId="4" applyNumberFormat="1" applyFont="1" applyFill="1" applyBorder="1" applyAlignment="1" applyProtection="1"/>
    <xf numFmtId="167" fontId="56" fillId="0" borderId="0" xfId="4" applyNumberFormat="1" applyFont="1" applyBorder="1" applyAlignment="1"/>
    <xf numFmtId="167" fontId="58" fillId="0" borderId="0" xfId="4" applyNumberFormat="1" applyFont="1" applyFill="1" applyBorder="1" applyAlignment="1" applyProtection="1"/>
    <xf numFmtId="0" fontId="57" fillId="0" borderId="0" xfId="4" applyNumberFormat="1" applyFont="1" applyBorder="1" applyAlignment="1" applyProtection="1">
      <alignment horizontal="left"/>
    </xf>
    <xf numFmtId="166" fontId="62" fillId="0" borderId="0" xfId="4" applyNumberFormat="1" applyFont="1" applyBorder="1" applyProtection="1"/>
    <xf numFmtId="167" fontId="63" fillId="0" borderId="0" xfId="4" applyNumberFormat="1" applyFont="1" applyFill="1" applyBorder="1" applyAlignment="1" applyProtection="1"/>
    <xf numFmtId="167" fontId="62" fillId="0" borderId="0" xfId="4" applyNumberFormat="1" applyFont="1" applyFill="1" applyBorder="1" applyAlignment="1" applyProtection="1"/>
    <xf numFmtId="167" fontId="62" fillId="0" borderId="0" xfId="4" applyNumberFormat="1" applyFont="1" applyBorder="1" applyAlignment="1"/>
    <xf numFmtId="0" fontId="56" fillId="0" borderId="0" xfId="4" applyNumberFormat="1" applyFont="1" applyBorder="1" applyAlignment="1" applyProtection="1">
      <alignment horizontal="left"/>
    </xf>
    <xf numFmtId="167" fontId="62" fillId="0" borderId="0" xfId="4" applyNumberFormat="1" applyFont="1" applyBorder="1" applyAlignment="1" applyProtection="1"/>
    <xf numFmtId="165" fontId="62" fillId="0" borderId="0" xfId="4" applyFont="1" applyBorder="1"/>
    <xf numFmtId="167" fontId="51" fillId="0" borderId="0" xfId="4" applyNumberFormat="1" applyFont="1" applyFill="1" applyBorder="1" applyAlignment="1" applyProtection="1"/>
    <xf numFmtId="167" fontId="51" fillId="0" borderId="43" xfId="4" applyNumberFormat="1" applyFont="1" applyFill="1" applyBorder="1" applyAlignment="1" applyProtection="1"/>
    <xf numFmtId="167" fontId="60" fillId="0" borderId="0" xfId="4" applyNumberFormat="1" applyFont="1" applyFill="1" applyBorder="1" applyAlignment="1"/>
    <xf numFmtId="167" fontId="56" fillId="0" borderId="0" xfId="4" applyNumberFormat="1" applyFont="1" applyFill="1" applyBorder="1" applyAlignment="1"/>
    <xf numFmtId="167" fontId="33" fillId="0" borderId="44" xfId="4" applyNumberFormat="1" applyFont="1" applyFill="1" applyBorder="1" applyAlignment="1" applyProtection="1"/>
    <xf numFmtId="167" fontId="58" fillId="0" borderId="42" xfId="4" applyNumberFormat="1" applyFont="1" applyFill="1" applyBorder="1" applyAlignment="1" applyProtection="1"/>
    <xf numFmtId="165" fontId="64" fillId="0" borderId="0" xfId="4" applyFont="1" applyBorder="1"/>
    <xf numFmtId="165" fontId="65" fillId="0" borderId="0" xfId="4" applyFont="1" applyBorder="1"/>
    <xf numFmtId="165" fontId="66" fillId="0" borderId="0" xfId="4" applyFont="1" applyBorder="1"/>
    <xf numFmtId="165" fontId="67" fillId="0" borderId="0" xfId="4" applyFont="1" applyBorder="1"/>
    <xf numFmtId="165" fontId="68" fillId="0" borderId="0" xfId="4" applyFont="1" applyBorder="1"/>
    <xf numFmtId="167" fontId="65" fillId="0" borderId="0" xfId="4" applyNumberFormat="1" applyFont="1" applyBorder="1" applyAlignment="1"/>
    <xf numFmtId="167" fontId="66" fillId="0" borderId="0" xfId="4" applyNumberFormat="1" applyFont="1" applyFill="1" applyBorder="1" applyAlignment="1"/>
    <xf numFmtId="167" fontId="69" fillId="0" borderId="0" xfId="4" applyNumberFormat="1" applyFont="1" applyFill="1" applyBorder="1" applyAlignment="1"/>
    <xf numFmtId="165" fontId="70" fillId="0" borderId="0" xfId="4" applyFont="1" applyBorder="1" applyAlignment="1" applyProtection="1">
      <alignment horizontal="center"/>
    </xf>
    <xf numFmtId="167" fontId="71" fillId="0" borderId="0" xfId="4" applyNumberFormat="1" applyFont="1" applyFill="1" applyBorder="1" applyAlignment="1" applyProtection="1"/>
    <xf numFmtId="165" fontId="56" fillId="0" borderId="0" xfId="4" applyFont="1" applyBorder="1" applyAlignment="1" applyProtection="1"/>
    <xf numFmtId="167" fontId="56" fillId="0" borderId="0" xfId="4" applyNumberFormat="1" applyFont="1" applyBorder="1" applyAlignment="1" applyProtection="1">
      <alignment horizontal="center"/>
    </xf>
    <xf numFmtId="167" fontId="56" fillId="0" borderId="0" xfId="4" applyNumberFormat="1" applyFont="1" applyBorder="1" applyAlignment="1" applyProtection="1">
      <alignment horizontal="right"/>
    </xf>
    <xf numFmtId="3" fontId="33" fillId="0" borderId="43" xfId="4" applyNumberFormat="1" applyFont="1" applyFill="1" applyBorder="1" applyAlignment="1" applyProtection="1"/>
    <xf numFmtId="3" fontId="58" fillId="0" borderId="0" xfId="4" applyNumberFormat="1" applyFont="1" applyFill="1" applyBorder="1" applyAlignment="1" applyProtection="1"/>
    <xf numFmtId="3" fontId="58" fillId="0" borderId="43" xfId="4" applyNumberFormat="1" applyFont="1" applyFill="1" applyBorder="1" applyAlignment="1" applyProtection="1"/>
    <xf numFmtId="3" fontId="33" fillId="0" borderId="0" xfId="4" applyNumberFormat="1" applyFont="1" applyFill="1" applyBorder="1" applyAlignment="1" applyProtection="1"/>
    <xf numFmtId="3" fontId="61" fillId="0" borderId="0" xfId="4" applyNumberFormat="1" applyFont="1" applyFill="1" applyBorder="1" applyAlignment="1" applyProtection="1"/>
    <xf numFmtId="3" fontId="33" fillId="0" borderId="3" xfId="4" applyNumberFormat="1" applyFont="1" applyFill="1" applyBorder="1" applyAlignment="1" applyProtection="1"/>
    <xf numFmtId="167" fontId="33" fillId="0" borderId="45" xfId="4" applyNumberFormat="1" applyFont="1" applyBorder="1" applyAlignment="1" applyProtection="1"/>
    <xf numFmtId="167" fontId="58" fillId="0" borderId="0" xfId="4" applyNumberFormat="1" applyFont="1" applyBorder="1" applyAlignment="1" applyProtection="1"/>
    <xf numFmtId="167" fontId="58" fillId="0" borderId="45" xfId="4" applyNumberFormat="1" applyFont="1" applyBorder="1" applyAlignment="1" applyProtection="1"/>
    <xf numFmtId="167" fontId="67" fillId="0" borderId="0" xfId="4" applyNumberFormat="1" applyFont="1" applyBorder="1" applyAlignment="1"/>
    <xf numFmtId="167" fontId="67" fillId="0" borderId="0" xfId="4" applyNumberFormat="1" applyFont="1" applyFill="1" applyBorder="1" applyAlignment="1"/>
    <xf numFmtId="165" fontId="59" fillId="0" borderId="0" xfId="4" applyFont="1" applyBorder="1" applyAlignment="1" applyProtection="1">
      <alignment horizontal="center"/>
    </xf>
    <xf numFmtId="165" fontId="73" fillId="0" borderId="0" xfId="4" applyFont="1" applyBorder="1" applyAlignment="1" applyProtection="1">
      <alignment horizontal="center"/>
    </xf>
    <xf numFmtId="165" fontId="57" fillId="0" borderId="0" xfId="4" applyFont="1" applyBorder="1" applyAlignment="1">
      <alignment horizontal="left"/>
    </xf>
    <xf numFmtId="165" fontId="56" fillId="0" borderId="0" xfId="4" applyFont="1" applyBorder="1" applyAlignment="1">
      <alignment horizontal="left"/>
    </xf>
    <xf numFmtId="167" fontId="61" fillId="0" borderId="0" xfId="4" applyNumberFormat="1" applyFont="1" applyFill="1" applyBorder="1" applyAlignment="1" applyProtection="1"/>
    <xf numFmtId="165" fontId="56" fillId="0" borderId="0" xfId="4" applyFont="1" applyBorder="1" applyAlignment="1"/>
    <xf numFmtId="0" fontId="56" fillId="0" borderId="0" xfId="4" applyNumberFormat="1" applyFont="1" applyBorder="1" applyAlignment="1" applyProtection="1"/>
    <xf numFmtId="167" fontId="61" fillId="0" borderId="0" xfId="4" applyNumberFormat="1" applyFont="1" applyFill="1" applyBorder="1" applyAlignment="1" applyProtection="1">
      <alignment horizontal="right"/>
    </xf>
    <xf numFmtId="165" fontId="38" fillId="0" borderId="0" xfId="4" applyFont="1" applyBorder="1" applyAlignment="1" applyProtection="1">
      <alignment horizontal="left"/>
    </xf>
    <xf numFmtId="167" fontId="33" fillId="0" borderId="43" xfId="4" applyNumberFormat="1" applyFont="1" applyBorder="1" applyAlignment="1" applyProtection="1"/>
    <xf numFmtId="167" fontId="58" fillId="0" borderId="43" xfId="4" applyNumberFormat="1" applyFont="1" applyBorder="1" applyAlignment="1" applyProtection="1"/>
    <xf numFmtId="167" fontId="71" fillId="0" borderId="0" xfId="4" applyNumberFormat="1" applyFont="1" applyBorder="1" applyAlignment="1" applyProtection="1"/>
    <xf numFmtId="3" fontId="61" fillId="0" borderId="0" xfId="4" applyNumberFormat="1" applyFont="1" applyBorder="1" applyAlignment="1" applyProtection="1">
      <alignment horizontal="right"/>
    </xf>
    <xf numFmtId="3" fontId="61" fillId="0" borderId="0" xfId="4" applyNumberFormat="1" applyFont="1" applyFill="1" applyBorder="1" applyAlignment="1" applyProtection="1">
      <alignment horizontal="right"/>
    </xf>
    <xf numFmtId="3" fontId="56" fillId="0" borderId="0" xfId="4" applyNumberFormat="1" applyFont="1" applyFill="1" applyBorder="1" applyAlignment="1" applyProtection="1">
      <alignment horizontal="center"/>
    </xf>
    <xf numFmtId="3" fontId="33" fillId="0" borderId="43" xfId="4" applyNumberFormat="1" applyFont="1" applyBorder="1" applyAlignment="1" applyProtection="1"/>
    <xf numFmtId="167" fontId="33" fillId="0" borderId="42" xfId="4" applyNumberFormat="1" applyFont="1" applyBorder="1" applyAlignment="1" applyProtection="1"/>
    <xf numFmtId="167" fontId="58" fillId="0" borderId="42" xfId="4" applyNumberFormat="1" applyFont="1" applyBorder="1" applyAlignment="1" applyProtection="1"/>
    <xf numFmtId="167" fontId="60" fillId="0" borderId="0" xfId="4" applyNumberFormat="1" applyFont="1" applyBorder="1" applyAlignment="1" applyProtection="1"/>
    <xf numFmtId="165" fontId="57" fillId="0" borderId="0" xfId="4" applyFont="1" applyBorder="1"/>
    <xf numFmtId="167" fontId="60" fillId="0" borderId="0" xfId="4" applyNumberFormat="1" applyFont="1" applyBorder="1" applyAlignment="1"/>
    <xf numFmtId="167" fontId="61" fillId="0" borderId="0" xfId="4" applyNumberFormat="1" applyFont="1" applyBorder="1" applyAlignment="1" applyProtection="1">
      <alignment horizontal="right"/>
    </xf>
    <xf numFmtId="167" fontId="33" fillId="0" borderId="0" xfId="4" applyNumberFormat="1" applyFont="1" applyBorder="1" applyAlignment="1" applyProtection="1"/>
    <xf numFmtId="167" fontId="61" fillId="0" borderId="0" xfId="4" applyNumberFormat="1" applyFont="1" applyBorder="1" applyAlignment="1"/>
    <xf numFmtId="3" fontId="33" fillId="0" borderId="43" xfId="4" applyNumberFormat="1" applyFont="1" applyBorder="1" applyAlignment="1" applyProtection="1">
      <alignment horizontal="right"/>
    </xf>
    <xf numFmtId="3" fontId="60" fillId="0" borderId="0" xfId="4" applyNumberFormat="1" applyFont="1" applyBorder="1" applyAlignment="1">
      <alignment horizontal="right"/>
    </xf>
    <xf numFmtId="3" fontId="33" fillId="0" borderId="42" xfId="4" applyNumberFormat="1" applyFont="1" applyBorder="1" applyAlignment="1" applyProtection="1">
      <alignment horizontal="right"/>
    </xf>
    <xf numFmtId="3" fontId="33" fillId="0" borderId="0" xfId="4" applyNumberFormat="1" applyFont="1" applyBorder="1" applyAlignment="1" applyProtection="1">
      <alignment horizontal="right"/>
    </xf>
    <xf numFmtId="3" fontId="33" fillId="0" borderId="45" xfId="4" applyNumberFormat="1" applyFont="1" applyBorder="1" applyAlignment="1" applyProtection="1">
      <alignment horizontal="right"/>
    </xf>
    <xf numFmtId="165" fontId="52" fillId="0" borderId="0" xfId="4" applyFont="1" applyBorder="1"/>
    <xf numFmtId="167" fontId="63" fillId="0" borderId="0" xfId="4" applyNumberFormat="1" applyFont="1" applyBorder="1" applyAlignment="1"/>
    <xf numFmtId="165" fontId="62" fillId="0" borderId="0" xfId="4" applyFont="1" applyBorder="1" applyAlignment="1"/>
    <xf numFmtId="167" fontId="62" fillId="0" borderId="0" xfId="4" applyNumberFormat="1" applyFont="1" applyBorder="1" applyAlignment="1" applyProtection="1">
      <alignment horizontal="center"/>
    </xf>
    <xf numFmtId="167" fontId="51" fillId="0" borderId="0" xfId="4" applyNumberFormat="1" applyFont="1" applyBorder="1" applyAlignment="1" applyProtection="1">
      <alignment horizontal="center"/>
    </xf>
    <xf numFmtId="167" fontId="51" fillId="0" borderId="43" xfId="4" applyNumberFormat="1" applyFont="1" applyBorder="1" applyAlignment="1" applyProtection="1">
      <alignment horizontal="center"/>
    </xf>
    <xf numFmtId="165" fontId="56" fillId="0" borderId="0" xfId="4" applyFont="1" applyBorder="1" applyAlignment="1" applyProtection="1">
      <alignment horizontal="center"/>
    </xf>
    <xf numFmtId="3" fontId="56" fillId="0" borderId="0" xfId="4" applyNumberFormat="1" applyFont="1" applyBorder="1"/>
    <xf numFmtId="165" fontId="61" fillId="0" borderId="0" xfId="4" applyFont="1" applyBorder="1" applyAlignment="1" applyProtection="1">
      <alignment horizontal="center"/>
    </xf>
    <xf numFmtId="165" fontId="60" fillId="0" borderId="0" xfId="4" applyFont="1" applyBorder="1" applyAlignment="1" applyProtection="1">
      <alignment horizontal="center"/>
    </xf>
    <xf numFmtId="167" fontId="60" fillId="0" borderId="0" xfId="4" applyNumberFormat="1" applyFont="1" applyBorder="1" applyAlignment="1" applyProtection="1">
      <alignment horizontal="right"/>
    </xf>
    <xf numFmtId="165" fontId="32" fillId="0" borderId="0" xfId="4" applyFont="1" applyBorder="1" applyAlignment="1" applyProtection="1">
      <alignment horizontal="center"/>
    </xf>
    <xf numFmtId="165" fontId="74" fillId="0" borderId="0" xfId="4" applyFont="1" applyBorder="1"/>
    <xf numFmtId="165" fontId="32" fillId="0" borderId="0" xfId="4" applyFont="1" applyBorder="1" applyAlignment="1">
      <alignment horizontal="center"/>
    </xf>
    <xf numFmtId="165" fontId="58" fillId="0" borderId="0" xfId="4" applyFont="1" applyBorder="1" applyAlignment="1" applyProtection="1">
      <alignment horizontal="center"/>
    </xf>
    <xf numFmtId="166" fontId="56" fillId="0" borderId="0" xfId="4" applyNumberFormat="1" applyFont="1" applyBorder="1" applyAlignment="1" applyProtection="1">
      <alignment horizontal="center"/>
    </xf>
    <xf numFmtId="165" fontId="75" fillId="0" borderId="0" xfId="4" applyFont="1" applyBorder="1"/>
    <xf numFmtId="167" fontId="56" fillId="0" borderId="0" xfId="4" applyNumberFormat="1" applyFont="1" applyBorder="1" applyProtection="1"/>
    <xf numFmtId="10" fontId="75" fillId="0" borderId="0" xfId="5" applyNumberFormat="1" applyFont="1" applyBorder="1"/>
    <xf numFmtId="9" fontId="75" fillId="0" borderId="0" xfId="5" applyFont="1" applyBorder="1"/>
    <xf numFmtId="165" fontId="58" fillId="0" borderId="0" xfId="4" applyFont="1" applyBorder="1" applyAlignment="1">
      <alignment horizontal="left"/>
    </xf>
    <xf numFmtId="167" fontId="61" fillId="0" borderId="0" xfId="4" applyNumberFormat="1" applyFont="1" applyFill="1" applyBorder="1"/>
    <xf numFmtId="167" fontId="56" fillId="0" borderId="0" xfId="4" applyNumberFormat="1" applyFont="1" applyBorder="1"/>
    <xf numFmtId="167" fontId="61" fillId="0" borderId="42" xfId="4" applyNumberFormat="1" applyFont="1" applyFill="1" applyBorder="1"/>
    <xf numFmtId="167" fontId="56" fillId="0" borderId="42" xfId="4" applyNumberFormat="1" applyFont="1" applyBorder="1"/>
    <xf numFmtId="167" fontId="33" fillId="0" borderId="43" xfId="4" applyNumberFormat="1" applyFont="1" applyBorder="1" applyAlignment="1" applyProtection="1">
      <alignment horizontal="right"/>
    </xf>
    <xf numFmtId="167" fontId="58" fillId="0" borderId="0" xfId="4" applyNumberFormat="1" applyFont="1" applyBorder="1" applyAlignment="1" applyProtection="1">
      <alignment horizontal="right"/>
    </xf>
    <xf numFmtId="167" fontId="58" fillId="0" borderId="43" xfId="4" applyNumberFormat="1" applyFont="1" applyBorder="1" applyAlignment="1" applyProtection="1">
      <alignment horizontal="right"/>
    </xf>
    <xf numFmtId="169" fontId="54" fillId="0" borderId="0" xfId="6" applyNumberFormat="1" applyFont="1" applyBorder="1"/>
    <xf numFmtId="165" fontId="58" fillId="0" borderId="0" xfId="4" applyFont="1" applyBorder="1"/>
    <xf numFmtId="166" fontId="54" fillId="0" borderId="0" xfId="4" applyNumberFormat="1" applyFont="1" applyBorder="1" applyProtection="1"/>
    <xf numFmtId="167" fontId="54" fillId="0" borderId="0" xfId="4" applyNumberFormat="1" applyFont="1" applyBorder="1" applyProtection="1"/>
    <xf numFmtId="167" fontId="61" fillId="0" borderId="42" xfId="4" applyNumberFormat="1" applyFont="1" applyBorder="1" applyAlignment="1" applyProtection="1">
      <alignment horizontal="right"/>
    </xf>
    <xf numFmtId="167" fontId="56" fillId="0" borderId="42" xfId="4" applyNumberFormat="1" applyFont="1" applyBorder="1" applyAlignment="1" applyProtection="1">
      <alignment horizontal="right"/>
    </xf>
    <xf numFmtId="165" fontId="64" fillId="0" borderId="0" xfId="4" applyFont="1" applyBorder="1" applyAlignment="1">
      <alignment horizontal="left"/>
    </xf>
    <xf numFmtId="167" fontId="65" fillId="0" borderId="0" xfId="4" applyNumberFormat="1" applyFont="1" applyFill="1" applyBorder="1" applyAlignment="1"/>
    <xf numFmtId="165" fontId="76" fillId="0" borderId="0" xfId="4" applyFont="1" applyBorder="1"/>
    <xf numFmtId="0" fontId="78" fillId="0" borderId="0" xfId="0" applyFont="1" applyAlignment="1">
      <alignment vertical="center"/>
    </xf>
    <xf numFmtId="0" fontId="80" fillId="0" borderId="0" xfId="7" applyFont="1" applyFill="1" applyBorder="1" applyAlignment="1">
      <alignment vertical="center"/>
    </xf>
    <xf numFmtId="3" fontId="78" fillId="0" borderId="0" xfId="0" applyNumberFormat="1" applyFont="1" applyAlignment="1">
      <alignment vertical="center"/>
    </xf>
    <xf numFmtId="3" fontId="82" fillId="0" borderId="3" xfId="0" applyNumberFormat="1" applyFont="1" applyBorder="1" applyAlignment="1">
      <alignment vertical="center"/>
    </xf>
    <xf numFmtId="3" fontId="82" fillId="0" borderId="0" xfId="0" applyNumberFormat="1" applyFont="1" applyBorder="1" applyAlignment="1">
      <alignment vertical="center"/>
    </xf>
    <xf numFmtId="3" fontId="81" fillId="0" borderId="0" xfId="0" applyNumberFormat="1" applyFont="1" applyBorder="1" applyAlignment="1">
      <alignment vertical="center"/>
    </xf>
    <xf numFmtId="3" fontId="81" fillId="0" borderId="3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165" fontId="56" fillId="0" borderId="0" xfId="4" applyFont="1" applyBorder="1" applyAlignment="1">
      <alignment horizontal="center"/>
    </xf>
    <xf numFmtId="165" fontId="34" fillId="8" borderId="46" xfId="4" applyFont="1" applyFill="1" applyBorder="1" applyAlignment="1" applyProtection="1">
      <alignment horizontal="center"/>
    </xf>
    <xf numFmtId="165" fontId="85" fillId="8" borderId="46" xfId="4" applyFont="1" applyFill="1" applyBorder="1"/>
    <xf numFmtId="165" fontId="86" fillId="0" borderId="0" xfId="4" applyFont="1" applyBorder="1"/>
    <xf numFmtId="165" fontId="58" fillId="8" borderId="49" xfId="4" applyFont="1" applyFill="1" applyBorder="1" applyAlignment="1" applyProtection="1">
      <alignment horizontal="center"/>
    </xf>
    <xf numFmtId="165" fontId="34" fillId="8" borderId="50" xfId="4" applyFont="1" applyFill="1" applyBorder="1" applyAlignment="1">
      <alignment horizontal="center"/>
    </xf>
    <xf numFmtId="165" fontId="34" fillId="8" borderId="49" xfId="4" applyFont="1" applyFill="1" applyBorder="1" applyAlignment="1">
      <alignment horizontal="center"/>
    </xf>
    <xf numFmtId="165" fontId="34" fillId="8" borderId="49" xfId="4" applyFont="1" applyFill="1" applyBorder="1"/>
    <xf numFmtId="165" fontId="34" fillId="8" borderId="51" xfId="4" applyFont="1" applyFill="1" applyBorder="1" applyAlignment="1" applyProtection="1">
      <alignment horizontal="center"/>
    </xf>
    <xf numFmtId="165" fontId="34" fillId="8" borderId="52" xfId="4" applyFont="1" applyFill="1" applyBorder="1" applyAlignment="1">
      <alignment horizontal="center"/>
    </xf>
    <xf numFmtId="165" fontId="34" fillId="8" borderId="51" xfId="4" applyFont="1" applyFill="1" applyBorder="1" applyAlignment="1">
      <alignment horizontal="center"/>
    </xf>
    <xf numFmtId="165" fontId="35" fillId="9" borderId="46" xfId="4" applyFont="1" applyFill="1" applyBorder="1" applyAlignment="1" applyProtection="1">
      <alignment horizontal="left"/>
    </xf>
    <xf numFmtId="167" fontId="35" fillId="9" borderId="46" xfId="4" applyNumberFormat="1" applyFont="1" applyFill="1" applyBorder="1"/>
    <xf numFmtId="167" fontId="86" fillId="9" borderId="46" xfId="4" applyNumberFormat="1" applyFont="1" applyFill="1" applyBorder="1"/>
    <xf numFmtId="165" fontId="34" fillId="9" borderId="51" xfId="4" applyFont="1" applyFill="1" applyBorder="1" applyAlignment="1" applyProtection="1">
      <alignment horizontal="left"/>
    </xf>
    <xf numFmtId="167" fontId="34" fillId="9" borderId="51" xfId="4" applyNumberFormat="1" applyFont="1" applyFill="1" applyBorder="1" applyProtection="1"/>
    <xf numFmtId="167" fontId="34" fillId="9" borderId="53" xfId="4" applyNumberFormat="1" applyFont="1" applyFill="1" applyBorder="1" applyProtection="1"/>
    <xf numFmtId="165" fontId="35" fillId="0" borderId="49" xfId="4" applyFont="1" applyBorder="1" applyAlignment="1" applyProtection="1">
      <alignment horizontal="left"/>
    </xf>
    <xf numFmtId="167" fontId="35" fillId="0" borderId="49" xfId="4" applyNumberFormat="1" applyFont="1" applyBorder="1"/>
    <xf numFmtId="167" fontId="87" fillId="0" borderId="49" xfId="4" applyNumberFormat="1" applyFont="1" applyFill="1" applyBorder="1" applyProtection="1"/>
    <xf numFmtId="167" fontId="35" fillId="0" borderId="49" xfId="4" applyNumberFormat="1" applyFont="1" applyBorder="1" applyProtection="1"/>
    <xf numFmtId="167" fontId="86" fillId="0" borderId="49" xfId="4" applyNumberFormat="1" applyFont="1" applyBorder="1"/>
    <xf numFmtId="165" fontId="35" fillId="0" borderId="54" xfId="4" applyFont="1" applyBorder="1" applyAlignment="1" applyProtection="1">
      <alignment horizontal="left"/>
    </xf>
    <xf numFmtId="167" fontId="35" fillId="0" borderId="54" xfId="4" applyNumberFormat="1" applyFont="1" applyBorder="1" applyAlignment="1" applyProtection="1">
      <alignment horizontal="center"/>
    </xf>
    <xf numFmtId="167" fontId="35" fillId="0" borderId="54" xfId="4" applyNumberFormat="1" applyFont="1" applyBorder="1" applyProtection="1"/>
    <xf numFmtId="165" fontId="35" fillId="0" borderId="55" xfId="4" applyFont="1" applyBorder="1"/>
    <xf numFmtId="167" fontId="35" fillId="0" borderId="55" xfId="4" applyNumberFormat="1" applyFont="1" applyBorder="1" applyProtection="1"/>
    <xf numFmtId="167" fontId="87" fillId="0" borderId="55" xfId="4" applyNumberFormat="1" applyFont="1" applyFill="1" applyBorder="1" applyProtection="1"/>
    <xf numFmtId="165" fontId="35" fillId="0" borderId="54" xfId="4" applyFont="1" applyBorder="1"/>
    <xf numFmtId="167" fontId="35" fillId="0" borderId="54" xfId="4" applyNumberFormat="1" applyFont="1" applyBorder="1" applyAlignment="1" applyProtection="1">
      <alignment horizontal="right"/>
    </xf>
    <xf numFmtId="165" fontId="35" fillId="0" borderId="51" xfId="4" applyFont="1" applyBorder="1" applyAlignment="1" applyProtection="1">
      <alignment horizontal="left"/>
    </xf>
    <xf numFmtId="167" fontId="35" fillId="0" borderId="49" xfId="4" applyNumberFormat="1" applyFont="1" applyBorder="1" applyAlignment="1" applyProtection="1">
      <alignment horizontal="right"/>
    </xf>
    <xf numFmtId="167" fontId="35" fillId="9" borderId="56" xfId="4" applyNumberFormat="1" applyFont="1" applyFill="1" applyBorder="1"/>
    <xf numFmtId="167" fontId="86" fillId="9" borderId="19" xfId="4" applyNumberFormat="1" applyFont="1" applyFill="1" applyBorder="1"/>
    <xf numFmtId="167" fontId="34" fillId="9" borderId="57" xfId="4" applyNumberFormat="1" applyFont="1" applyFill="1" applyBorder="1" applyProtection="1"/>
    <xf numFmtId="167" fontId="34" fillId="9" borderId="15" xfId="4" applyNumberFormat="1" applyFont="1" applyFill="1" applyBorder="1" applyProtection="1"/>
    <xf numFmtId="165" fontId="35" fillId="0" borderId="46" xfId="4" applyFont="1" applyFill="1" applyBorder="1" applyAlignment="1" applyProtection="1">
      <alignment horizontal="left"/>
    </xf>
    <xf numFmtId="167" fontId="35" fillId="0" borderId="46" xfId="4" applyNumberFormat="1" applyFont="1" applyFill="1" applyBorder="1"/>
    <xf numFmtId="167" fontId="86" fillId="0" borderId="49" xfId="4" applyNumberFormat="1" applyFont="1" applyFill="1" applyBorder="1"/>
    <xf numFmtId="165" fontId="34" fillId="0" borderId="51" xfId="4" applyFont="1" applyFill="1" applyBorder="1" applyAlignment="1" applyProtection="1">
      <alignment horizontal="left"/>
    </xf>
    <xf numFmtId="167" fontId="34" fillId="0" borderId="51" xfId="4" applyNumberFormat="1" applyFont="1" applyFill="1" applyBorder="1" applyProtection="1"/>
    <xf numFmtId="167" fontId="34" fillId="0" borderId="51" xfId="4" applyNumberFormat="1" applyFont="1" applyBorder="1" applyAlignment="1" applyProtection="1"/>
    <xf numFmtId="167" fontId="34" fillId="0" borderId="53" xfId="4" applyNumberFormat="1" applyFont="1" applyBorder="1" applyProtection="1"/>
    <xf numFmtId="166" fontId="88" fillId="0" borderId="0" xfId="4" applyNumberFormat="1" applyFont="1" applyFill="1" applyBorder="1" applyProtection="1"/>
    <xf numFmtId="165" fontId="34" fillId="0" borderId="0" xfId="4" applyFont="1" applyBorder="1"/>
    <xf numFmtId="165" fontId="35" fillId="0" borderId="0" xfId="4" applyFont="1" applyBorder="1"/>
    <xf numFmtId="165" fontId="35" fillId="0" borderId="0" xfId="4" applyFont="1" applyBorder="1" applyAlignment="1" applyProtection="1">
      <alignment horizontal="center"/>
    </xf>
    <xf numFmtId="166" fontId="90" fillId="0" borderId="58" xfId="4" applyNumberFormat="1" applyFont="1" applyFill="1" applyBorder="1" applyProtection="1"/>
    <xf numFmtId="166" fontId="88" fillId="0" borderId="58" xfId="4" applyNumberFormat="1" applyFont="1" applyFill="1" applyBorder="1" applyProtection="1"/>
    <xf numFmtId="165" fontId="58" fillId="0" borderId="0" xfId="4" applyFont="1" applyBorder="1" applyAlignment="1" applyProtection="1">
      <alignment horizontal="left"/>
    </xf>
    <xf numFmtId="165" fontId="88" fillId="0" borderId="0" xfId="4" applyFont="1" applyFill="1" applyBorder="1"/>
    <xf numFmtId="165" fontId="88" fillId="0" borderId="58" xfId="4" applyFont="1" applyFill="1" applyBorder="1"/>
    <xf numFmtId="166" fontId="58" fillId="0" borderId="45" xfId="4" applyNumberFormat="1" applyFont="1" applyBorder="1" applyProtection="1"/>
    <xf numFmtId="0" fontId="35" fillId="0" borderId="0" xfId="2" applyFont="1" applyBorder="1"/>
    <xf numFmtId="0" fontId="31" fillId="0" borderId="0" xfId="2" applyFont="1" applyBorder="1"/>
    <xf numFmtId="0" fontId="35" fillId="9" borderId="59" xfId="2" applyFont="1" applyFill="1" applyBorder="1"/>
    <xf numFmtId="0" fontId="34" fillId="9" borderId="61" xfId="2" applyFont="1" applyFill="1" applyBorder="1"/>
    <xf numFmtId="0" fontId="34" fillId="9" borderId="59" xfId="2" applyFont="1" applyFill="1" applyBorder="1" applyAlignment="1">
      <alignment horizontal="center"/>
    </xf>
    <xf numFmtId="0" fontId="34" fillId="9" borderId="61" xfId="2" applyFont="1" applyFill="1" applyBorder="1" applyAlignment="1">
      <alignment horizontal="center"/>
    </xf>
    <xf numFmtId="0" fontId="34" fillId="9" borderId="62" xfId="2" applyFont="1" applyFill="1" applyBorder="1" applyAlignment="1">
      <alignment horizontal="center"/>
    </xf>
    <xf numFmtId="0" fontId="35" fillId="0" borderId="59" xfId="2" applyFont="1" applyBorder="1"/>
    <xf numFmtId="174" fontId="35" fillId="0" borderId="59" xfId="3" applyNumberFormat="1" applyFont="1" applyFill="1" applyBorder="1" applyAlignment="1" applyProtection="1"/>
    <xf numFmtId="0" fontId="35" fillId="0" borderId="61" xfId="2" applyFont="1" applyBorder="1"/>
    <xf numFmtId="174" fontId="35" fillId="0" borderId="61" xfId="3" quotePrefix="1" applyNumberFormat="1" applyFont="1" applyFill="1" applyBorder="1" applyAlignment="1" applyProtection="1">
      <alignment horizontal="center"/>
    </xf>
    <xf numFmtId="175" fontId="35" fillId="0" borderId="61" xfId="3" applyNumberFormat="1" applyFont="1" applyFill="1" applyBorder="1" applyAlignment="1" applyProtection="1"/>
    <xf numFmtId="174" fontId="35" fillId="0" borderId="61" xfId="3" applyNumberFormat="1" applyFont="1" applyFill="1" applyBorder="1" applyAlignment="1" applyProtection="1">
      <alignment horizontal="center"/>
    </xf>
    <xf numFmtId="0" fontId="35" fillId="0" borderId="62" xfId="2" applyFont="1" applyBorder="1"/>
    <xf numFmtId="174" fontId="35" fillId="0" borderId="62" xfId="3" applyNumberFormat="1" applyFont="1" applyFill="1" applyBorder="1" applyAlignment="1" applyProtection="1">
      <alignment horizontal="center"/>
    </xf>
    <xf numFmtId="174" fontId="35" fillId="9" borderId="59" xfId="3" applyNumberFormat="1" applyFont="1" applyFill="1" applyBorder="1" applyAlignment="1" applyProtection="1">
      <alignment horizontal="center"/>
    </xf>
    <xf numFmtId="0" fontId="34" fillId="9" borderId="62" xfId="2" applyFont="1" applyFill="1" applyBorder="1"/>
    <xf numFmtId="174" fontId="34" fillId="9" borderId="62" xfId="3" applyNumberFormat="1" applyFont="1" applyFill="1" applyBorder="1" applyAlignment="1" applyProtection="1">
      <alignment horizontal="center"/>
    </xf>
    <xf numFmtId="0" fontId="34" fillId="0" borderId="61" xfId="2" applyFont="1" applyFill="1" applyBorder="1"/>
    <xf numFmtId="174" fontId="34" fillId="0" borderId="59" xfId="3" applyNumberFormat="1" applyFont="1" applyFill="1" applyBorder="1" applyAlignment="1" applyProtection="1">
      <alignment horizontal="center"/>
    </xf>
    <xf numFmtId="0" fontId="34" fillId="0" borderId="62" xfId="2" applyFont="1" applyBorder="1"/>
    <xf numFmtId="0" fontId="92" fillId="0" borderId="0" xfId="2" applyFont="1" applyBorder="1"/>
    <xf numFmtId="0" fontId="93" fillId="0" borderId="0" xfId="2" applyFont="1" applyBorder="1"/>
    <xf numFmtId="0" fontId="94" fillId="0" borderId="0" xfId="2" applyFont="1" applyBorder="1"/>
    <xf numFmtId="0" fontId="95" fillId="0" borderId="0" xfId="2" applyFont="1" applyBorder="1" applyAlignment="1" applyProtection="1">
      <alignment horizontal="center"/>
    </xf>
    <xf numFmtId="0" fontId="94" fillId="0" borderId="0" xfId="2" applyFont="1" applyBorder="1" applyAlignment="1" applyProtection="1"/>
    <xf numFmtId="167" fontId="94" fillId="0" borderId="0" xfId="2" applyNumberFormat="1" applyFont="1" applyFill="1" applyBorder="1" applyAlignment="1"/>
    <xf numFmtId="0" fontId="34" fillId="11" borderId="59" xfId="2" applyFont="1" applyFill="1" applyBorder="1" applyAlignment="1">
      <alignment horizontal="center"/>
    </xf>
    <xf numFmtId="0" fontId="96" fillId="11" borderId="59" xfId="2" applyFont="1" applyFill="1" applyBorder="1" applyAlignment="1">
      <alignment horizontal="center"/>
    </xf>
    <xf numFmtId="0" fontId="34" fillId="11" borderId="61" xfId="2" applyFont="1" applyFill="1" applyBorder="1" applyAlignment="1">
      <alignment horizontal="center"/>
    </xf>
    <xf numFmtId="0" fontId="96" fillId="11" borderId="61" xfId="2" applyFont="1" applyFill="1" applyBorder="1" applyAlignment="1">
      <alignment horizontal="center"/>
    </xf>
    <xf numFmtId="0" fontId="34" fillId="11" borderId="62" xfId="2" applyFont="1" applyFill="1" applyBorder="1" applyAlignment="1">
      <alignment horizontal="center"/>
    </xf>
    <xf numFmtId="0" fontId="96" fillId="11" borderId="62" xfId="2" applyFont="1" applyFill="1" applyBorder="1" applyAlignment="1">
      <alignment horizontal="center"/>
    </xf>
    <xf numFmtId="0" fontId="97" fillId="11" borderId="60" xfId="2" applyFont="1" applyFill="1" applyBorder="1" applyAlignment="1">
      <alignment horizontal="center"/>
    </xf>
    <xf numFmtId="0" fontId="34" fillId="0" borderId="61" xfId="2" applyFont="1" applyBorder="1"/>
    <xf numFmtId="0" fontId="35" fillId="0" borderId="63" xfId="2" applyFont="1" applyBorder="1"/>
    <xf numFmtId="0" fontId="35" fillId="0" borderId="64" xfId="2" applyFont="1" applyBorder="1"/>
    <xf numFmtId="0" fontId="35" fillId="0" borderId="65" xfId="2" applyFont="1" applyBorder="1"/>
    <xf numFmtId="0" fontId="35" fillId="0" borderId="66" xfId="2" applyFont="1" applyBorder="1"/>
    <xf numFmtId="0" fontId="34" fillId="0" borderId="0" xfId="2" applyFont="1" applyBorder="1"/>
    <xf numFmtId="0" fontId="35" fillId="0" borderId="0" xfId="2" applyFont="1" applyBorder="1" applyAlignment="1" applyProtection="1">
      <alignment horizontal="center"/>
    </xf>
    <xf numFmtId="167" fontId="34" fillId="0" borderId="0" xfId="2" applyNumberFormat="1" applyFont="1" applyFill="1" applyBorder="1" applyAlignment="1"/>
    <xf numFmtId="0" fontId="56" fillId="0" borderId="0" xfId="2" applyFont="1" applyBorder="1"/>
    <xf numFmtId="0" fontId="58" fillId="0" borderId="0" xfId="2" applyFont="1" applyBorder="1"/>
    <xf numFmtId="176" fontId="97" fillId="0" borderId="0" xfId="2" applyNumberFormat="1" applyFont="1" applyBorder="1" applyAlignment="1">
      <alignment horizontal="center"/>
    </xf>
    <xf numFmtId="0" fontId="97" fillId="0" borderId="0" xfId="2" applyFont="1" applyBorder="1"/>
    <xf numFmtId="176" fontId="34" fillId="12" borderId="46" xfId="2" applyNumberFormat="1" applyFont="1" applyFill="1" applyBorder="1"/>
    <xf numFmtId="0" fontId="34" fillId="12" borderId="46" xfId="2" applyFont="1" applyFill="1" applyBorder="1" applyAlignment="1">
      <alignment horizontal="center"/>
    </xf>
    <xf numFmtId="0" fontId="34" fillId="12" borderId="49" xfId="2" applyFont="1" applyFill="1" applyBorder="1" applyAlignment="1">
      <alignment horizontal="center"/>
    </xf>
    <xf numFmtId="0" fontId="34" fillId="12" borderId="0" xfId="2" applyFont="1" applyFill="1" applyBorder="1" applyAlignment="1">
      <alignment horizontal="center"/>
    </xf>
    <xf numFmtId="0" fontId="34" fillId="12" borderId="67" xfId="2" applyFont="1" applyFill="1" applyBorder="1" applyAlignment="1">
      <alignment horizontal="center"/>
    </xf>
    <xf numFmtId="0" fontId="34" fillId="12" borderId="68" xfId="2" applyFont="1" applyFill="1" applyBorder="1" applyAlignment="1">
      <alignment horizontal="center"/>
    </xf>
    <xf numFmtId="0" fontId="34" fillId="12" borderId="69" xfId="2" applyFont="1" applyFill="1" applyBorder="1" applyAlignment="1">
      <alignment horizontal="center"/>
    </xf>
    <xf numFmtId="3" fontId="34" fillId="12" borderId="56" xfId="2" applyNumberFormat="1" applyFont="1" applyFill="1" applyBorder="1" applyAlignment="1">
      <alignment horizontal="center"/>
    </xf>
    <xf numFmtId="3" fontId="34" fillId="12" borderId="70" xfId="2" applyNumberFormat="1" applyFont="1" applyFill="1" applyBorder="1" applyAlignment="1">
      <alignment horizontal="center"/>
    </xf>
    <xf numFmtId="3" fontId="34" fillId="12" borderId="0" xfId="2" applyNumberFormat="1" applyFont="1" applyFill="1" applyBorder="1" applyAlignment="1">
      <alignment horizontal="center"/>
    </xf>
    <xf numFmtId="14" fontId="34" fillId="12" borderId="0" xfId="2" applyNumberFormat="1" applyFont="1" applyFill="1" applyBorder="1" applyAlignment="1">
      <alignment horizontal="center"/>
    </xf>
    <xf numFmtId="14" fontId="34" fillId="12" borderId="68" xfId="2" applyNumberFormat="1" applyFont="1" applyFill="1" applyBorder="1" applyAlignment="1">
      <alignment horizontal="center"/>
    </xf>
    <xf numFmtId="14" fontId="34" fillId="12" borderId="69" xfId="2" applyNumberFormat="1" applyFont="1" applyFill="1" applyBorder="1" applyAlignment="1">
      <alignment horizontal="center"/>
    </xf>
    <xf numFmtId="3" fontId="34" fillId="12" borderId="69" xfId="2" applyNumberFormat="1" applyFont="1" applyFill="1" applyBorder="1" applyAlignment="1">
      <alignment horizontal="center"/>
    </xf>
    <xf numFmtId="3" fontId="34" fillId="12" borderId="68" xfId="2" applyNumberFormat="1" applyFont="1" applyFill="1" applyBorder="1" applyAlignment="1">
      <alignment horizontal="center"/>
    </xf>
    <xf numFmtId="0" fontId="35" fillId="0" borderId="46" xfId="2" applyFont="1" applyBorder="1"/>
    <xf numFmtId="175" fontId="35" fillId="0" borderId="71" xfId="3" applyNumberFormat="1" applyFont="1" applyFill="1" applyBorder="1" applyAlignment="1" applyProtection="1"/>
    <xf numFmtId="175" fontId="35" fillId="0" borderId="72" xfId="3" applyNumberFormat="1" applyFont="1" applyFill="1" applyBorder="1" applyAlignment="1" applyProtection="1"/>
    <xf numFmtId="175" fontId="35" fillId="0" borderId="73" xfId="3" applyNumberFormat="1" applyFont="1" applyFill="1" applyBorder="1" applyAlignment="1" applyProtection="1"/>
    <xf numFmtId="175" fontId="35" fillId="0" borderId="56" xfId="3" applyNumberFormat="1" applyFont="1" applyFill="1" applyBorder="1" applyAlignment="1" applyProtection="1"/>
    <xf numFmtId="175" fontId="35" fillId="0" borderId="74" xfId="3" applyNumberFormat="1" applyFont="1" applyFill="1" applyBorder="1" applyAlignment="1" applyProtection="1"/>
    <xf numFmtId="175" fontId="35" fillId="0" borderId="46" xfId="3" applyNumberFormat="1" applyFont="1" applyFill="1" applyBorder="1" applyAlignment="1" applyProtection="1"/>
    <xf numFmtId="0" fontId="98" fillId="0" borderId="0" xfId="2" applyFont="1" applyBorder="1"/>
    <xf numFmtId="0" fontId="35" fillId="0" borderId="49" xfId="2" applyFont="1" applyFill="1" applyBorder="1"/>
    <xf numFmtId="175" fontId="35" fillId="0" borderId="0" xfId="3" applyNumberFormat="1" applyFont="1" applyFill="1" applyBorder="1" applyAlignment="1" applyProtection="1"/>
    <xf numFmtId="175" fontId="35" fillId="0" borderId="50" xfId="3" applyNumberFormat="1" applyFont="1" applyFill="1" applyBorder="1" applyAlignment="1" applyProtection="1"/>
    <xf numFmtId="175" fontId="35" fillId="0" borderId="69" xfId="3" applyNumberFormat="1" applyFont="1" applyFill="1" applyBorder="1" applyAlignment="1" applyProtection="1"/>
    <xf numFmtId="175" fontId="35" fillId="0" borderId="64" xfId="3" applyNumberFormat="1" applyFont="1" applyFill="1" applyBorder="1" applyAlignment="1" applyProtection="1">
      <alignment horizontal="center"/>
    </xf>
    <xf numFmtId="175" fontId="35" fillId="0" borderId="49" xfId="3" applyNumberFormat="1" applyFont="1" applyFill="1" applyBorder="1" applyAlignment="1" applyProtection="1"/>
    <xf numFmtId="175" fontId="98" fillId="0" borderId="0" xfId="2" applyNumberFormat="1" applyFont="1" applyBorder="1"/>
    <xf numFmtId="175" fontId="35" fillId="0" borderId="75" xfId="3" applyNumberFormat="1" applyFont="1" applyFill="1" applyBorder="1" applyAlignment="1" applyProtection="1"/>
    <xf numFmtId="175" fontId="35" fillId="0" borderId="76" xfId="3" applyNumberFormat="1" applyFont="1" applyFill="1" applyBorder="1" applyAlignment="1" applyProtection="1"/>
    <xf numFmtId="175" fontId="35" fillId="0" borderId="64" xfId="3" applyNumberFormat="1" applyFont="1" applyFill="1" applyBorder="1" applyAlignment="1" applyProtection="1"/>
    <xf numFmtId="175" fontId="35" fillId="0" borderId="67" xfId="3" applyNumberFormat="1" applyFont="1" applyFill="1" applyBorder="1" applyAlignment="1" applyProtection="1"/>
    <xf numFmtId="174" fontId="35" fillId="0" borderId="0" xfId="3" applyNumberFormat="1" applyFont="1"/>
    <xf numFmtId="174" fontId="98" fillId="0" borderId="0" xfId="3" applyNumberFormat="1" applyFont="1"/>
    <xf numFmtId="0" fontId="35" fillId="0" borderId="49" xfId="2" applyFont="1" applyBorder="1"/>
    <xf numFmtId="0" fontId="35" fillId="12" borderId="46" xfId="2" applyFont="1" applyFill="1" applyBorder="1"/>
    <xf numFmtId="175" fontId="35" fillId="12" borderId="77" xfId="3" applyNumberFormat="1" applyFont="1" applyFill="1" applyBorder="1" applyAlignment="1" applyProtection="1"/>
    <xf numFmtId="175" fontId="35" fillId="12" borderId="72" xfId="3" applyNumberFormat="1" applyFont="1" applyFill="1" applyBorder="1" applyAlignment="1" applyProtection="1"/>
    <xf numFmtId="175" fontId="35" fillId="12" borderId="73" xfId="3" applyNumberFormat="1" applyFont="1" applyFill="1" applyBorder="1" applyAlignment="1" applyProtection="1"/>
    <xf numFmtId="175" fontId="35" fillId="12" borderId="74" xfId="3" applyNumberFormat="1" applyFont="1" applyFill="1" applyBorder="1" applyAlignment="1" applyProtection="1"/>
    <xf numFmtId="175" fontId="35" fillId="12" borderId="46" xfId="3" applyNumberFormat="1" applyFont="1" applyFill="1" applyBorder="1" applyAlignment="1" applyProtection="1"/>
    <xf numFmtId="0" fontId="34" fillId="12" borderId="51" xfId="2" applyFont="1" applyFill="1" applyBorder="1"/>
    <xf numFmtId="175" fontId="34" fillId="12" borderId="78" xfId="3" applyNumberFormat="1" applyFont="1" applyFill="1" applyBorder="1" applyAlignment="1" applyProtection="1"/>
    <xf numFmtId="175" fontId="34" fillId="12" borderId="79" xfId="3" applyNumberFormat="1" applyFont="1" applyFill="1" applyBorder="1" applyAlignment="1" applyProtection="1"/>
    <xf numFmtId="175" fontId="34" fillId="12" borderId="52" xfId="3" applyNumberFormat="1" applyFont="1" applyFill="1" applyBorder="1" applyAlignment="1" applyProtection="1"/>
    <xf numFmtId="175" fontId="34" fillId="12" borderId="80" xfId="3" applyNumberFormat="1" applyFont="1" applyFill="1" applyBorder="1" applyAlignment="1" applyProtection="1"/>
    <xf numFmtId="175" fontId="34" fillId="12" borderId="51" xfId="3" applyNumberFormat="1" applyFont="1" applyFill="1" applyBorder="1" applyAlignment="1" applyProtection="1"/>
    <xf numFmtId="0" fontId="98" fillId="0" borderId="0" xfId="2" applyFont="1" applyFill="1" applyBorder="1"/>
    <xf numFmtId="0" fontId="34" fillId="0" borderId="51" xfId="2" applyFont="1" applyFill="1" applyBorder="1"/>
    <xf numFmtId="175" fontId="34" fillId="0" borderId="79" xfId="3" applyNumberFormat="1" applyFont="1" applyFill="1" applyBorder="1" applyAlignment="1" applyProtection="1">
      <alignment horizontal="center"/>
    </xf>
    <xf numFmtId="175" fontId="34" fillId="0" borderId="79" xfId="3" applyNumberFormat="1" applyFont="1" applyFill="1" applyBorder="1" applyAlignment="1" applyProtection="1"/>
    <xf numFmtId="175" fontId="34" fillId="0" borderId="81" xfId="3" applyNumberFormat="1" applyFont="1" applyFill="1" applyBorder="1" applyAlignment="1" applyProtection="1"/>
    <xf numFmtId="175" fontId="34" fillId="0" borderId="78" xfId="3" applyNumberFormat="1" applyFont="1" applyFill="1" applyBorder="1" applyAlignment="1" applyProtection="1"/>
    <xf numFmtId="175" fontId="34" fillId="0" borderId="80" xfId="3" applyNumberFormat="1" applyFont="1" applyFill="1" applyBorder="1" applyAlignment="1" applyProtection="1"/>
    <xf numFmtId="175" fontId="34" fillId="0" borderId="80" xfId="3" applyNumberFormat="1" applyFont="1" applyFill="1" applyBorder="1" applyAlignment="1" applyProtection="1">
      <alignment horizontal="right"/>
    </xf>
    <xf numFmtId="175" fontId="34" fillId="0" borderId="52" xfId="3" applyNumberFormat="1" applyFont="1" applyFill="1" applyBorder="1" applyAlignment="1" applyProtection="1"/>
    <xf numFmtId="175" fontId="34" fillId="0" borderId="51" xfId="3" applyNumberFormat="1" applyFont="1" applyFill="1" applyBorder="1" applyAlignment="1" applyProtection="1"/>
    <xf numFmtId="175" fontId="35" fillId="0" borderId="0" xfId="2" applyNumberFormat="1" applyFont="1" applyBorder="1"/>
    <xf numFmtId="3" fontId="35" fillId="0" borderId="0" xfId="2" applyNumberFormat="1" applyFont="1" applyBorder="1"/>
    <xf numFmtId="175" fontId="99" fillId="0" borderId="0" xfId="3" applyNumberFormat="1" applyFont="1" applyFill="1" applyBorder="1" applyAlignment="1" applyProtection="1"/>
    <xf numFmtId="0" fontId="60" fillId="0" borderId="0" xfId="2" applyFont="1" applyBorder="1"/>
    <xf numFmtId="167" fontId="35" fillId="0" borderId="59" xfId="2" applyNumberFormat="1" applyFont="1" applyBorder="1"/>
    <xf numFmtId="167" fontId="35" fillId="0" borderId="61" xfId="2" applyNumberFormat="1" applyFont="1" applyBorder="1" applyAlignment="1">
      <alignment horizontal="center"/>
    </xf>
    <xf numFmtId="167" fontId="35" fillId="0" borderId="61" xfId="2" applyNumberFormat="1" applyFont="1" applyBorder="1"/>
    <xf numFmtId="170" fontId="35" fillId="0" borderId="61" xfId="2" applyNumberFormat="1" applyFont="1" applyBorder="1" applyAlignment="1">
      <alignment horizontal="right"/>
    </xf>
    <xf numFmtId="167" fontId="35" fillId="0" borderId="61" xfId="2" applyNumberFormat="1" applyFont="1" applyBorder="1" applyAlignment="1">
      <alignment horizontal="right"/>
    </xf>
    <xf numFmtId="170" fontId="34" fillId="0" borderId="61" xfId="2" applyNumberFormat="1" applyFont="1" applyBorder="1"/>
    <xf numFmtId="167" fontId="35" fillId="0" borderId="62" xfId="2" applyNumberFormat="1" applyFont="1" applyBorder="1"/>
    <xf numFmtId="0" fontId="34" fillId="0" borderId="60" xfId="2" applyFont="1" applyBorder="1"/>
    <xf numFmtId="167" fontId="34" fillId="0" borderId="60" xfId="2" applyNumberFormat="1" applyFont="1" applyBorder="1"/>
    <xf numFmtId="167" fontId="34" fillId="0" borderId="59" xfId="2" applyNumberFormat="1" applyFont="1" applyBorder="1"/>
    <xf numFmtId="167" fontId="35" fillId="0" borderId="82" xfId="2" applyNumberFormat="1" applyFont="1" applyBorder="1"/>
    <xf numFmtId="167" fontId="35" fillId="0" borderId="63" xfId="2" applyNumberFormat="1" applyFont="1" applyBorder="1"/>
    <xf numFmtId="167" fontId="35" fillId="0" borderId="67" xfId="2" applyNumberFormat="1" applyFont="1" applyBorder="1"/>
    <xf numFmtId="167" fontId="35" fillId="0" borderId="64" xfId="2" applyNumberFormat="1" applyFont="1" applyBorder="1"/>
    <xf numFmtId="167" fontId="34" fillId="0" borderId="61" xfId="2" applyNumberFormat="1" applyFont="1" applyBorder="1"/>
    <xf numFmtId="167" fontId="35" fillId="0" borderId="83" xfId="2" applyNumberFormat="1" applyFont="1" applyBorder="1"/>
    <xf numFmtId="167" fontId="35" fillId="0" borderId="66" xfId="2" applyNumberFormat="1" applyFont="1" applyBorder="1"/>
    <xf numFmtId="167" fontId="34" fillId="0" borderId="62" xfId="2" applyNumberFormat="1" applyFont="1" applyBorder="1"/>
    <xf numFmtId="0" fontId="57" fillId="0" borderId="0" xfId="2" applyFont="1" applyBorder="1" applyAlignment="1">
      <alignment horizontal="center"/>
    </xf>
    <xf numFmtId="174" fontId="35" fillId="0" borderId="61" xfId="3" applyNumberFormat="1" applyFont="1" applyFill="1" applyBorder="1" applyAlignment="1" applyProtection="1"/>
    <xf numFmtId="178" fontId="35" fillId="0" borderId="0" xfId="2" applyNumberFormat="1" applyFont="1" applyBorder="1"/>
    <xf numFmtId="174" fontId="34" fillId="0" borderId="62" xfId="3" applyNumberFormat="1" applyFont="1" applyFill="1" applyBorder="1" applyAlignment="1" applyProtection="1"/>
    <xf numFmtId="174" fontId="34" fillId="0" borderId="62" xfId="3" applyNumberFormat="1" applyFont="1" applyFill="1" applyBorder="1" applyAlignment="1" applyProtection="1">
      <alignment horizontal="left"/>
    </xf>
    <xf numFmtId="174" fontId="35" fillId="0" borderId="59" xfId="3" applyNumberFormat="1" applyFont="1" applyFill="1" applyBorder="1" applyAlignment="1" applyProtection="1">
      <alignment horizontal="center"/>
    </xf>
    <xf numFmtId="174" fontId="35" fillId="0" borderId="0" xfId="2" applyNumberFormat="1" applyFont="1" applyBorder="1"/>
    <xf numFmtId="174" fontId="35" fillId="0" borderId="62" xfId="3" applyNumberFormat="1" applyFont="1" applyFill="1" applyBorder="1" applyAlignment="1" applyProtection="1"/>
    <xf numFmtId="174" fontId="34" fillId="0" borderId="62" xfId="3" applyNumberFormat="1" applyFont="1" applyFill="1" applyBorder="1" applyAlignment="1" applyProtection="1">
      <alignment horizontal="center"/>
    </xf>
    <xf numFmtId="0" fontId="35" fillId="0" borderId="0" xfId="2" applyFont="1" applyBorder="1" applyAlignment="1"/>
    <xf numFmtId="179" fontId="35" fillId="0" borderId="59" xfId="3" applyNumberFormat="1" applyFont="1" applyFill="1" applyBorder="1" applyAlignment="1" applyProtection="1"/>
    <xf numFmtId="179" fontId="35" fillId="0" borderId="61" xfId="3" applyNumberFormat="1" applyFont="1" applyFill="1" applyBorder="1" applyAlignment="1" applyProtection="1"/>
    <xf numFmtId="179" fontId="34" fillId="0" borderId="61" xfId="3" applyNumberFormat="1" applyFont="1" applyFill="1" applyBorder="1" applyAlignment="1" applyProtection="1"/>
    <xf numFmtId="3" fontId="35" fillId="0" borderId="61" xfId="3" applyNumberFormat="1" applyFont="1" applyFill="1" applyBorder="1" applyAlignment="1" applyProtection="1"/>
    <xf numFmtId="0" fontId="35" fillId="0" borderId="61" xfId="2" applyFont="1" applyBorder="1" applyAlignment="1">
      <alignment horizontal="left"/>
    </xf>
    <xf numFmtId="179" fontId="4" fillId="0" borderId="61" xfId="3" applyNumberFormat="1" applyFont="1" applyFill="1" applyBorder="1" applyAlignment="1" applyProtection="1"/>
    <xf numFmtId="179" fontId="98" fillId="0" borderId="61" xfId="3" applyNumberFormat="1" applyFont="1" applyFill="1" applyBorder="1" applyAlignment="1" applyProtection="1"/>
    <xf numFmtId="179" fontId="35" fillId="0" borderId="0" xfId="2" applyNumberFormat="1" applyFont="1" applyBorder="1"/>
    <xf numFmtId="0" fontId="96" fillId="0" borderId="61" xfId="2" applyFont="1" applyBorder="1"/>
    <xf numFmtId="0" fontId="96" fillId="0" borderId="62" xfId="2" applyFont="1" applyBorder="1"/>
    <xf numFmtId="179" fontId="34" fillId="0" borderId="62" xfId="3" applyNumberFormat="1" applyFont="1" applyFill="1" applyBorder="1" applyAlignment="1" applyProtection="1"/>
    <xf numFmtId="179" fontId="35" fillId="0" borderId="62" xfId="3" applyNumberFormat="1" applyFont="1" applyFill="1" applyBorder="1" applyAlignment="1" applyProtection="1"/>
    <xf numFmtId="0" fontId="34" fillId="11" borderId="82" xfId="2" applyFont="1" applyFill="1" applyBorder="1" applyAlignment="1">
      <alignment horizontal="center"/>
    </xf>
    <xf numFmtId="0" fontId="34" fillId="11" borderId="67" xfId="2" applyFont="1" applyFill="1" applyBorder="1" applyAlignment="1">
      <alignment horizontal="center"/>
    </xf>
    <xf numFmtId="0" fontId="34" fillId="11" borderId="83" xfId="2" applyFont="1" applyFill="1" applyBorder="1" applyAlignment="1">
      <alignment horizontal="center"/>
    </xf>
    <xf numFmtId="0" fontId="34" fillId="0" borderId="61" xfId="2" applyFont="1" applyBorder="1" applyAlignment="1">
      <alignment horizontal="center"/>
    </xf>
    <xf numFmtId="0" fontId="98" fillId="0" borderId="61" xfId="2" applyFont="1" applyBorder="1"/>
    <xf numFmtId="0" fontId="98" fillId="0" borderId="61" xfId="2" applyFont="1" applyBorder="1" applyAlignment="1">
      <alignment horizontal="center"/>
    </xf>
    <xf numFmtId="174" fontId="98" fillId="0" borderId="61" xfId="3" applyNumberFormat="1" applyFont="1" applyFill="1" applyBorder="1" applyAlignment="1" applyProtection="1"/>
    <xf numFmtId="0" fontId="35" fillId="0" borderId="61" xfId="2" applyFont="1" applyFill="1" applyBorder="1" applyAlignment="1">
      <alignment horizontal="center"/>
    </xf>
    <xf numFmtId="164" fontId="35" fillId="0" borderId="61" xfId="3" applyNumberFormat="1" applyFont="1" applyFill="1" applyBorder="1" applyAlignment="1" applyProtection="1"/>
    <xf numFmtId="170" fontId="35" fillId="0" borderId="61" xfId="3" applyNumberFormat="1" applyFont="1" applyFill="1" applyBorder="1" applyAlignment="1" applyProtection="1"/>
    <xf numFmtId="0" fontId="35" fillId="0" borderId="61" xfId="2" applyFont="1" applyFill="1" applyBorder="1"/>
    <xf numFmtId="0" fontId="35" fillId="0" borderId="62" xfId="2" applyFont="1" applyBorder="1" applyAlignment="1">
      <alignment horizontal="center"/>
    </xf>
    <xf numFmtId="0" fontId="34" fillId="0" borderId="60" xfId="2" applyFont="1" applyBorder="1" applyAlignment="1">
      <alignment horizontal="center"/>
    </xf>
    <xf numFmtId="164" fontId="34" fillId="0" borderId="60" xfId="3" applyNumberFormat="1" applyFont="1" applyFill="1" applyBorder="1" applyAlignment="1" applyProtection="1"/>
    <xf numFmtId="174" fontId="34" fillId="0" borderId="60" xfId="3" applyNumberFormat="1" applyFont="1" applyFill="1" applyBorder="1" applyAlignment="1" applyProtection="1"/>
    <xf numFmtId="0" fontId="35" fillId="0" borderId="59" xfId="2" applyFont="1" applyBorder="1" applyAlignment="1">
      <alignment horizontal="center"/>
    </xf>
    <xf numFmtId="0" fontId="35" fillId="0" borderId="61" xfId="2" applyFont="1" applyBorder="1" applyAlignment="1">
      <alignment horizontal="center"/>
    </xf>
    <xf numFmtId="180" fontId="35" fillId="0" borderId="61" xfId="3" applyNumberFormat="1" applyFont="1" applyFill="1" applyBorder="1" applyAlignment="1" applyProtection="1"/>
    <xf numFmtId="170" fontId="34" fillId="0" borderId="84" xfId="3" applyNumberFormat="1" applyFont="1" applyFill="1" applyBorder="1" applyAlignment="1" applyProtection="1"/>
    <xf numFmtId="0" fontId="35" fillId="9" borderId="61" xfId="2" applyFont="1" applyFill="1" applyBorder="1"/>
    <xf numFmtId="0" fontId="35" fillId="9" borderId="61" xfId="2" applyFont="1" applyFill="1" applyBorder="1" applyAlignment="1">
      <alignment horizontal="center"/>
    </xf>
    <xf numFmtId="174" fontId="35" fillId="9" borderId="61" xfId="3" applyNumberFormat="1" applyFont="1" applyFill="1" applyBorder="1" applyAlignment="1" applyProtection="1"/>
    <xf numFmtId="0" fontId="35" fillId="9" borderId="62" xfId="2" applyFont="1" applyFill="1" applyBorder="1" applyAlignment="1">
      <alignment horizontal="center"/>
    </xf>
    <xf numFmtId="164" fontId="34" fillId="9" borderId="62" xfId="3" applyNumberFormat="1" applyFont="1" applyFill="1" applyBorder="1" applyAlignment="1" applyProtection="1"/>
    <xf numFmtId="174" fontId="34" fillId="9" borderId="62" xfId="3" applyNumberFormat="1" applyFont="1" applyFill="1" applyBorder="1" applyAlignment="1" applyProtection="1"/>
    <xf numFmtId="174" fontId="98" fillId="0" borderId="59" xfId="3" applyNumberFormat="1" applyFont="1" applyFill="1" applyBorder="1" applyAlignment="1" applyProtection="1"/>
    <xf numFmtId="0" fontId="35" fillId="0" borderId="62" xfId="2" applyFont="1" applyFill="1" applyBorder="1"/>
    <xf numFmtId="0" fontId="35" fillId="0" borderId="62" xfId="2" applyFont="1" applyFill="1" applyBorder="1" applyAlignment="1">
      <alignment horizontal="center"/>
    </xf>
    <xf numFmtId="0" fontId="34" fillId="0" borderId="60" xfId="2" applyFont="1" applyFill="1" applyBorder="1"/>
    <xf numFmtId="0" fontId="34" fillId="0" borderId="60" xfId="2" applyFont="1" applyFill="1" applyBorder="1" applyAlignment="1">
      <alignment horizontal="center"/>
    </xf>
    <xf numFmtId="0" fontId="35" fillId="0" borderId="59" xfId="2" applyFont="1" applyFill="1" applyBorder="1"/>
    <xf numFmtId="0" fontId="35" fillId="0" borderId="59" xfId="2" applyFont="1" applyFill="1" applyBorder="1" applyAlignment="1">
      <alignment horizontal="center"/>
    </xf>
    <xf numFmtId="164" fontId="35" fillId="0" borderId="59" xfId="3" applyNumberFormat="1" applyFont="1" applyFill="1" applyBorder="1" applyAlignment="1" applyProtection="1"/>
    <xf numFmtId="0" fontId="4" fillId="0" borderId="61" xfId="2" applyFont="1" applyFill="1" applyBorder="1"/>
    <xf numFmtId="0" fontId="4" fillId="0" borderId="61" xfId="2" applyFont="1" applyFill="1" applyBorder="1" applyAlignment="1">
      <alignment horizontal="center"/>
    </xf>
    <xf numFmtId="174" fontId="4" fillId="0" borderId="61" xfId="3" applyNumberFormat="1" applyFont="1" applyFill="1" applyBorder="1" applyAlignment="1" applyProtection="1"/>
    <xf numFmtId="164" fontId="35" fillId="9" borderId="61" xfId="3" applyNumberFormat="1" applyFont="1" applyFill="1" applyBorder="1" applyAlignment="1" applyProtection="1"/>
    <xf numFmtId="0" fontId="35" fillId="9" borderId="62" xfId="2" applyFont="1" applyFill="1" applyBorder="1"/>
    <xf numFmtId="0" fontId="55" fillId="0" borderId="0" xfId="2" applyFont="1" applyBorder="1" applyAlignment="1">
      <alignment horizontal="center"/>
    </xf>
    <xf numFmtId="181" fontId="35" fillId="0" borderId="0" xfId="37" applyFont="1" applyBorder="1" applyAlignment="1">
      <alignment horizontal="right"/>
    </xf>
    <xf numFmtId="0" fontId="34" fillId="11" borderId="65" xfId="2" applyFont="1" applyFill="1" applyBorder="1" applyAlignment="1">
      <alignment horizontal="center"/>
    </xf>
    <xf numFmtId="3" fontId="34" fillId="11" borderId="65" xfId="2" applyNumberFormat="1" applyFont="1" applyFill="1" applyBorder="1" applyAlignment="1">
      <alignment horizontal="center" wrapText="1"/>
    </xf>
    <xf numFmtId="3" fontId="34" fillId="11" borderId="60" xfId="2" applyNumberFormat="1" applyFont="1" applyFill="1" applyBorder="1" applyAlignment="1">
      <alignment horizontal="center" vertical="center"/>
    </xf>
    <xf numFmtId="3" fontId="34" fillId="0" borderId="0" xfId="2" applyNumberFormat="1" applyFont="1" applyBorder="1"/>
    <xf numFmtId="181" fontId="34" fillId="0" borderId="0" xfId="37" applyFont="1" applyBorder="1" applyAlignment="1">
      <alignment horizontal="right"/>
    </xf>
    <xf numFmtId="0" fontId="35" fillId="0" borderId="61" xfId="38" applyFont="1" applyBorder="1"/>
    <xf numFmtId="175" fontId="4" fillId="0" borderId="61" xfId="2" applyNumberFormat="1" applyFont="1" applyFill="1" applyBorder="1" applyAlignment="1">
      <alignment horizontal="right"/>
    </xf>
    <xf numFmtId="175" fontId="35" fillId="0" borderId="61" xfId="2" applyNumberFormat="1" applyFont="1" applyFill="1" applyBorder="1"/>
    <xf numFmtId="175" fontId="35" fillId="0" borderId="61" xfId="2" quotePrefix="1" applyNumberFormat="1" applyFont="1" applyFill="1" applyBorder="1" applyAlignment="1">
      <alignment horizontal="center"/>
    </xf>
    <xf numFmtId="175" fontId="35" fillId="0" borderId="64" xfId="2" applyNumberFormat="1" applyFont="1" applyFill="1" applyBorder="1"/>
    <xf numFmtId="175" fontId="35" fillId="0" borderId="64" xfId="2" applyNumberFormat="1" applyFont="1" applyBorder="1"/>
    <xf numFmtId="3" fontId="98" fillId="0" borderId="0" xfId="2" applyNumberFormat="1" applyFont="1" applyBorder="1"/>
    <xf numFmtId="181" fontId="98" fillId="0" borderId="0" xfId="37" applyFont="1" applyBorder="1" applyAlignment="1">
      <alignment horizontal="right"/>
    </xf>
    <xf numFmtId="175" fontId="35" fillId="0" borderId="61" xfId="2" applyNumberFormat="1" applyFont="1" applyFill="1" applyBorder="1" applyAlignment="1">
      <alignment horizontal="right"/>
    </xf>
    <xf numFmtId="0" fontId="35" fillId="0" borderId="67" xfId="38" applyFont="1" applyBorder="1"/>
    <xf numFmtId="175" fontId="35" fillId="0" borderId="61" xfId="2" quotePrefix="1" applyNumberFormat="1" applyFont="1" applyFill="1" applyBorder="1" applyAlignment="1">
      <alignment horizontal="right"/>
    </xf>
    <xf numFmtId="175" fontId="35" fillId="0" borderId="61" xfId="2" applyNumberFormat="1" applyFont="1" applyFill="1" applyBorder="1" applyAlignment="1">
      <alignment horizontal="center"/>
    </xf>
    <xf numFmtId="0" fontId="35" fillId="0" borderId="62" xfId="38" applyFont="1" applyBorder="1"/>
    <xf numFmtId="0" fontId="34" fillId="11" borderId="85" xfId="2" applyFont="1" applyFill="1" applyBorder="1" applyAlignment="1">
      <alignment horizontal="center"/>
    </xf>
    <xf numFmtId="167" fontId="34" fillId="11" borderId="85" xfId="2" applyNumberFormat="1" applyFont="1" applyFill="1" applyBorder="1"/>
    <xf numFmtId="167" fontId="34" fillId="11" borderId="86" xfId="2" applyNumberFormat="1" applyFont="1" applyFill="1" applyBorder="1"/>
    <xf numFmtId="0" fontId="100" fillId="0" borderId="0" xfId="2" applyFont="1" applyBorder="1"/>
    <xf numFmtId="3" fontId="100" fillId="0" borderId="0" xfId="2" applyNumberFormat="1" applyFont="1" applyBorder="1"/>
    <xf numFmtId="181" fontId="100" fillId="0" borderId="0" xfId="37" applyFont="1" applyBorder="1" applyAlignment="1">
      <alignment horizontal="right"/>
    </xf>
    <xf numFmtId="0" fontId="34" fillId="0" borderId="85" xfId="2" applyFont="1" applyFill="1" applyBorder="1" applyAlignment="1">
      <alignment horizontal="center"/>
    </xf>
    <xf numFmtId="167" fontId="34" fillId="0" borderId="86" xfId="38" applyNumberFormat="1" applyFont="1" applyFill="1" applyBorder="1"/>
    <xf numFmtId="167" fontId="35" fillId="0" borderId="0" xfId="2" applyNumberFormat="1" applyFont="1" applyBorder="1"/>
    <xf numFmtId="0" fontId="34" fillId="0" borderId="0" xfId="2" applyFont="1" applyBorder="1" applyAlignment="1">
      <alignment horizontal="center"/>
    </xf>
    <xf numFmtId="0" fontId="31" fillId="0" borderId="0" xfId="38" applyFont="1"/>
    <xf numFmtId="0" fontId="92" fillId="0" borderId="0" xfId="38" applyFont="1"/>
    <xf numFmtId="0" fontId="101" fillId="0" borderId="0" xfId="38" applyFont="1" applyAlignment="1">
      <alignment horizontal="right"/>
    </xf>
    <xf numFmtId="0" fontId="71" fillId="0" borderId="0" xfId="38" applyFont="1" applyAlignment="1">
      <alignment horizontal="center"/>
    </xf>
    <xf numFmtId="0" fontId="60" fillId="0" borderId="0" xfId="38" applyFont="1"/>
    <xf numFmtId="0" fontId="59" fillId="15" borderId="19" xfId="38" applyFont="1" applyFill="1" applyBorder="1" applyAlignment="1">
      <alignment vertical="top" wrapText="1"/>
    </xf>
    <xf numFmtId="0" fontId="57" fillId="15" borderId="15" xfId="38" applyFont="1" applyFill="1" applyBorder="1" applyAlignment="1">
      <alignment horizontal="center" vertical="top" wrapText="1"/>
    </xf>
    <xf numFmtId="0" fontId="57" fillId="15" borderId="46" xfId="38" applyFont="1" applyFill="1" applyBorder="1" applyAlignment="1">
      <alignment horizontal="center" vertical="top" wrapText="1"/>
    </xf>
    <xf numFmtId="0" fontId="56" fillId="0" borderId="49" xfId="38" applyFont="1" applyBorder="1" applyAlignment="1">
      <alignment vertical="top" wrapText="1"/>
    </xf>
    <xf numFmtId="0" fontId="56" fillId="0" borderId="56" xfId="38" applyFont="1" applyBorder="1" applyAlignment="1">
      <alignment horizontal="center" vertical="top" wrapText="1"/>
    </xf>
    <xf numFmtId="0" fontId="35" fillId="0" borderId="19" xfId="38" applyFont="1" applyBorder="1" applyAlignment="1">
      <alignment vertical="top" wrapText="1"/>
    </xf>
    <xf numFmtId="3" fontId="56" fillId="0" borderId="69" xfId="38" applyNumberFormat="1" applyFont="1" applyBorder="1" applyAlignment="1">
      <alignment horizontal="center" vertical="top" wrapText="1"/>
    </xf>
    <xf numFmtId="3" fontId="56" fillId="0" borderId="17" xfId="38" applyNumberFormat="1" applyFont="1" applyBorder="1" applyAlignment="1">
      <alignment horizontal="center" vertical="top" wrapText="1"/>
    </xf>
    <xf numFmtId="9" fontId="31" fillId="0" borderId="0" xfId="39" applyFont="1"/>
    <xf numFmtId="0" fontId="56" fillId="0" borderId="69" xfId="38" applyFont="1" applyBorder="1" applyAlignment="1">
      <alignment horizontal="center" vertical="top" wrapText="1"/>
    </xf>
    <xf numFmtId="0" fontId="56" fillId="0" borderId="17" xfId="38" applyFont="1" applyBorder="1" applyAlignment="1">
      <alignment horizontal="center" vertical="top" wrapText="1"/>
    </xf>
    <xf numFmtId="167" fontId="56" fillId="0" borderId="0" xfId="38" applyNumberFormat="1" applyFont="1" applyBorder="1" applyAlignment="1" applyProtection="1">
      <alignment horizontal="center"/>
    </xf>
    <xf numFmtId="167" fontId="56" fillId="0" borderId="17" xfId="38" applyNumberFormat="1" applyFont="1" applyBorder="1" applyAlignment="1" applyProtection="1">
      <alignment horizontal="center"/>
    </xf>
    <xf numFmtId="3" fontId="56" fillId="0" borderId="16" xfId="38" applyNumberFormat="1" applyFont="1" applyBorder="1" applyAlignment="1">
      <alignment horizontal="center" vertical="top" wrapText="1"/>
    </xf>
    <xf numFmtId="0" fontId="60" fillId="0" borderId="49" xfId="38" applyFont="1" applyBorder="1" applyAlignment="1">
      <alignment vertical="top" wrapText="1"/>
    </xf>
    <xf numFmtId="0" fontId="60" fillId="0" borderId="69" xfId="38" applyFont="1" applyBorder="1" applyAlignment="1">
      <alignment horizontal="center" vertical="top" wrapText="1"/>
    </xf>
    <xf numFmtId="0" fontId="60" fillId="0" borderId="17" xfId="38" applyFont="1" applyBorder="1" applyAlignment="1">
      <alignment horizontal="center" vertical="top" wrapText="1"/>
    </xf>
    <xf numFmtId="0" fontId="61" fillId="0" borderId="49" xfId="38" applyFont="1" applyBorder="1" applyAlignment="1">
      <alignment vertical="top" wrapText="1"/>
    </xf>
    <xf numFmtId="0" fontId="61" fillId="0" borderId="69" xfId="38" applyFont="1" applyBorder="1" applyAlignment="1">
      <alignment horizontal="center" vertical="top" wrapText="1"/>
    </xf>
    <xf numFmtId="0" fontId="61" fillId="0" borderId="17" xfId="38" applyFont="1" applyBorder="1" applyAlignment="1">
      <alignment horizontal="center" vertical="top" wrapText="1"/>
    </xf>
    <xf numFmtId="0" fontId="30" fillId="0" borderId="0" xfId="38" applyFont="1"/>
    <xf numFmtId="3" fontId="31" fillId="0" borderId="0" xfId="38" applyNumberFormat="1" applyFont="1"/>
    <xf numFmtId="0" fontId="56" fillId="0" borderId="69" xfId="38" applyFont="1" applyBorder="1" applyAlignment="1">
      <alignment vertical="top" wrapText="1"/>
    </xf>
    <xf numFmtId="0" fontId="56" fillId="0" borderId="17" xfId="38" applyFont="1" applyBorder="1" applyAlignment="1">
      <alignment vertical="top" wrapText="1"/>
    </xf>
    <xf numFmtId="0" fontId="56" fillId="0" borderId="51" xfId="38" applyFont="1" applyBorder="1" applyAlignment="1">
      <alignment vertical="top" wrapText="1"/>
    </xf>
    <xf numFmtId="0" fontId="56" fillId="0" borderId="57" xfId="38" applyFont="1" applyBorder="1" applyAlignment="1">
      <alignment vertical="top" wrapText="1"/>
    </xf>
    <xf numFmtId="0" fontId="56" fillId="0" borderId="15" xfId="38" applyFont="1" applyBorder="1" applyAlignment="1">
      <alignment vertical="top" wrapText="1"/>
    </xf>
    <xf numFmtId="0" fontId="35" fillId="0" borderId="69" xfId="38" applyFont="1" applyBorder="1" applyAlignment="1">
      <alignment vertical="top" wrapText="1"/>
    </xf>
    <xf numFmtId="0" fontId="35" fillId="0" borderId="71" xfId="38" applyFont="1" applyBorder="1" applyAlignment="1">
      <alignment vertical="top" wrapText="1"/>
    </xf>
    <xf numFmtId="0" fontId="35" fillId="0" borderId="50" xfId="38" applyFont="1" applyBorder="1" applyAlignment="1">
      <alignment vertical="top" wrapText="1"/>
    </xf>
    <xf numFmtId="0" fontId="35" fillId="0" borderId="0" xfId="38" applyFont="1" applyBorder="1" applyAlignment="1">
      <alignment vertical="top" wrapText="1"/>
    </xf>
    <xf numFmtId="0" fontId="100" fillId="0" borderId="57" xfId="38" applyFont="1" applyBorder="1" applyAlignment="1">
      <alignment vertical="top" wrapText="1"/>
    </xf>
    <xf numFmtId="0" fontId="100" fillId="0" borderId="88" xfId="38" applyFont="1" applyBorder="1" applyAlignment="1">
      <alignment vertical="top" wrapText="1"/>
    </xf>
    <xf numFmtId="0" fontId="98" fillId="0" borderId="52" xfId="38" applyFont="1" applyBorder="1" applyAlignment="1">
      <alignment vertical="top" wrapText="1"/>
    </xf>
    <xf numFmtId="0" fontId="98" fillId="0" borderId="0" xfId="38" applyFont="1" applyAlignment="1">
      <alignment wrapText="1"/>
    </xf>
    <xf numFmtId="0" fontId="35" fillId="0" borderId="0" xfId="38" applyFont="1" applyAlignment="1">
      <alignment wrapText="1"/>
    </xf>
    <xf numFmtId="0" fontId="48" fillId="0" borderId="0" xfId="38" applyFont="1" applyAlignment="1">
      <alignment horizontal="center"/>
    </xf>
    <xf numFmtId="0" fontId="103" fillId="0" borderId="0" xfId="38" applyFont="1"/>
    <xf numFmtId="0" fontId="48" fillId="0" borderId="0" xfId="38" applyFont="1"/>
    <xf numFmtId="0" fontId="32" fillId="0" borderId="0" xfId="38" applyFont="1" applyAlignment="1">
      <alignment horizontal="right"/>
    </xf>
    <xf numFmtId="0" fontId="58" fillId="0" borderId="0" xfId="38" applyFont="1" applyAlignment="1">
      <alignment horizontal="center"/>
    </xf>
    <xf numFmtId="0" fontId="56" fillId="0" borderId="0" xfId="38" applyFont="1"/>
    <xf numFmtId="2" fontId="56" fillId="0" borderId="69" xfId="38" applyNumberFormat="1" applyFont="1" applyBorder="1" applyAlignment="1">
      <alignment horizontal="center" vertical="top" wrapText="1"/>
    </xf>
    <xf numFmtId="0" fontId="56" fillId="0" borderId="50" xfId="38" applyFont="1" applyBorder="1" applyAlignment="1">
      <alignment horizontal="center" vertical="top" wrapText="1"/>
    </xf>
    <xf numFmtId="0" fontId="56" fillId="0" borderId="50" xfId="38" applyFont="1" applyBorder="1" applyAlignment="1">
      <alignment vertical="top" wrapText="1"/>
    </xf>
    <xf numFmtId="9" fontId="56" fillId="0" borderId="69" xfId="39" applyFont="1" applyBorder="1" applyAlignment="1">
      <alignment horizontal="center" vertical="top" wrapText="1"/>
    </xf>
    <xf numFmtId="9" fontId="56" fillId="0" borderId="50" xfId="39" applyFont="1" applyBorder="1" applyAlignment="1">
      <alignment horizontal="center" vertical="top" wrapText="1"/>
    </xf>
    <xf numFmtId="0" fontId="35" fillId="0" borderId="21" xfId="38" applyFont="1" applyBorder="1" applyAlignment="1">
      <alignment vertical="top" wrapText="1"/>
    </xf>
    <xf numFmtId="0" fontId="35" fillId="0" borderId="7" xfId="38" applyFont="1" applyBorder="1" applyAlignment="1">
      <alignment vertical="top" wrapText="1"/>
    </xf>
    <xf numFmtId="0" fontId="35" fillId="0" borderId="22" xfId="38" applyFont="1" applyBorder="1" applyAlignment="1">
      <alignment vertical="top" wrapText="1"/>
    </xf>
    <xf numFmtId="0" fontId="35" fillId="0" borderId="16" xfId="38" applyFont="1" applyBorder="1" applyAlignment="1">
      <alignment vertical="top" wrapText="1"/>
    </xf>
    <xf numFmtId="0" fontId="35" fillId="0" borderId="18" xfId="38" applyFont="1" applyBorder="1" applyAlignment="1">
      <alignment vertical="top" wrapText="1"/>
    </xf>
    <xf numFmtId="0" fontId="35" fillId="0" borderId="16" xfId="38" applyFont="1" applyBorder="1" applyAlignment="1">
      <alignment horizontal="center" vertical="top" wrapText="1"/>
    </xf>
    <xf numFmtId="0" fontId="35" fillId="0" borderId="88" xfId="38" applyFont="1" applyBorder="1" applyAlignment="1">
      <alignment vertical="top" wrapText="1"/>
    </xf>
    <xf numFmtId="0" fontId="35" fillId="0" borderId="0" xfId="38" applyFont="1" applyBorder="1" applyAlignment="1">
      <alignment horizontal="center" vertical="top" wrapText="1"/>
    </xf>
    <xf numFmtId="0" fontId="35" fillId="0" borderId="13" xfId="38" applyFont="1" applyBorder="1" applyAlignment="1">
      <alignment vertical="top" wrapText="1"/>
    </xf>
    <xf numFmtId="0" fontId="35" fillId="0" borderId="5" xfId="38" applyFont="1" applyBorder="1" applyAlignment="1">
      <alignment vertical="top" wrapText="1"/>
    </xf>
    <xf numFmtId="0" fontId="35" fillId="0" borderId="14" xfId="38" applyFont="1" applyBorder="1" applyAlignment="1">
      <alignment vertical="top" wrapText="1"/>
    </xf>
    <xf numFmtId="0" fontId="34" fillId="0" borderId="0" xfId="38" applyFont="1" applyAlignment="1"/>
    <xf numFmtId="0" fontId="34" fillId="0" borderId="0" xfId="38" applyFont="1"/>
    <xf numFmtId="165" fontId="57" fillId="0" borderId="0" xfId="4" applyFont="1" applyBorder="1" applyAlignment="1" applyProtection="1">
      <alignment horizontal="center"/>
    </xf>
    <xf numFmtId="0" fontId="55" fillId="0" borderId="0" xfId="2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/>
    <xf numFmtId="0" fontId="91" fillId="0" borderId="0" xfId="2" applyFont="1" applyBorder="1" applyAlignment="1"/>
    <xf numFmtId="0" fontId="56" fillId="0" borderId="0" xfId="0" applyFont="1" applyBorder="1" applyAlignment="1">
      <alignment horizontal="left"/>
    </xf>
    <xf numFmtId="0" fontId="56" fillId="0" borderId="0" xfId="0" applyFont="1" applyBorder="1" applyAlignment="1"/>
    <xf numFmtId="183" fontId="56" fillId="0" borderId="0" xfId="5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41" fontId="5" fillId="0" borderId="0" xfId="1" applyFont="1" applyBorder="1" applyAlignment="1">
      <alignment horizontal="center" vertical="center"/>
    </xf>
    <xf numFmtId="41" fontId="40" fillId="0" borderId="39" xfId="0" applyNumberFormat="1" applyFont="1" applyBorder="1" applyAlignment="1">
      <alignment horizontal="right" vertical="center"/>
    </xf>
    <xf numFmtId="0" fontId="55" fillId="0" borderId="0" xfId="38" applyFont="1" applyAlignment="1"/>
    <xf numFmtId="41" fontId="31" fillId="0" borderId="0" xfId="1" applyFont="1"/>
    <xf numFmtId="41" fontId="92" fillId="0" borderId="0" xfId="1" applyFont="1"/>
    <xf numFmtId="41" fontId="92" fillId="0" borderId="0" xfId="1" applyFont="1" applyBorder="1"/>
    <xf numFmtId="0" fontId="92" fillId="0" borderId="0" xfId="38" applyFont="1" applyBorder="1"/>
    <xf numFmtId="2" fontId="92" fillId="0" borderId="0" xfId="38" applyNumberFormat="1" applyFont="1" applyBorder="1"/>
    <xf numFmtId="0" fontId="24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56" fillId="0" borderId="0" xfId="4" applyFont="1" applyBorder="1" applyAlignment="1" applyProtection="1">
      <alignment horizontal="center"/>
    </xf>
    <xf numFmtId="41" fontId="19" fillId="0" borderId="14" xfId="0" applyNumberFormat="1" applyFont="1" applyBorder="1" applyAlignment="1">
      <alignment vertical="center"/>
    </xf>
    <xf numFmtId="0" fontId="107" fillId="0" borderId="18" xfId="0" applyFont="1" applyBorder="1" applyAlignment="1">
      <alignment vertical="center" wrapText="1"/>
    </xf>
    <xf numFmtId="3" fontId="16" fillId="0" borderId="90" xfId="0" applyNumberFormat="1" applyFont="1" applyBorder="1" applyAlignment="1">
      <alignment horizontal="right" vertical="center"/>
    </xf>
    <xf numFmtId="3" fontId="16" fillId="0" borderId="91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3" fontId="78" fillId="0" borderId="0" xfId="0" applyNumberFormat="1" applyFont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vertical="center"/>
    </xf>
    <xf numFmtId="0" fontId="96" fillId="0" borderId="0" xfId="7" applyFont="1" applyFill="1" applyBorder="1" applyAlignment="1">
      <alignment vertical="center"/>
    </xf>
    <xf numFmtId="3" fontId="77" fillId="0" borderId="0" xfId="0" applyNumberFormat="1" applyFont="1" applyBorder="1" applyAlignment="1">
      <alignment vertical="center"/>
    </xf>
    <xf numFmtId="0" fontId="89" fillId="0" borderId="0" xfId="7" applyFont="1" applyFill="1" applyBorder="1" applyAlignment="1">
      <alignment vertical="center"/>
    </xf>
    <xf numFmtId="0" fontId="87" fillId="0" borderId="0" xfId="7" applyFont="1" applyFill="1" applyBorder="1" applyAlignment="1">
      <alignment vertical="center"/>
    </xf>
    <xf numFmtId="0" fontId="35" fillId="0" borderId="0" xfId="7" applyFont="1" applyFill="1" applyBorder="1" applyAlignment="1">
      <alignment vertical="center"/>
    </xf>
    <xf numFmtId="0" fontId="90" fillId="0" borderId="0" xfId="7" applyFont="1" applyFill="1" applyBorder="1" applyAlignment="1">
      <alignment vertical="center"/>
    </xf>
    <xf numFmtId="3" fontId="82" fillId="0" borderId="4" xfId="0" applyNumberFormat="1" applyFont="1" applyBorder="1" applyAlignment="1">
      <alignment vertical="center"/>
    </xf>
    <xf numFmtId="3" fontId="77" fillId="0" borderId="4" xfId="0" applyNumberFormat="1" applyFont="1" applyBorder="1" applyAlignment="1">
      <alignment horizontal="center" vertical="center"/>
    </xf>
    <xf numFmtId="3" fontId="81" fillId="0" borderId="3" xfId="0" applyNumberFormat="1" applyFont="1" applyFill="1" applyBorder="1" applyAlignment="1">
      <alignment vertical="center"/>
    </xf>
    <xf numFmtId="167" fontId="89" fillId="0" borderId="0" xfId="4" applyNumberFormat="1" applyFont="1" applyFill="1" applyBorder="1" applyAlignment="1"/>
    <xf numFmtId="165" fontId="34" fillId="0" borderId="0" xfId="4" applyFont="1" applyBorder="1" applyAlignment="1"/>
    <xf numFmtId="165" fontId="34" fillId="0" borderId="0" xfId="4" applyFont="1" applyBorder="1" applyAlignment="1">
      <alignment horizontal="right"/>
    </xf>
    <xf numFmtId="0" fontId="94" fillId="0" borderId="0" xfId="2" applyFont="1" applyBorder="1" applyAlignment="1"/>
    <xf numFmtId="0" fontId="95" fillId="0" borderId="0" xfId="2" applyFont="1" applyBorder="1"/>
    <xf numFmtId="174" fontId="35" fillId="9" borderId="84" xfId="3" applyNumberFormat="1" applyFont="1" applyFill="1" applyBorder="1" applyAlignment="1" applyProtection="1"/>
    <xf numFmtId="3" fontId="95" fillId="0" borderId="0" xfId="2" applyNumberFormat="1" applyFont="1" applyBorder="1"/>
    <xf numFmtId="181" fontId="95" fillId="0" borderId="0" xfId="37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65" fontId="32" fillId="0" borderId="0" xfId="4" applyFont="1" applyBorder="1" applyAlignment="1">
      <alignment horizontal="center"/>
    </xf>
    <xf numFmtId="165" fontId="32" fillId="0" borderId="0" xfId="4" applyFont="1" applyBorder="1" applyAlignment="1" applyProtection="1">
      <alignment horizontal="center"/>
    </xf>
    <xf numFmtId="165" fontId="56" fillId="0" borderId="0" xfId="4" applyFont="1" applyBorder="1" applyAlignment="1" applyProtection="1">
      <alignment horizontal="center"/>
    </xf>
    <xf numFmtId="165" fontId="55" fillId="0" borderId="0" xfId="4" applyFont="1" applyBorder="1" applyAlignment="1" applyProtection="1">
      <alignment horizontal="center"/>
    </xf>
    <xf numFmtId="165" fontId="57" fillId="0" borderId="0" xfId="4" applyFont="1" applyBorder="1" applyAlignment="1" applyProtection="1">
      <alignment horizontal="center"/>
    </xf>
    <xf numFmtId="165" fontId="59" fillId="0" borderId="0" xfId="4" applyFont="1" applyBorder="1" applyAlignment="1" applyProtection="1">
      <alignment horizontal="center"/>
    </xf>
    <xf numFmtId="165" fontId="72" fillId="0" borderId="0" xfId="4" applyFont="1" applyBorder="1" applyAlignment="1" applyProtection="1">
      <alignment horizont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0" fontId="34" fillId="6" borderId="30" xfId="2" applyFont="1" applyFill="1" applyBorder="1" applyAlignment="1">
      <alignment horizontal="center" wrapText="1"/>
    </xf>
    <xf numFmtId="0" fontId="34" fillId="6" borderId="38" xfId="2" applyFont="1" applyFill="1" applyBorder="1" applyAlignment="1">
      <alignment horizontal="center" wrapText="1"/>
    </xf>
    <xf numFmtId="0" fontId="33" fillId="6" borderId="21" xfId="2" applyFont="1" applyFill="1" applyBorder="1" applyAlignment="1">
      <alignment horizontal="center"/>
    </xf>
    <xf numFmtId="0" fontId="33" fillId="6" borderId="22" xfId="2" applyFont="1" applyFill="1" applyBorder="1" applyAlignment="1">
      <alignment horizontal="center"/>
    </xf>
    <xf numFmtId="0" fontId="33" fillId="6" borderId="16" xfId="2" applyFont="1" applyFill="1" applyBorder="1" applyAlignment="1">
      <alignment horizontal="center"/>
    </xf>
    <xf numFmtId="0" fontId="33" fillId="6" borderId="18" xfId="2" applyFont="1" applyFill="1" applyBorder="1" applyAlignment="1">
      <alignment horizontal="center"/>
    </xf>
    <xf numFmtId="0" fontId="33" fillId="6" borderId="13" xfId="2" applyFont="1" applyFill="1" applyBorder="1" applyAlignment="1">
      <alignment horizontal="center"/>
    </xf>
    <xf numFmtId="0" fontId="33" fillId="6" borderId="14" xfId="2" applyFont="1" applyFill="1" applyBorder="1" applyAlignment="1">
      <alignment horizontal="center"/>
    </xf>
    <xf numFmtId="41" fontId="18" fillId="6" borderId="10" xfId="2" applyNumberFormat="1" applyFont="1" applyFill="1" applyBorder="1" applyAlignment="1">
      <alignment horizontal="right"/>
    </xf>
    <xf numFmtId="0" fontId="18" fillId="6" borderId="32" xfId="2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34" fillId="6" borderId="23" xfId="2" applyFont="1" applyFill="1" applyBorder="1" applyAlignment="1">
      <alignment horizontal="center"/>
    </xf>
    <xf numFmtId="0" fontId="34" fillId="6" borderId="24" xfId="2" applyFont="1" applyFill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5" fillId="6" borderId="27" xfId="2" applyFont="1" applyFill="1" applyBorder="1" applyAlignment="1">
      <alignment horizontal="center"/>
    </xf>
    <xf numFmtId="0" fontId="35" fillId="6" borderId="35" xfId="2" applyFont="1" applyFill="1" applyBorder="1" applyAlignment="1">
      <alignment horizontal="center"/>
    </xf>
    <xf numFmtId="0" fontId="35" fillId="6" borderId="37" xfId="2" applyFont="1" applyFill="1" applyBorder="1" applyAlignment="1">
      <alignment horizontal="center"/>
    </xf>
    <xf numFmtId="0" fontId="35" fillId="6" borderId="23" xfId="2" applyFont="1" applyFill="1" applyBorder="1" applyAlignment="1">
      <alignment horizontal="center"/>
    </xf>
    <xf numFmtId="0" fontId="35" fillId="6" borderId="3" xfId="2" applyFont="1" applyFill="1" applyBorder="1" applyAlignment="1">
      <alignment horizontal="center"/>
    </xf>
    <xf numFmtId="0" fontId="35" fillId="6" borderId="29" xfId="2" applyFont="1" applyFill="1" applyBorder="1" applyAlignment="1">
      <alignment horizontal="center"/>
    </xf>
    <xf numFmtId="0" fontId="35" fillId="6" borderId="33" xfId="2" applyFont="1" applyFill="1" applyBorder="1" applyAlignment="1">
      <alignment horizontal="center"/>
    </xf>
    <xf numFmtId="0" fontId="35" fillId="6" borderId="10" xfId="2" applyFont="1" applyFill="1" applyBorder="1" applyAlignment="1">
      <alignment horizontal="center"/>
    </xf>
    <xf numFmtId="0" fontId="35" fillId="6" borderId="32" xfId="2" applyFont="1" applyFill="1" applyBorder="1" applyAlignment="1">
      <alignment horizontal="center"/>
    </xf>
    <xf numFmtId="41" fontId="18" fillId="6" borderId="3" xfId="2" applyNumberFormat="1" applyFont="1" applyFill="1" applyBorder="1" applyAlignment="1">
      <alignment horizontal="right"/>
    </xf>
    <xf numFmtId="0" fontId="18" fillId="6" borderId="29" xfId="2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167" fontId="89" fillId="0" borderId="0" xfId="4" applyNumberFormat="1" applyFont="1" applyFill="1" applyBorder="1" applyAlignment="1">
      <alignment horizontal="left"/>
    </xf>
    <xf numFmtId="165" fontId="34" fillId="0" borderId="0" xfId="4" applyFont="1" applyBorder="1" applyAlignment="1">
      <alignment horizontal="center"/>
    </xf>
    <xf numFmtId="165" fontId="34" fillId="0" borderId="0" xfId="4" applyFont="1" applyBorder="1" applyAlignment="1">
      <alignment horizontal="right"/>
    </xf>
    <xf numFmtId="167" fontId="89" fillId="0" borderId="0" xfId="4" applyNumberFormat="1" applyFont="1" applyFill="1" applyBorder="1" applyAlignment="1">
      <alignment horizontal="center"/>
    </xf>
    <xf numFmtId="165" fontId="58" fillId="9" borderId="47" xfId="4" applyFont="1" applyFill="1" applyBorder="1" applyAlignment="1">
      <alignment horizontal="center"/>
    </xf>
    <xf numFmtId="165" fontId="58" fillId="9" borderId="48" xfId="4" applyFont="1" applyFill="1" applyBorder="1" applyAlignment="1">
      <alignment horizontal="center"/>
    </xf>
    <xf numFmtId="0" fontId="94" fillId="0" borderId="0" xfId="2" applyFont="1" applyBorder="1" applyAlignment="1">
      <alignment horizontal="center"/>
    </xf>
    <xf numFmtId="167" fontId="94" fillId="0" borderId="0" xfId="2" applyNumberFormat="1" applyFont="1" applyFill="1" applyBorder="1" applyAlignment="1">
      <alignment horizontal="center"/>
    </xf>
    <xf numFmtId="177" fontId="94" fillId="0" borderId="0" xfId="36" applyFont="1" applyBorder="1" applyAlignment="1">
      <alignment horizontal="center"/>
    </xf>
    <xf numFmtId="0" fontId="94" fillId="0" borderId="0" xfId="2" applyFont="1" applyBorder="1" applyAlignment="1" applyProtection="1">
      <alignment horizontal="center"/>
    </xf>
    <xf numFmtId="176" fontId="58" fillId="13" borderId="48" xfId="2" applyNumberFormat="1" applyFont="1" applyFill="1" applyBorder="1" applyAlignment="1">
      <alignment horizontal="center"/>
    </xf>
    <xf numFmtId="176" fontId="55" fillId="0" borderId="0" xfId="2" applyNumberFormat="1" applyFont="1" applyBorder="1" applyAlignment="1">
      <alignment horizontal="center"/>
    </xf>
    <xf numFmtId="0" fontId="58" fillId="0" borderId="0" xfId="2" applyFont="1" applyBorder="1" applyAlignment="1">
      <alignment horizontal="center"/>
    </xf>
    <xf numFmtId="176" fontId="57" fillId="0" borderId="0" xfId="2" applyNumberFormat="1" applyFont="1" applyBorder="1" applyAlignment="1">
      <alignment horizontal="center"/>
    </xf>
    <xf numFmtId="0" fontId="91" fillId="0" borderId="0" xfId="2" applyFont="1" applyBorder="1" applyAlignment="1">
      <alignment horizontal="center"/>
    </xf>
    <xf numFmtId="0" fontId="55" fillId="0" borderId="0" xfId="2" applyFont="1" applyBorder="1" applyAlignment="1">
      <alignment horizontal="center"/>
    </xf>
    <xf numFmtId="0" fontId="57" fillId="0" borderId="0" xfId="2" applyFont="1" applyBorder="1" applyAlignment="1">
      <alignment horizontal="center"/>
    </xf>
    <xf numFmtId="0" fontId="57" fillId="10" borderId="60" xfId="2" applyFont="1" applyFill="1" applyBorder="1" applyAlignment="1">
      <alignment horizontal="center"/>
    </xf>
    <xf numFmtId="0" fontId="94" fillId="0" borderId="0" xfId="2" applyFont="1" applyBorder="1" applyAlignment="1">
      <alignment horizontal="left"/>
    </xf>
    <xf numFmtId="167" fontId="34" fillId="0" borderId="0" xfId="2" applyNumberFormat="1" applyFont="1" applyFill="1" applyBorder="1" applyAlignment="1">
      <alignment horizontal="center"/>
    </xf>
    <xf numFmtId="0" fontId="34" fillId="11" borderId="60" xfId="2" applyFont="1" applyFill="1" applyBorder="1" applyAlignment="1">
      <alignment horizontal="center"/>
    </xf>
    <xf numFmtId="0" fontId="34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34" fillId="14" borderId="60" xfId="2" applyFont="1" applyFill="1" applyBorder="1" applyAlignment="1">
      <alignment horizontal="center"/>
    </xf>
    <xf numFmtId="0" fontId="91" fillId="0" borderId="0" xfId="2" applyFont="1" applyBorder="1" applyAlignment="1">
      <alignment horizontal="left"/>
    </xf>
    <xf numFmtId="0" fontId="102" fillId="0" borderId="0" xfId="38" applyFont="1" applyAlignment="1">
      <alignment horizontal="center"/>
    </xf>
    <xf numFmtId="0" fontId="55" fillId="0" borderId="0" xfId="38" applyFont="1" applyAlignment="1">
      <alignment horizontal="center"/>
    </xf>
    <xf numFmtId="0" fontId="48" fillId="0" borderId="0" xfId="38" applyFont="1" applyAlignment="1">
      <alignment horizontal="center"/>
    </xf>
    <xf numFmtId="0" fontId="57" fillId="15" borderId="87" xfId="38" applyFont="1" applyFill="1" applyBorder="1" applyAlignment="1">
      <alignment horizontal="center" vertical="top" wrapText="1"/>
    </xf>
    <xf numFmtId="0" fontId="57" fillId="15" borderId="47" xfId="38" applyFont="1" applyFill="1" applyBorder="1" applyAlignment="1">
      <alignment horizontal="center" vertical="top" wrapText="1"/>
    </xf>
    <xf numFmtId="0" fontId="34" fillId="0" borderId="69" xfId="38" applyFont="1" applyBorder="1" applyAlignment="1">
      <alignment horizontal="justify" vertical="top" wrapText="1"/>
    </xf>
    <xf numFmtId="0" fontId="31" fillId="0" borderId="0" xfId="38" applyFont="1" applyAlignment="1">
      <alignment horizontal="justify" vertical="top" wrapText="1"/>
    </xf>
    <xf numFmtId="0" fontId="31" fillId="0" borderId="50" xfId="38" applyFont="1" applyBorder="1" applyAlignment="1">
      <alignment horizontal="justify" vertical="top" wrapText="1"/>
    </xf>
    <xf numFmtId="0" fontId="31" fillId="0" borderId="69" xfId="38" applyFont="1" applyBorder="1" applyAlignment="1">
      <alignment horizontal="justify" vertical="top" wrapText="1"/>
    </xf>
    <xf numFmtId="0" fontId="34" fillId="0" borderId="0" xfId="38" applyFont="1" applyAlignment="1">
      <alignment horizontal="center"/>
    </xf>
    <xf numFmtId="0" fontId="58" fillId="0" borderId="0" xfId="38" applyFont="1" applyAlignment="1">
      <alignment horizontal="center"/>
    </xf>
    <xf numFmtId="0" fontId="35" fillId="0" borderId="0" xfId="38" applyFont="1" applyBorder="1" applyAlignment="1">
      <alignment vertical="top" wrapText="1"/>
    </xf>
    <xf numFmtId="0" fontId="35" fillId="0" borderId="0" xfId="38" applyFont="1" applyBorder="1" applyAlignment="1">
      <alignment horizontal="justify" vertical="top" wrapText="1"/>
    </xf>
    <xf numFmtId="0" fontId="35" fillId="0" borderId="5" xfId="38" applyFont="1" applyBorder="1" applyAlignment="1">
      <alignment vertical="top" wrapText="1"/>
    </xf>
    <xf numFmtId="0" fontId="35" fillId="0" borderId="0" xfId="38" applyFont="1" applyBorder="1" applyAlignment="1">
      <alignment horizontal="center" vertical="top" wrapText="1"/>
    </xf>
    <xf numFmtId="0" fontId="35" fillId="0" borderId="88" xfId="38" applyFont="1" applyBorder="1" applyAlignment="1">
      <alignment horizontal="justify" vertical="top" wrapText="1"/>
    </xf>
    <xf numFmtId="0" fontId="35" fillId="0" borderId="71" xfId="38" applyFont="1" applyBorder="1" applyAlignment="1">
      <alignment horizontal="justify" vertical="top" wrapText="1"/>
    </xf>
    <xf numFmtId="0" fontId="35" fillId="0" borderId="0" xfId="38" applyFont="1" applyBorder="1" applyAlignment="1">
      <alignment horizontal="left" vertical="top" wrapText="1"/>
    </xf>
    <xf numFmtId="0" fontId="35" fillId="0" borderId="18" xfId="38" applyFont="1" applyBorder="1" applyAlignment="1">
      <alignment horizontal="left" vertical="top" wrapText="1"/>
    </xf>
    <xf numFmtId="0" fontId="35" fillId="0" borderId="7" xfId="38" applyFont="1" applyBorder="1" applyAlignment="1">
      <alignment vertical="top" wrapText="1"/>
    </xf>
    <xf numFmtId="0" fontId="56" fillId="0" borderId="69" xfId="38" applyFont="1" applyBorder="1" applyAlignment="1">
      <alignment vertical="top" wrapText="1"/>
    </xf>
    <xf numFmtId="0" fontId="56" fillId="0" borderId="0" xfId="38" applyFont="1" applyBorder="1" applyAlignment="1">
      <alignment vertical="top" wrapText="1"/>
    </xf>
    <xf numFmtId="0" fontId="56" fillId="0" borderId="50" xfId="38" applyFont="1" applyBorder="1" applyAlignment="1">
      <alignment vertical="top" wrapText="1"/>
    </xf>
    <xf numFmtId="9" fontId="56" fillId="0" borderId="69" xfId="39" applyFont="1" applyBorder="1" applyAlignment="1">
      <alignment horizontal="center" vertical="top" wrapText="1"/>
    </xf>
    <xf numFmtId="9" fontId="56" fillId="0" borderId="50" xfId="39" applyFont="1" applyBorder="1" applyAlignment="1">
      <alignment horizontal="center" vertical="top" wrapText="1"/>
    </xf>
    <xf numFmtId="0" fontId="35" fillId="0" borderId="69" xfId="38" applyFont="1" applyBorder="1" applyAlignment="1">
      <alignment vertical="top" wrapText="1"/>
    </xf>
    <xf numFmtId="0" fontId="35" fillId="0" borderId="50" xfId="38" applyFont="1" applyBorder="1" applyAlignment="1">
      <alignment vertical="top" wrapText="1"/>
    </xf>
    <xf numFmtId="4" fontId="56" fillId="0" borderId="69" xfId="38" applyNumberFormat="1" applyFont="1" applyBorder="1" applyAlignment="1">
      <alignment horizontal="center" vertical="top" wrapText="1"/>
    </xf>
    <xf numFmtId="4" fontId="56" fillId="0" borderId="50" xfId="38" applyNumberFormat="1" applyFont="1" applyBorder="1" applyAlignment="1">
      <alignment horizontal="center" vertical="top" wrapText="1"/>
    </xf>
    <xf numFmtId="2" fontId="56" fillId="0" borderId="69" xfId="38" applyNumberFormat="1" applyFont="1" applyBorder="1" applyAlignment="1">
      <alignment horizontal="center" vertical="top" wrapText="1"/>
    </xf>
    <xf numFmtId="2" fontId="56" fillId="0" borderId="50" xfId="38" applyNumberFormat="1" applyFont="1" applyBorder="1" applyAlignment="1">
      <alignment horizontal="center" vertical="top" wrapText="1"/>
    </xf>
    <xf numFmtId="0" fontId="56" fillId="0" borderId="56" xfId="38" applyFont="1" applyBorder="1" applyAlignment="1">
      <alignment vertical="top" wrapText="1"/>
    </xf>
    <xf numFmtId="0" fontId="56" fillId="0" borderId="71" xfId="38" applyFont="1" applyBorder="1" applyAlignment="1">
      <alignment vertical="top" wrapText="1"/>
    </xf>
    <xf numFmtId="0" fontId="56" fillId="0" borderId="73" xfId="38" applyFont="1" applyBorder="1" applyAlignment="1">
      <alignment vertical="top" wrapText="1"/>
    </xf>
    <xf numFmtId="0" fontId="35" fillId="0" borderId="56" xfId="38" applyFont="1" applyBorder="1" applyAlignment="1">
      <alignment vertical="top" wrapText="1"/>
    </xf>
    <xf numFmtId="0" fontId="35" fillId="0" borderId="73" xfId="38" applyFont="1" applyBorder="1" applyAlignment="1">
      <alignment vertical="top" wrapText="1"/>
    </xf>
    <xf numFmtId="0" fontId="32" fillId="0" borderId="0" xfId="38" applyFont="1" applyAlignment="1">
      <alignment horizontal="center"/>
    </xf>
    <xf numFmtId="0" fontId="34" fillId="15" borderId="69" xfId="38" applyFont="1" applyFill="1" applyBorder="1" applyAlignment="1">
      <alignment horizontal="center" vertical="top" wrapText="1"/>
    </xf>
    <xf numFmtId="0" fontId="34" fillId="15" borderId="0" xfId="38" applyFont="1" applyFill="1" applyBorder="1" applyAlignment="1">
      <alignment horizontal="center" vertical="top" wrapText="1"/>
    </xf>
    <xf numFmtId="0" fontId="34" fillId="15" borderId="50" xfId="38" applyFont="1" applyFill="1" applyBorder="1" applyAlignment="1">
      <alignment horizontal="center" vertical="top" wrapText="1"/>
    </xf>
    <xf numFmtId="0" fontId="34" fillId="15" borderId="57" xfId="38" applyFont="1" applyFill="1" applyBorder="1" applyAlignment="1">
      <alignment horizontal="center" vertical="top" wrapText="1"/>
    </xf>
    <xf numFmtId="0" fontId="34" fillId="15" borderId="88" xfId="38" applyFont="1" applyFill="1" applyBorder="1" applyAlignment="1">
      <alignment horizontal="center" vertical="top" wrapText="1"/>
    </xf>
    <xf numFmtId="0" fontId="34" fillId="15" borderId="52" xfId="38" applyFont="1" applyFill="1" applyBorder="1" applyAlignment="1">
      <alignment horizontal="center" vertical="top" wrapText="1"/>
    </xf>
    <xf numFmtId="0" fontId="34" fillId="15" borderId="56" xfId="38" applyFont="1" applyFill="1" applyBorder="1" applyAlignment="1">
      <alignment horizontal="center" vertical="top" wrapText="1"/>
    </xf>
    <xf numFmtId="0" fontId="34" fillId="15" borderId="73" xfId="38" applyFont="1" applyFill="1" applyBorder="1" applyAlignment="1">
      <alignment horizontal="center" vertical="top" wrapText="1"/>
    </xf>
    <xf numFmtId="0" fontId="35" fillId="15" borderId="56" xfId="38" applyFont="1" applyFill="1" applyBorder="1" applyAlignment="1">
      <alignment vertical="top" wrapText="1"/>
    </xf>
    <xf numFmtId="0" fontId="35" fillId="15" borderId="71" xfId="38" applyFont="1" applyFill="1" applyBorder="1" applyAlignment="1">
      <alignment vertical="top" wrapText="1"/>
    </xf>
    <xf numFmtId="0" fontId="35" fillId="15" borderId="73" xfId="38" applyFont="1" applyFill="1" applyBorder="1" applyAlignment="1">
      <alignment vertical="top" wrapText="1"/>
    </xf>
    <xf numFmtId="0" fontId="34" fillId="15" borderId="89" xfId="38" applyFont="1" applyFill="1" applyBorder="1" applyAlignment="1">
      <alignment horizontal="center" vertical="top" wrapText="1"/>
    </xf>
    <xf numFmtId="0" fontId="34" fillId="15" borderId="87" xfId="38" applyFont="1" applyFill="1" applyBorder="1" applyAlignment="1">
      <alignment horizontal="center" vertical="top" wrapText="1"/>
    </xf>
    <xf numFmtId="0" fontId="34" fillId="15" borderId="47" xfId="38" applyFont="1" applyFill="1" applyBorder="1" applyAlignment="1">
      <alignment horizontal="center" vertical="top" wrapText="1"/>
    </xf>
  </cellXfs>
  <cellStyles count="57">
    <cellStyle name="Comma 2" xfId="8"/>
    <cellStyle name="Comma 2 2" xfId="9"/>
    <cellStyle name="Comma 2 3" xfId="10"/>
    <cellStyle name="Comma_Worksheet in   AIPSA Estados al 31.12" xfId="11"/>
    <cellStyle name="Excel Built-in Normal" xfId="7"/>
    <cellStyle name="Millares [0]" xfId="1" builtinId="6"/>
    <cellStyle name="Millares [0] 2" xfId="12"/>
    <cellStyle name="Millares [0] 3" xfId="37"/>
    <cellStyle name="Millares 10" xfId="13"/>
    <cellStyle name="Millares 11" xfId="14"/>
    <cellStyle name="Millares 12" xfId="15"/>
    <cellStyle name="Millares 13" xfId="16"/>
    <cellStyle name="Millares 14" xfId="17"/>
    <cellStyle name="Millares 15" xfId="18"/>
    <cellStyle name="Millares 16" xfId="19"/>
    <cellStyle name="Millares 17" xfId="20"/>
    <cellStyle name="Millares 18" xfId="21"/>
    <cellStyle name="Millares 19" xfId="22"/>
    <cellStyle name="Millares 2" xfId="3"/>
    <cellStyle name="Millares 2 2" xfId="23"/>
    <cellStyle name="Millares 20" xfId="24"/>
    <cellStyle name="Millares 21" xfId="25"/>
    <cellStyle name="Millares 22" xfId="26"/>
    <cellStyle name="Millares 23" xfId="43"/>
    <cellStyle name="Millares 24" xfId="56"/>
    <cellStyle name="Millares 3" xfId="6"/>
    <cellStyle name="Millares 4" xfId="27"/>
    <cellStyle name="Millares 5" xfId="28"/>
    <cellStyle name="Millares 6" xfId="29"/>
    <cellStyle name="Millares 7" xfId="30"/>
    <cellStyle name="Millares 8" xfId="31"/>
    <cellStyle name="Millares 9" xfId="32"/>
    <cellStyle name="Moneda 2" xfId="36"/>
    <cellStyle name="Normal" xfId="0" builtinId="0"/>
    <cellStyle name="Normal 2" xfId="4"/>
    <cellStyle name="Normal 2 2" xfId="38"/>
    <cellStyle name="Normal 3" xfId="2"/>
    <cellStyle name="Normal 32" xfId="44"/>
    <cellStyle name="Normal 33" xfId="45"/>
    <cellStyle name="Normal 35" xfId="46"/>
    <cellStyle name="Normal 37" xfId="47"/>
    <cellStyle name="Normal 4" xfId="55"/>
    <cellStyle name="Normal 48" xfId="48"/>
    <cellStyle name="Normal 49" xfId="49"/>
    <cellStyle name="Normal 50" xfId="50"/>
    <cellStyle name="Normal 51" xfId="51"/>
    <cellStyle name="Normal 57" xfId="52"/>
    <cellStyle name="Normal 58" xfId="53"/>
    <cellStyle name="Normal 60" xfId="54"/>
    <cellStyle name="Normal 76" xfId="41"/>
    <cellStyle name="Normal 78" xfId="40"/>
    <cellStyle name="Normal 79" xfId="42"/>
    <cellStyle name="Percent 2" xfId="33"/>
    <cellStyle name="Percent 2 2" xfId="34"/>
    <cellStyle name="Porcentaje 2" xfId="5"/>
    <cellStyle name="Porcentaje 3" xfId="39"/>
    <cellStyle name="Título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66676</xdr:rowOff>
    </xdr:from>
    <xdr:to>
      <xdr:col>6</xdr:col>
      <xdr:colOff>647700</xdr:colOff>
      <xdr:row>5</xdr:row>
      <xdr:rowOff>65626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66676"/>
          <a:ext cx="904875" cy="951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0</xdr:rowOff>
    </xdr:from>
    <xdr:to>
      <xdr:col>6</xdr:col>
      <xdr:colOff>1009650</xdr:colOff>
      <xdr:row>4</xdr:row>
      <xdr:rowOff>131319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61925"/>
          <a:ext cx="885825" cy="9314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142875</xdr:rowOff>
    </xdr:from>
    <xdr:to>
      <xdr:col>4</xdr:col>
      <xdr:colOff>1038225</xdr:colOff>
      <xdr:row>4</xdr:row>
      <xdr:rowOff>112269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42875"/>
          <a:ext cx="885825" cy="9314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104775</xdr:rowOff>
    </xdr:from>
    <xdr:to>
      <xdr:col>5</xdr:col>
      <xdr:colOff>1076325</xdr:colOff>
      <xdr:row>4</xdr:row>
      <xdr:rowOff>150369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66700"/>
          <a:ext cx="885825" cy="9314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114300</xdr:rowOff>
    </xdr:from>
    <xdr:to>
      <xdr:col>7</xdr:col>
      <xdr:colOff>895350</xdr:colOff>
      <xdr:row>3</xdr:row>
      <xdr:rowOff>188469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14300"/>
          <a:ext cx="885825" cy="9314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0</xdr:rowOff>
    </xdr:from>
    <xdr:to>
      <xdr:col>4</xdr:col>
      <xdr:colOff>0</xdr:colOff>
      <xdr:row>4</xdr:row>
      <xdr:rowOff>274194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57175"/>
          <a:ext cx="885825" cy="9314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2</xdr:row>
      <xdr:rowOff>114300</xdr:rowOff>
    </xdr:from>
    <xdr:to>
      <xdr:col>9</xdr:col>
      <xdr:colOff>19050</xdr:colOff>
      <xdr:row>6</xdr:row>
      <xdr:rowOff>64644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628650"/>
          <a:ext cx="885825" cy="931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</xdr:row>
      <xdr:rowOff>57150</xdr:rowOff>
    </xdr:from>
    <xdr:to>
      <xdr:col>5</xdr:col>
      <xdr:colOff>85725</xdr:colOff>
      <xdr:row>4</xdr:row>
      <xdr:rowOff>178944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247650"/>
          <a:ext cx="885825" cy="931419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53</xdr:row>
      <xdr:rowOff>95250</xdr:rowOff>
    </xdr:from>
    <xdr:to>
      <xdr:col>4</xdr:col>
      <xdr:colOff>1285875</xdr:colOff>
      <xdr:row>56</xdr:row>
      <xdr:rowOff>156953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09632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110</xdr:row>
      <xdr:rowOff>85725</xdr:rowOff>
    </xdr:from>
    <xdr:to>
      <xdr:col>4</xdr:col>
      <xdr:colOff>1219200</xdr:colOff>
      <xdr:row>113</xdr:row>
      <xdr:rowOff>147428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245268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155</xdr:row>
      <xdr:rowOff>114300</xdr:rowOff>
    </xdr:from>
    <xdr:to>
      <xdr:col>4</xdr:col>
      <xdr:colOff>1266825</xdr:colOff>
      <xdr:row>158</xdr:row>
      <xdr:rowOff>176003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3023175"/>
          <a:ext cx="828675" cy="871328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232</xdr:row>
      <xdr:rowOff>57150</xdr:rowOff>
    </xdr:from>
    <xdr:to>
      <xdr:col>6</xdr:col>
      <xdr:colOff>0</xdr:colOff>
      <xdr:row>235</xdr:row>
      <xdr:rowOff>156953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46043850"/>
          <a:ext cx="828675" cy="871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2</xdr:row>
      <xdr:rowOff>28575</xdr:rowOff>
    </xdr:from>
    <xdr:to>
      <xdr:col>4</xdr:col>
      <xdr:colOff>723900</xdr:colOff>
      <xdr:row>4</xdr:row>
      <xdr:rowOff>178944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409575"/>
          <a:ext cx="885825" cy="931419"/>
        </a:xfrm>
        <a:prstGeom prst="rect">
          <a:avLst/>
        </a:prstGeom>
      </xdr:spPr>
    </xdr:pic>
    <xdr:clientData/>
  </xdr:twoCellAnchor>
  <xdr:twoCellAnchor editAs="oneCell">
    <xdr:from>
      <xdr:col>3</xdr:col>
      <xdr:colOff>664953</xdr:colOff>
      <xdr:row>57</xdr:row>
      <xdr:rowOff>44930</xdr:rowOff>
    </xdr:from>
    <xdr:to>
      <xdr:col>4</xdr:col>
      <xdr:colOff>533549</xdr:colOff>
      <xdr:row>62</xdr:row>
      <xdr:rowOff>21992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3208" y="11636675"/>
          <a:ext cx="883997" cy="920576"/>
        </a:xfrm>
        <a:prstGeom prst="rect">
          <a:avLst/>
        </a:prstGeom>
      </xdr:spPr>
    </xdr:pic>
    <xdr:clientData/>
  </xdr:twoCellAnchor>
  <xdr:twoCellAnchor editAs="oneCell">
    <xdr:from>
      <xdr:col>3</xdr:col>
      <xdr:colOff>916558</xdr:colOff>
      <xdr:row>116</xdr:row>
      <xdr:rowOff>44929</xdr:rowOff>
    </xdr:from>
    <xdr:to>
      <xdr:col>4</xdr:col>
      <xdr:colOff>655967</xdr:colOff>
      <xdr:row>120</xdr:row>
      <xdr:rowOff>80100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4813" y="23210448"/>
          <a:ext cx="754810" cy="789982"/>
        </a:xfrm>
        <a:prstGeom prst="rect">
          <a:avLst/>
        </a:prstGeom>
      </xdr:spPr>
    </xdr:pic>
    <xdr:clientData/>
  </xdr:twoCellAnchor>
  <xdr:twoCellAnchor editAs="oneCell">
    <xdr:from>
      <xdr:col>3</xdr:col>
      <xdr:colOff>584082</xdr:colOff>
      <xdr:row>175</xdr:row>
      <xdr:rowOff>62901</xdr:rowOff>
    </xdr:from>
    <xdr:to>
      <xdr:col>4</xdr:col>
      <xdr:colOff>404365</xdr:colOff>
      <xdr:row>179</xdr:row>
      <xdr:rowOff>182714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337" y="34793208"/>
          <a:ext cx="835684" cy="874624"/>
        </a:xfrm>
        <a:prstGeom prst="rect">
          <a:avLst/>
        </a:prstGeom>
      </xdr:spPr>
    </xdr:pic>
    <xdr:clientData/>
  </xdr:twoCellAnchor>
  <xdr:twoCellAnchor editAs="oneCell">
    <xdr:from>
      <xdr:col>3</xdr:col>
      <xdr:colOff>611039</xdr:colOff>
      <xdr:row>234</xdr:row>
      <xdr:rowOff>116815</xdr:rowOff>
    </xdr:from>
    <xdr:to>
      <xdr:col>4</xdr:col>
      <xdr:colOff>395378</xdr:colOff>
      <xdr:row>239</xdr:row>
      <xdr:rowOff>10307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294" y="46384952"/>
          <a:ext cx="799740" cy="837006"/>
        </a:xfrm>
        <a:prstGeom prst="rect">
          <a:avLst/>
        </a:prstGeom>
      </xdr:spPr>
    </xdr:pic>
    <xdr:clientData/>
  </xdr:twoCellAnchor>
  <xdr:twoCellAnchor editAs="oneCell">
    <xdr:from>
      <xdr:col>3</xdr:col>
      <xdr:colOff>673940</xdr:colOff>
      <xdr:row>295</xdr:row>
      <xdr:rowOff>35942</xdr:rowOff>
    </xdr:from>
    <xdr:to>
      <xdr:col>4</xdr:col>
      <xdr:colOff>476251</xdr:colOff>
      <xdr:row>299</xdr:row>
      <xdr:rowOff>56073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195" y="57886838"/>
          <a:ext cx="817712" cy="855815"/>
        </a:xfrm>
        <a:prstGeom prst="rect">
          <a:avLst/>
        </a:prstGeom>
      </xdr:spPr>
    </xdr:pic>
    <xdr:clientData/>
  </xdr:twoCellAnchor>
  <xdr:twoCellAnchor editAs="oneCell">
    <xdr:from>
      <xdr:col>3</xdr:col>
      <xdr:colOff>611038</xdr:colOff>
      <xdr:row>353</xdr:row>
      <xdr:rowOff>62901</xdr:rowOff>
    </xdr:from>
    <xdr:to>
      <xdr:col>4</xdr:col>
      <xdr:colOff>477688</xdr:colOff>
      <xdr:row>357</xdr:row>
      <xdr:rowOff>231242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293" y="69505543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620025</xdr:colOff>
      <xdr:row>410</xdr:row>
      <xdr:rowOff>62901</xdr:rowOff>
    </xdr:from>
    <xdr:to>
      <xdr:col>4</xdr:col>
      <xdr:colOff>467265</xdr:colOff>
      <xdr:row>414</xdr:row>
      <xdr:rowOff>174985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8280" y="81160189"/>
          <a:ext cx="862641" cy="902838"/>
        </a:xfrm>
        <a:prstGeom prst="rect">
          <a:avLst/>
        </a:prstGeom>
      </xdr:spPr>
    </xdr:pic>
    <xdr:clientData/>
  </xdr:twoCellAnchor>
  <xdr:twoCellAnchor editAs="oneCell">
    <xdr:from>
      <xdr:col>3</xdr:col>
      <xdr:colOff>673938</xdr:colOff>
      <xdr:row>468</xdr:row>
      <xdr:rowOff>116817</xdr:rowOff>
    </xdr:from>
    <xdr:to>
      <xdr:col>4</xdr:col>
      <xdr:colOff>540588</xdr:colOff>
      <xdr:row>473</xdr:row>
      <xdr:rowOff>42540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193" y="92823822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404363</xdr:colOff>
      <xdr:row>528</xdr:row>
      <xdr:rowOff>0</xdr:rowOff>
    </xdr:from>
    <xdr:to>
      <xdr:col>4</xdr:col>
      <xdr:colOff>271013</xdr:colOff>
      <xdr:row>532</xdr:row>
      <xdr:rowOff>105440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618" y="104613255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575093</xdr:colOff>
      <xdr:row>585</xdr:row>
      <xdr:rowOff>44930</xdr:rowOff>
    </xdr:from>
    <xdr:to>
      <xdr:col>4</xdr:col>
      <xdr:colOff>409683</xdr:colOff>
      <xdr:row>589</xdr:row>
      <xdr:rowOff>179717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348" y="116097171"/>
          <a:ext cx="849991" cy="889598"/>
        </a:xfrm>
        <a:prstGeom prst="rect">
          <a:avLst/>
        </a:prstGeom>
      </xdr:spPr>
    </xdr:pic>
    <xdr:clientData/>
  </xdr:twoCellAnchor>
  <xdr:twoCellAnchor editAs="oneCell">
    <xdr:from>
      <xdr:col>3</xdr:col>
      <xdr:colOff>664952</xdr:colOff>
      <xdr:row>645</xdr:row>
      <xdr:rowOff>116816</xdr:rowOff>
    </xdr:from>
    <xdr:to>
      <xdr:col>4</xdr:col>
      <xdr:colOff>531602</xdr:colOff>
      <xdr:row>649</xdr:row>
      <xdr:rowOff>285157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3207" y="127760802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637995</xdr:colOff>
      <xdr:row>703</xdr:row>
      <xdr:rowOff>44929</xdr:rowOff>
    </xdr:from>
    <xdr:to>
      <xdr:col>4</xdr:col>
      <xdr:colOff>504645</xdr:colOff>
      <xdr:row>707</xdr:row>
      <xdr:rowOff>105440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39361533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655967</xdr:colOff>
      <xdr:row>763</xdr:row>
      <xdr:rowOff>125802</xdr:rowOff>
    </xdr:from>
    <xdr:to>
      <xdr:col>4</xdr:col>
      <xdr:colOff>522617</xdr:colOff>
      <xdr:row>768</xdr:row>
      <xdr:rowOff>195298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4222" y="151106038"/>
          <a:ext cx="882051" cy="923152"/>
        </a:xfrm>
        <a:prstGeom prst="rect">
          <a:avLst/>
        </a:prstGeom>
      </xdr:spPr>
    </xdr:pic>
    <xdr:clientData/>
  </xdr:twoCellAnchor>
  <xdr:twoCellAnchor editAs="oneCell">
    <xdr:from>
      <xdr:col>3</xdr:col>
      <xdr:colOff>799741</xdr:colOff>
      <xdr:row>823</xdr:row>
      <xdr:rowOff>44929</xdr:rowOff>
    </xdr:from>
    <xdr:to>
      <xdr:col>4</xdr:col>
      <xdr:colOff>634332</xdr:colOff>
      <xdr:row>827</xdr:row>
      <xdr:rowOff>179717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7996" y="162634882"/>
          <a:ext cx="849992" cy="889599"/>
        </a:xfrm>
        <a:prstGeom prst="rect">
          <a:avLst/>
        </a:prstGeom>
      </xdr:spPr>
    </xdr:pic>
    <xdr:clientData/>
  </xdr:twoCellAnchor>
  <xdr:twoCellAnchor editAs="oneCell">
    <xdr:from>
      <xdr:col>3</xdr:col>
      <xdr:colOff>745826</xdr:colOff>
      <xdr:row>880</xdr:row>
      <xdr:rowOff>35944</xdr:rowOff>
    </xdr:from>
    <xdr:to>
      <xdr:col>4</xdr:col>
      <xdr:colOff>548137</xdr:colOff>
      <xdr:row>883</xdr:row>
      <xdr:rowOff>38103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081" y="174352430"/>
          <a:ext cx="817712" cy="855815"/>
        </a:xfrm>
        <a:prstGeom prst="rect">
          <a:avLst/>
        </a:prstGeom>
      </xdr:spPr>
    </xdr:pic>
    <xdr:clientData/>
  </xdr:twoCellAnchor>
  <xdr:twoCellAnchor editAs="oneCell">
    <xdr:from>
      <xdr:col>3</xdr:col>
      <xdr:colOff>620023</xdr:colOff>
      <xdr:row>936</xdr:row>
      <xdr:rowOff>26957</xdr:rowOff>
    </xdr:from>
    <xdr:to>
      <xdr:col>4</xdr:col>
      <xdr:colOff>486673</xdr:colOff>
      <xdr:row>940</xdr:row>
      <xdr:rowOff>195298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8278" y="186016061"/>
          <a:ext cx="882051" cy="9231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47625</xdr:rowOff>
    </xdr:from>
    <xdr:to>
      <xdr:col>6</xdr:col>
      <xdr:colOff>809625</xdr:colOff>
      <xdr:row>5</xdr:row>
      <xdr:rowOff>140844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57175"/>
          <a:ext cx="885825" cy="9314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8</xdr:col>
      <xdr:colOff>847725</xdr:colOff>
      <xdr:row>3</xdr:row>
      <xdr:rowOff>178944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0"/>
          <a:ext cx="885825" cy="9314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21167</xdr:colOff>
      <xdr:row>0</xdr:row>
      <xdr:rowOff>169333</xdr:rowOff>
    </xdr:from>
    <xdr:to>
      <xdr:col>12</xdr:col>
      <xdr:colOff>906992</xdr:colOff>
      <xdr:row>4</xdr:row>
      <xdr:rowOff>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8167" y="169333"/>
          <a:ext cx="885825" cy="9314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2</xdr:row>
      <xdr:rowOff>0</xdr:rowOff>
    </xdr:from>
    <xdr:to>
      <xdr:col>10</xdr:col>
      <xdr:colOff>628650</xdr:colOff>
      <xdr:row>6</xdr:row>
      <xdr:rowOff>102744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23850"/>
          <a:ext cx="885825" cy="9314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104775</xdr:rowOff>
    </xdr:from>
    <xdr:to>
      <xdr:col>8</xdr:col>
      <xdr:colOff>38100</xdr:colOff>
      <xdr:row>17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550920" y="3155823"/>
          <a:ext cx="2997708" cy="292608"/>
          <a:chOff x="5870" y="5089"/>
          <a:chExt cx="4900" cy="482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5870" y="5100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6373" y="5089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7026" y="5089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7519" y="5100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7899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8319" y="5100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8560" y="5089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9005" y="5089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9497" y="5100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9951" y="5100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10370" y="5100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0</xdr:colOff>
      <xdr:row>26</xdr:row>
      <xdr:rowOff>28575</xdr:rowOff>
    </xdr:from>
    <xdr:to>
      <xdr:col>8</xdr:col>
      <xdr:colOff>38100</xdr:colOff>
      <xdr:row>28</xdr:row>
      <xdr:rowOff>9525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3550920" y="4799457"/>
          <a:ext cx="2997708" cy="294132"/>
          <a:chOff x="5870" y="8041"/>
          <a:chExt cx="4900" cy="482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5870" y="8052"/>
            <a:ext cx="474" cy="464"/>
          </a:xfrm>
          <a:custGeom>
            <a:avLst/>
            <a:gdLst>
              <a:gd name="T0" fmla="*/ 1 w 838"/>
              <a:gd name="T1" fmla="*/ 0 h 820"/>
              <a:gd name="T2" fmla="*/ 1 w 838"/>
              <a:gd name="T3" fmla="*/ 0 h 820"/>
              <a:gd name="T4" fmla="*/ 1 w 838"/>
              <a:gd name="T5" fmla="*/ 1 h 820"/>
              <a:gd name="T6" fmla="*/ 1 w 838"/>
              <a:gd name="T7" fmla="*/ 1 h 820"/>
              <a:gd name="T8" fmla="*/ 1 w 838"/>
              <a:gd name="T9" fmla="*/ 1 h 820"/>
              <a:gd name="T10" fmla="*/ 1 w 838"/>
              <a:gd name="T11" fmla="*/ 1 h 820"/>
              <a:gd name="T12" fmla="*/ 1 w 838"/>
              <a:gd name="T13" fmla="*/ 1 h 820"/>
              <a:gd name="T14" fmla="*/ 1 w 838"/>
              <a:gd name="T15" fmla="*/ 1 h 820"/>
              <a:gd name="T16" fmla="*/ 1 w 838"/>
              <a:gd name="T17" fmla="*/ 1 h 820"/>
              <a:gd name="T18" fmla="*/ 1 w 838"/>
              <a:gd name="T19" fmla="*/ 1 h 820"/>
              <a:gd name="T20" fmla="*/ 1 w 838"/>
              <a:gd name="T21" fmla="*/ 1 h 820"/>
              <a:gd name="T22" fmla="*/ 1 w 838"/>
              <a:gd name="T23" fmla="*/ 1 h 820"/>
              <a:gd name="T24" fmla="*/ 1 w 838"/>
              <a:gd name="T25" fmla="*/ 1 h 820"/>
              <a:gd name="T26" fmla="*/ 1 w 838"/>
              <a:gd name="T27" fmla="*/ 1 h 820"/>
              <a:gd name="T28" fmla="*/ 1 w 838"/>
              <a:gd name="T29" fmla="*/ 1 h 820"/>
              <a:gd name="T30" fmla="*/ 1 w 838"/>
              <a:gd name="T31" fmla="*/ 1 h 820"/>
              <a:gd name="T32" fmla="*/ 1 w 838"/>
              <a:gd name="T33" fmla="*/ 1 h 820"/>
              <a:gd name="T34" fmla="*/ 1 w 838"/>
              <a:gd name="T35" fmla="*/ 1 h 820"/>
              <a:gd name="T36" fmla="*/ 1 w 838"/>
              <a:gd name="T37" fmla="*/ 1 h 820"/>
              <a:gd name="T38" fmla="*/ 1 w 838"/>
              <a:gd name="T39" fmla="*/ 0 h 820"/>
              <a:gd name="T40" fmla="*/ 1 w 838"/>
              <a:gd name="T41" fmla="*/ 0 h 820"/>
              <a:gd name="T42" fmla="*/ 1 w 838"/>
              <a:gd name="T43" fmla="*/ 1 h 820"/>
              <a:gd name="T44" fmla="*/ 1 w 838"/>
              <a:gd name="T45" fmla="*/ 1 h 820"/>
              <a:gd name="T46" fmla="*/ 1 w 838"/>
              <a:gd name="T47" fmla="*/ 1 h 820"/>
              <a:gd name="T48" fmla="*/ 1 w 838"/>
              <a:gd name="T49" fmla="*/ 1 h 820"/>
              <a:gd name="T50" fmla="*/ 1 w 838"/>
              <a:gd name="T51" fmla="*/ 1 h 820"/>
              <a:gd name="T52" fmla="*/ 1 w 838"/>
              <a:gd name="T53" fmla="*/ 1 h 820"/>
              <a:gd name="T54" fmla="*/ 1 w 838"/>
              <a:gd name="T55" fmla="*/ 1 h 820"/>
              <a:gd name="T56" fmla="*/ 1 w 838"/>
              <a:gd name="T57" fmla="*/ 1 h 820"/>
              <a:gd name="T58" fmla="*/ 1 w 838"/>
              <a:gd name="T59" fmla="*/ 1 h 820"/>
              <a:gd name="T60" fmla="*/ 1 w 838"/>
              <a:gd name="T61" fmla="*/ 1 h 820"/>
              <a:gd name="T62" fmla="*/ 1 w 838"/>
              <a:gd name="T63" fmla="*/ 1 h 820"/>
              <a:gd name="T64" fmla="*/ 1 w 838"/>
              <a:gd name="T65" fmla="*/ 1 h 820"/>
              <a:gd name="T66" fmla="*/ 1 w 838"/>
              <a:gd name="T67" fmla="*/ 1 h 820"/>
              <a:gd name="T68" fmla="*/ 1 w 838"/>
              <a:gd name="T69" fmla="*/ 1 h 820"/>
              <a:gd name="T70" fmla="*/ 1 w 838"/>
              <a:gd name="T71" fmla="*/ 1 h 820"/>
              <a:gd name="T72" fmla="*/ 1 w 838"/>
              <a:gd name="T73" fmla="*/ 1 h 820"/>
              <a:gd name="T74" fmla="*/ 1 w 838"/>
              <a:gd name="T75" fmla="*/ 1 h 820"/>
              <a:gd name="T76" fmla="*/ 1 w 838"/>
              <a:gd name="T77" fmla="*/ 1 h 820"/>
              <a:gd name="T78" fmla="*/ 1 w 838"/>
              <a:gd name="T79" fmla="*/ 1 h 820"/>
              <a:gd name="T80" fmla="*/ 1 w 838"/>
              <a:gd name="T81" fmla="*/ 1 h 820"/>
              <a:gd name="T82" fmla="*/ 1 w 838"/>
              <a:gd name="T83" fmla="*/ 1 h 820"/>
              <a:gd name="T84" fmla="*/ 1 w 838"/>
              <a:gd name="T85" fmla="*/ 1 h 820"/>
              <a:gd name="T86" fmla="*/ 1 w 838"/>
              <a:gd name="T87" fmla="*/ 1 h 820"/>
              <a:gd name="T88" fmla="*/ 1 w 838"/>
              <a:gd name="T89" fmla="*/ 1 h 820"/>
              <a:gd name="T90" fmla="*/ 1 w 838"/>
              <a:gd name="T91" fmla="*/ 1 h 820"/>
              <a:gd name="T92" fmla="*/ 1 w 838"/>
              <a:gd name="T93" fmla="*/ 1 h 820"/>
              <a:gd name="T94" fmla="*/ 1 w 838"/>
              <a:gd name="T95" fmla="*/ 1 h 820"/>
              <a:gd name="T96" fmla="*/ 1 w 838"/>
              <a:gd name="T97" fmla="*/ 1 h 820"/>
              <a:gd name="T98" fmla="*/ 0 w 838"/>
              <a:gd name="T99" fmla="*/ 1 h 820"/>
              <a:gd name="T100" fmla="*/ 0 w 838"/>
              <a:gd name="T101" fmla="*/ 1 h 820"/>
              <a:gd name="T102" fmla="*/ 1 w 838"/>
              <a:gd name="T103" fmla="*/ 1 h 820"/>
              <a:gd name="T104" fmla="*/ 1 w 838"/>
              <a:gd name="T105" fmla="*/ 1 h 820"/>
              <a:gd name="T106" fmla="*/ 1 w 838"/>
              <a:gd name="T107" fmla="*/ 1 h 820"/>
              <a:gd name="T108" fmla="*/ 1 w 838"/>
              <a:gd name="T109" fmla="*/ 1 h 820"/>
              <a:gd name="T110" fmla="*/ 1 w 838"/>
              <a:gd name="T111" fmla="*/ 1 h 820"/>
              <a:gd name="T112" fmla="*/ 1 w 838"/>
              <a:gd name="T113" fmla="*/ 1 h 820"/>
              <a:gd name="T114" fmla="*/ 1 w 838"/>
              <a:gd name="T115" fmla="*/ 1 h 820"/>
              <a:gd name="T116" fmla="*/ 1 w 838"/>
              <a:gd name="T117" fmla="*/ 1 h 820"/>
              <a:gd name="T118" fmla="*/ 1 w 838"/>
              <a:gd name="T119" fmla="*/ 1 h 820"/>
              <a:gd name="T120" fmla="*/ 0 w 838"/>
              <a:gd name="T121" fmla="*/ 1 h 820"/>
              <a:gd name="T122" fmla="*/ 0 w 838"/>
              <a:gd name="T123" fmla="*/ 1 h 820"/>
              <a:gd name="T124" fmla="*/ 1 w 838"/>
              <a:gd name="T125" fmla="*/ 0 h 82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8"/>
              <a:gd name="T190" fmla="*/ 0 h 820"/>
              <a:gd name="T191" fmla="*/ 838 w 838"/>
              <a:gd name="T192" fmla="*/ 820 h 820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8" h="820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6373" y="8041"/>
            <a:ext cx="454" cy="482"/>
          </a:xfrm>
          <a:custGeom>
            <a:avLst/>
            <a:gdLst>
              <a:gd name="T0" fmla="*/ 1 w 802"/>
              <a:gd name="T1" fmla="*/ 1 h 852"/>
              <a:gd name="T2" fmla="*/ 1 w 802"/>
              <a:gd name="T3" fmla="*/ 1 h 852"/>
              <a:gd name="T4" fmla="*/ 1 w 802"/>
              <a:gd name="T5" fmla="*/ 1 h 852"/>
              <a:gd name="T6" fmla="*/ 1 w 802"/>
              <a:gd name="T7" fmla="*/ 1 h 852"/>
              <a:gd name="T8" fmla="*/ 1 w 802"/>
              <a:gd name="T9" fmla="*/ 1 h 852"/>
              <a:gd name="T10" fmla="*/ 1 w 802"/>
              <a:gd name="T11" fmla="*/ 1 h 852"/>
              <a:gd name="T12" fmla="*/ 1 w 802"/>
              <a:gd name="T13" fmla="*/ 1 h 852"/>
              <a:gd name="T14" fmla="*/ 1 w 802"/>
              <a:gd name="T15" fmla="*/ 1 h 852"/>
              <a:gd name="T16" fmla="*/ 1 w 802"/>
              <a:gd name="T17" fmla="*/ 1 h 852"/>
              <a:gd name="T18" fmla="*/ 1 w 802"/>
              <a:gd name="T19" fmla="*/ 1 h 852"/>
              <a:gd name="T20" fmla="*/ 1 w 802"/>
              <a:gd name="T21" fmla="*/ 1 h 852"/>
              <a:gd name="T22" fmla="*/ 1 w 802"/>
              <a:gd name="T23" fmla="*/ 1 h 852"/>
              <a:gd name="T24" fmla="*/ 1 w 802"/>
              <a:gd name="T25" fmla="*/ 1 h 852"/>
              <a:gd name="T26" fmla="*/ 1 w 802"/>
              <a:gd name="T27" fmla="*/ 1 h 852"/>
              <a:gd name="T28" fmla="*/ 1 w 802"/>
              <a:gd name="T29" fmla="*/ 1 h 852"/>
              <a:gd name="T30" fmla="*/ 1 w 802"/>
              <a:gd name="T31" fmla="*/ 1 h 852"/>
              <a:gd name="T32" fmla="*/ 1 w 802"/>
              <a:gd name="T33" fmla="*/ 0 h 852"/>
              <a:gd name="T34" fmla="*/ 1 w 802"/>
              <a:gd name="T35" fmla="*/ 1 h 852"/>
              <a:gd name="T36" fmla="*/ 1 w 802"/>
              <a:gd name="T37" fmla="*/ 1 h 852"/>
              <a:gd name="T38" fmla="*/ 1 w 802"/>
              <a:gd name="T39" fmla="*/ 1 h 852"/>
              <a:gd name="T40" fmla="*/ 1 w 802"/>
              <a:gd name="T41" fmla="*/ 1 h 852"/>
              <a:gd name="T42" fmla="*/ 1 w 802"/>
              <a:gd name="T43" fmla="*/ 1 h 852"/>
              <a:gd name="T44" fmla="*/ 1 w 802"/>
              <a:gd name="T45" fmla="*/ 1 h 852"/>
              <a:gd name="T46" fmla="*/ 1 w 802"/>
              <a:gd name="T47" fmla="*/ 1 h 852"/>
              <a:gd name="T48" fmla="*/ 1 w 802"/>
              <a:gd name="T49" fmla="*/ 1 h 852"/>
              <a:gd name="T50" fmla="*/ 1 w 802"/>
              <a:gd name="T51" fmla="*/ 1 h 852"/>
              <a:gd name="T52" fmla="*/ 1 w 802"/>
              <a:gd name="T53" fmla="*/ 1 h 852"/>
              <a:gd name="T54" fmla="*/ 1 w 802"/>
              <a:gd name="T55" fmla="*/ 1 h 852"/>
              <a:gd name="T56" fmla="*/ 0 w 802"/>
              <a:gd name="T57" fmla="*/ 1 h 852"/>
              <a:gd name="T58" fmla="*/ 1 w 802"/>
              <a:gd name="T59" fmla="*/ 1 h 852"/>
              <a:gd name="T60" fmla="*/ 1 w 802"/>
              <a:gd name="T61" fmla="*/ 1 h 852"/>
              <a:gd name="T62" fmla="*/ 1 w 802"/>
              <a:gd name="T63" fmla="*/ 1 h 852"/>
              <a:gd name="T64" fmla="*/ 1 w 802"/>
              <a:gd name="T65" fmla="*/ 0 h 85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2"/>
              <a:gd name="T100" fmla="*/ 0 h 852"/>
              <a:gd name="T101" fmla="*/ 802 w 802"/>
              <a:gd name="T102" fmla="*/ 852 h 85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2" h="85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58" y="0"/>
                </a:move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7026" y="8041"/>
            <a:ext cx="476" cy="470"/>
          </a:xfrm>
          <a:custGeom>
            <a:avLst/>
            <a:gdLst>
              <a:gd name="T0" fmla="*/ 1 w 842"/>
              <a:gd name="T1" fmla="*/ 1 h 830"/>
              <a:gd name="T2" fmla="*/ 1 w 842"/>
              <a:gd name="T3" fmla="*/ 1 h 830"/>
              <a:gd name="T4" fmla="*/ 1 w 842"/>
              <a:gd name="T5" fmla="*/ 1 h 830"/>
              <a:gd name="T6" fmla="*/ 1 w 842"/>
              <a:gd name="T7" fmla="*/ 1 h 830"/>
              <a:gd name="T8" fmla="*/ 1 w 842"/>
              <a:gd name="T9" fmla="*/ 1 h 830"/>
              <a:gd name="T10" fmla="*/ 1 w 842"/>
              <a:gd name="T11" fmla="*/ 1 h 830"/>
              <a:gd name="T12" fmla="*/ 1 w 842"/>
              <a:gd name="T13" fmla="*/ 1 h 830"/>
              <a:gd name="T14" fmla="*/ 1 w 842"/>
              <a:gd name="T15" fmla="*/ 1 h 830"/>
              <a:gd name="T16" fmla="*/ 1 w 842"/>
              <a:gd name="T17" fmla="*/ 0 h 830"/>
              <a:gd name="T18" fmla="*/ 1 w 842"/>
              <a:gd name="T19" fmla="*/ 0 h 830"/>
              <a:gd name="T20" fmla="*/ 1 w 842"/>
              <a:gd name="T21" fmla="*/ 1 h 830"/>
              <a:gd name="T22" fmla="*/ 1 w 842"/>
              <a:gd name="T23" fmla="*/ 1 h 830"/>
              <a:gd name="T24" fmla="*/ 1 w 842"/>
              <a:gd name="T25" fmla="*/ 1 h 830"/>
              <a:gd name="T26" fmla="*/ 1 w 842"/>
              <a:gd name="T27" fmla="*/ 1 h 830"/>
              <a:gd name="T28" fmla="*/ 1 w 842"/>
              <a:gd name="T29" fmla="*/ 1 h 830"/>
              <a:gd name="T30" fmla="*/ 1 w 842"/>
              <a:gd name="T31" fmla="*/ 1 h 830"/>
              <a:gd name="T32" fmla="*/ 1 w 842"/>
              <a:gd name="T33" fmla="*/ 1 h 830"/>
              <a:gd name="T34" fmla="*/ 1 w 842"/>
              <a:gd name="T35" fmla="*/ 1 h 830"/>
              <a:gd name="T36" fmla="*/ 1 w 842"/>
              <a:gd name="T37" fmla="*/ 1 h 830"/>
              <a:gd name="T38" fmla="*/ 1 w 842"/>
              <a:gd name="T39" fmla="*/ 1 h 830"/>
              <a:gd name="T40" fmla="*/ 1 w 842"/>
              <a:gd name="T41" fmla="*/ 1 h 830"/>
              <a:gd name="T42" fmla="*/ 1 w 842"/>
              <a:gd name="T43" fmla="*/ 1 h 830"/>
              <a:gd name="T44" fmla="*/ 1 w 842"/>
              <a:gd name="T45" fmla="*/ 1 h 830"/>
              <a:gd name="T46" fmla="*/ 1 w 842"/>
              <a:gd name="T47" fmla="*/ 1 h 830"/>
              <a:gd name="T48" fmla="*/ 1 w 842"/>
              <a:gd name="T49" fmla="*/ 1 h 830"/>
              <a:gd name="T50" fmla="*/ 1 w 842"/>
              <a:gd name="T51" fmla="*/ 1 h 830"/>
              <a:gd name="T52" fmla="*/ 1 w 842"/>
              <a:gd name="T53" fmla="*/ 1 h 830"/>
              <a:gd name="T54" fmla="*/ 1 w 842"/>
              <a:gd name="T55" fmla="*/ 1 h 830"/>
              <a:gd name="T56" fmla="*/ 1 w 842"/>
              <a:gd name="T57" fmla="*/ 1 h 830"/>
              <a:gd name="T58" fmla="*/ 1 w 842"/>
              <a:gd name="T59" fmla="*/ 1 h 830"/>
              <a:gd name="T60" fmla="*/ 1 w 842"/>
              <a:gd name="T61" fmla="*/ 1 h 830"/>
              <a:gd name="T62" fmla="*/ 1 w 842"/>
              <a:gd name="T63" fmla="*/ 1 h 830"/>
              <a:gd name="T64" fmla="*/ 1 w 842"/>
              <a:gd name="T65" fmla="*/ 1 h 830"/>
              <a:gd name="T66" fmla="*/ 1 w 842"/>
              <a:gd name="T67" fmla="*/ 1 h 830"/>
              <a:gd name="T68" fmla="*/ 1 w 842"/>
              <a:gd name="T69" fmla="*/ 1 h 830"/>
              <a:gd name="T70" fmla="*/ 1 w 842"/>
              <a:gd name="T71" fmla="*/ 1 h 830"/>
              <a:gd name="T72" fmla="*/ 1 w 842"/>
              <a:gd name="T73" fmla="*/ 1 h 830"/>
              <a:gd name="T74" fmla="*/ 1 w 842"/>
              <a:gd name="T75" fmla="*/ 1 h 830"/>
              <a:gd name="T76" fmla="*/ 1 w 842"/>
              <a:gd name="T77" fmla="*/ 1 h 830"/>
              <a:gd name="T78" fmla="*/ 0 w 842"/>
              <a:gd name="T79" fmla="*/ 1 h 830"/>
              <a:gd name="T80" fmla="*/ 0 w 842"/>
              <a:gd name="T81" fmla="*/ 1 h 830"/>
              <a:gd name="T82" fmla="*/ 1 w 842"/>
              <a:gd name="T83" fmla="*/ 1 h 830"/>
              <a:gd name="T84" fmla="*/ 1 w 842"/>
              <a:gd name="T85" fmla="*/ 1 h 830"/>
              <a:gd name="T86" fmla="*/ 1 w 842"/>
              <a:gd name="T87" fmla="*/ 1 h 830"/>
              <a:gd name="T88" fmla="*/ 1 w 842"/>
              <a:gd name="T89" fmla="*/ 1 h 830"/>
              <a:gd name="T90" fmla="*/ 1 w 842"/>
              <a:gd name="T91" fmla="*/ 1 h 830"/>
              <a:gd name="T92" fmla="*/ 1 w 842"/>
              <a:gd name="T93" fmla="*/ 0 h 830"/>
              <a:gd name="T94" fmla="*/ 1 w 842"/>
              <a:gd name="T95" fmla="*/ 0 h 830"/>
              <a:gd name="T96" fmla="*/ 1 w 842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2"/>
              <a:gd name="T148" fmla="*/ 0 h 830"/>
              <a:gd name="T149" fmla="*/ 842 w 842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2" h="830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405" y="0"/>
                </a:move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lnTo>
                  <a:pt x="40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7519" y="8052"/>
            <a:ext cx="363" cy="460"/>
          </a:xfrm>
          <a:custGeom>
            <a:avLst/>
            <a:gdLst>
              <a:gd name="T0" fmla="*/ 1 w 642"/>
              <a:gd name="T1" fmla="*/ 1 h 813"/>
              <a:gd name="T2" fmla="*/ 1 w 642"/>
              <a:gd name="T3" fmla="*/ 1 h 813"/>
              <a:gd name="T4" fmla="*/ 1 w 642"/>
              <a:gd name="T5" fmla="*/ 1 h 813"/>
              <a:gd name="T6" fmla="*/ 1 w 642"/>
              <a:gd name="T7" fmla="*/ 1 h 813"/>
              <a:gd name="T8" fmla="*/ 1 w 642"/>
              <a:gd name="T9" fmla="*/ 1 h 813"/>
              <a:gd name="T10" fmla="*/ 1 w 642"/>
              <a:gd name="T11" fmla="*/ 1 h 813"/>
              <a:gd name="T12" fmla="*/ 1 w 642"/>
              <a:gd name="T13" fmla="*/ 1 h 813"/>
              <a:gd name="T14" fmla="*/ 1 w 642"/>
              <a:gd name="T15" fmla="*/ 1 h 813"/>
              <a:gd name="T16" fmla="*/ 1 w 642"/>
              <a:gd name="T17" fmla="*/ 1 h 813"/>
              <a:gd name="T18" fmla="*/ 1 w 642"/>
              <a:gd name="T19" fmla="*/ 1 h 813"/>
              <a:gd name="T20" fmla="*/ 1 w 642"/>
              <a:gd name="T21" fmla="*/ 1 h 813"/>
              <a:gd name="T22" fmla="*/ 1 w 642"/>
              <a:gd name="T23" fmla="*/ 1 h 813"/>
              <a:gd name="T24" fmla="*/ 1 w 642"/>
              <a:gd name="T25" fmla="*/ 1 h 813"/>
              <a:gd name="T26" fmla="*/ 1 w 642"/>
              <a:gd name="T27" fmla="*/ 1 h 813"/>
              <a:gd name="T28" fmla="*/ 1 w 642"/>
              <a:gd name="T29" fmla="*/ 1 h 813"/>
              <a:gd name="T30" fmla="*/ 1 w 642"/>
              <a:gd name="T31" fmla="*/ 1 h 813"/>
              <a:gd name="T32" fmla="*/ 1 w 642"/>
              <a:gd name="T33" fmla="*/ 1 h 813"/>
              <a:gd name="T34" fmla="*/ 1 w 642"/>
              <a:gd name="T35" fmla="*/ 0 h 813"/>
              <a:gd name="T36" fmla="*/ 1 w 642"/>
              <a:gd name="T37" fmla="*/ 0 h 813"/>
              <a:gd name="T38" fmla="*/ 1 w 642"/>
              <a:gd name="T39" fmla="*/ 1 h 813"/>
              <a:gd name="T40" fmla="*/ 1 w 642"/>
              <a:gd name="T41" fmla="*/ 1 h 813"/>
              <a:gd name="T42" fmla="*/ 1 w 642"/>
              <a:gd name="T43" fmla="*/ 1 h 813"/>
              <a:gd name="T44" fmla="*/ 1 w 642"/>
              <a:gd name="T45" fmla="*/ 1 h 813"/>
              <a:gd name="T46" fmla="*/ 1 w 642"/>
              <a:gd name="T47" fmla="*/ 1 h 813"/>
              <a:gd name="T48" fmla="*/ 1 w 642"/>
              <a:gd name="T49" fmla="*/ 1 h 813"/>
              <a:gd name="T50" fmla="*/ 1 w 642"/>
              <a:gd name="T51" fmla="*/ 1 h 813"/>
              <a:gd name="T52" fmla="*/ 1 w 642"/>
              <a:gd name="T53" fmla="*/ 1 h 813"/>
              <a:gd name="T54" fmla="*/ 1 w 642"/>
              <a:gd name="T55" fmla="*/ 1 h 813"/>
              <a:gd name="T56" fmla="*/ 1 w 642"/>
              <a:gd name="T57" fmla="*/ 1 h 813"/>
              <a:gd name="T58" fmla="*/ 1 w 642"/>
              <a:gd name="T59" fmla="*/ 1 h 813"/>
              <a:gd name="T60" fmla="*/ 1 w 642"/>
              <a:gd name="T61" fmla="*/ 1 h 813"/>
              <a:gd name="T62" fmla="*/ 1 w 642"/>
              <a:gd name="T63" fmla="*/ 1 h 813"/>
              <a:gd name="T64" fmla="*/ 1 w 642"/>
              <a:gd name="T65" fmla="*/ 1 h 813"/>
              <a:gd name="T66" fmla="*/ 1 w 642"/>
              <a:gd name="T67" fmla="*/ 1 h 813"/>
              <a:gd name="T68" fmla="*/ 1 w 642"/>
              <a:gd name="T69" fmla="*/ 1 h 813"/>
              <a:gd name="T70" fmla="*/ 1 w 642"/>
              <a:gd name="T71" fmla="*/ 1 h 813"/>
              <a:gd name="T72" fmla="*/ 1 w 642"/>
              <a:gd name="T73" fmla="*/ 1 h 813"/>
              <a:gd name="T74" fmla="*/ 1 w 642"/>
              <a:gd name="T75" fmla="*/ 1 h 813"/>
              <a:gd name="T76" fmla="*/ 1 w 642"/>
              <a:gd name="T77" fmla="*/ 1 h 813"/>
              <a:gd name="T78" fmla="*/ 1 w 642"/>
              <a:gd name="T79" fmla="*/ 1 h 813"/>
              <a:gd name="T80" fmla="*/ 1 w 642"/>
              <a:gd name="T81" fmla="*/ 1 h 813"/>
              <a:gd name="T82" fmla="*/ 0 w 642"/>
              <a:gd name="T83" fmla="*/ 1 h 813"/>
              <a:gd name="T84" fmla="*/ 0 w 642"/>
              <a:gd name="T85" fmla="*/ 1 h 813"/>
              <a:gd name="T86" fmla="*/ 1 w 642"/>
              <a:gd name="T87" fmla="*/ 1 h 813"/>
              <a:gd name="T88" fmla="*/ 1 w 642"/>
              <a:gd name="T89" fmla="*/ 1 h 813"/>
              <a:gd name="T90" fmla="*/ 1 w 642"/>
              <a:gd name="T91" fmla="*/ 1 h 813"/>
              <a:gd name="T92" fmla="*/ 1 w 642"/>
              <a:gd name="T93" fmla="*/ 1 h 813"/>
              <a:gd name="T94" fmla="*/ 1 w 642"/>
              <a:gd name="T95" fmla="*/ 1 h 813"/>
              <a:gd name="T96" fmla="*/ 1 w 642"/>
              <a:gd name="T97" fmla="*/ 1 h 813"/>
              <a:gd name="T98" fmla="*/ 1 w 642"/>
              <a:gd name="T99" fmla="*/ 1 h 813"/>
              <a:gd name="T100" fmla="*/ 1 w 642"/>
              <a:gd name="T101" fmla="*/ 1 h 813"/>
              <a:gd name="T102" fmla="*/ 1 w 642"/>
              <a:gd name="T103" fmla="*/ 1 h 813"/>
              <a:gd name="T104" fmla="*/ 1 w 642"/>
              <a:gd name="T105" fmla="*/ 1 h 813"/>
              <a:gd name="T106" fmla="*/ 1 w 642"/>
              <a:gd name="T107" fmla="*/ 1 h 813"/>
              <a:gd name="T108" fmla="*/ 0 w 642"/>
              <a:gd name="T109" fmla="*/ 1 h 813"/>
              <a:gd name="T110" fmla="*/ 0 w 642"/>
              <a:gd name="T111" fmla="*/ 1 h 813"/>
              <a:gd name="T112" fmla="*/ 1 w 642"/>
              <a:gd name="T113" fmla="*/ 0 h 813"/>
              <a:gd name="T114" fmla="*/ 1 w 642"/>
              <a:gd name="T115" fmla="*/ 0 h 813"/>
              <a:gd name="T116" fmla="*/ 1 w 642"/>
              <a:gd name="T117" fmla="*/ 0 h 81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2"/>
              <a:gd name="T178" fmla="*/ 0 h 813"/>
              <a:gd name="T179" fmla="*/ 642 w 642"/>
              <a:gd name="T180" fmla="*/ 813 h 81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2" h="813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7" y="0"/>
                </a:move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7899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8319" y="8052"/>
            <a:ext cx="206" cy="460"/>
          </a:xfrm>
          <a:custGeom>
            <a:avLst/>
            <a:gdLst>
              <a:gd name="T0" fmla="*/ 1 w 365"/>
              <a:gd name="T1" fmla="*/ 0 h 813"/>
              <a:gd name="T2" fmla="*/ 1 w 365"/>
              <a:gd name="T3" fmla="*/ 0 h 813"/>
              <a:gd name="T4" fmla="*/ 1 w 365"/>
              <a:gd name="T5" fmla="*/ 1 h 813"/>
              <a:gd name="T6" fmla="*/ 1 w 365"/>
              <a:gd name="T7" fmla="*/ 1 h 813"/>
              <a:gd name="T8" fmla="*/ 1 w 365"/>
              <a:gd name="T9" fmla="*/ 1 h 813"/>
              <a:gd name="T10" fmla="*/ 1 w 365"/>
              <a:gd name="T11" fmla="*/ 1 h 813"/>
              <a:gd name="T12" fmla="*/ 1 w 365"/>
              <a:gd name="T13" fmla="*/ 1 h 813"/>
              <a:gd name="T14" fmla="*/ 1 w 365"/>
              <a:gd name="T15" fmla="*/ 1 h 813"/>
              <a:gd name="T16" fmla="*/ 1 w 365"/>
              <a:gd name="T17" fmla="*/ 1 h 813"/>
              <a:gd name="T18" fmla="*/ 1 w 365"/>
              <a:gd name="T19" fmla="*/ 1 h 813"/>
              <a:gd name="T20" fmla="*/ 1 w 365"/>
              <a:gd name="T21" fmla="*/ 1 h 813"/>
              <a:gd name="T22" fmla="*/ 1 w 365"/>
              <a:gd name="T23" fmla="*/ 1 h 813"/>
              <a:gd name="T24" fmla="*/ 1 w 365"/>
              <a:gd name="T25" fmla="*/ 1 h 813"/>
              <a:gd name="T26" fmla="*/ 1 w 365"/>
              <a:gd name="T27" fmla="*/ 1 h 813"/>
              <a:gd name="T28" fmla="*/ 1 w 365"/>
              <a:gd name="T29" fmla="*/ 1 h 813"/>
              <a:gd name="T30" fmla="*/ 1 w 365"/>
              <a:gd name="T31" fmla="*/ 1 h 813"/>
              <a:gd name="T32" fmla="*/ 1 w 365"/>
              <a:gd name="T33" fmla="*/ 1 h 813"/>
              <a:gd name="T34" fmla="*/ 1 w 365"/>
              <a:gd name="T35" fmla="*/ 1 h 813"/>
              <a:gd name="T36" fmla="*/ 0 w 365"/>
              <a:gd name="T37" fmla="*/ 1 h 813"/>
              <a:gd name="T38" fmla="*/ 0 w 365"/>
              <a:gd name="T39" fmla="*/ 1 h 813"/>
              <a:gd name="T40" fmla="*/ 1 w 365"/>
              <a:gd name="T41" fmla="*/ 1 h 813"/>
              <a:gd name="T42" fmla="*/ 1 w 365"/>
              <a:gd name="T43" fmla="*/ 1 h 813"/>
              <a:gd name="T44" fmla="*/ 1 w 365"/>
              <a:gd name="T45" fmla="*/ 1 h 813"/>
              <a:gd name="T46" fmla="*/ 1 w 365"/>
              <a:gd name="T47" fmla="*/ 1 h 813"/>
              <a:gd name="T48" fmla="*/ 1 w 365"/>
              <a:gd name="T49" fmla="*/ 1 h 813"/>
              <a:gd name="T50" fmla="*/ 1 w 365"/>
              <a:gd name="T51" fmla="*/ 1 h 813"/>
              <a:gd name="T52" fmla="*/ 1 w 365"/>
              <a:gd name="T53" fmla="*/ 1 h 813"/>
              <a:gd name="T54" fmla="*/ 1 w 365"/>
              <a:gd name="T55" fmla="*/ 1 h 813"/>
              <a:gd name="T56" fmla="*/ 1 w 365"/>
              <a:gd name="T57" fmla="*/ 1 h 813"/>
              <a:gd name="T58" fmla="*/ 1 w 365"/>
              <a:gd name="T59" fmla="*/ 1 h 813"/>
              <a:gd name="T60" fmla="*/ 0 w 365"/>
              <a:gd name="T61" fmla="*/ 1 h 813"/>
              <a:gd name="T62" fmla="*/ 0 w 365"/>
              <a:gd name="T63" fmla="*/ 1 h 813"/>
              <a:gd name="T64" fmla="*/ 1 w 365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3"/>
              <a:gd name="T101" fmla="*/ 365 w 365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3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8560" y="8041"/>
            <a:ext cx="417" cy="482"/>
          </a:xfrm>
          <a:custGeom>
            <a:avLst/>
            <a:gdLst>
              <a:gd name="T0" fmla="*/ 1 w 737"/>
              <a:gd name="T1" fmla="*/ 0 h 852"/>
              <a:gd name="T2" fmla="*/ 1 w 737"/>
              <a:gd name="T3" fmla="*/ 0 h 852"/>
              <a:gd name="T4" fmla="*/ 1 w 737"/>
              <a:gd name="T5" fmla="*/ 1 h 852"/>
              <a:gd name="T6" fmla="*/ 1 w 737"/>
              <a:gd name="T7" fmla="*/ 1 h 852"/>
              <a:gd name="T8" fmla="*/ 1 w 737"/>
              <a:gd name="T9" fmla="*/ 1 h 852"/>
              <a:gd name="T10" fmla="*/ 1 w 737"/>
              <a:gd name="T11" fmla="*/ 1 h 852"/>
              <a:gd name="T12" fmla="*/ 1 w 737"/>
              <a:gd name="T13" fmla="*/ 0 h 852"/>
              <a:gd name="T14" fmla="*/ 1 w 737"/>
              <a:gd name="T15" fmla="*/ 0 h 852"/>
              <a:gd name="T16" fmla="*/ 1 w 737"/>
              <a:gd name="T17" fmla="*/ 1 h 852"/>
              <a:gd name="T18" fmla="*/ 1 w 737"/>
              <a:gd name="T19" fmla="*/ 1 h 852"/>
              <a:gd name="T20" fmla="*/ 1 w 737"/>
              <a:gd name="T21" fmla="*/ 1 h 852"/>
              <a:gd name="T22" fmla="*/ 1 w 737"/>
              <a:gd name="T23" fmla="*/ 1 h 852"/>
              <a:gd name="T24" fmla="*/ 1 w 737"/>
              <a:gd name="T25" fmla="*/ 1 h 852"/>
              <a:gd name="T26" fmla="*/ 1 w 737"/>
              <a:gd name="T27" fmla="*/ 1 h 852"/>
              <a:gd name="T28" fmla="*/ 1 w 737"/>
              <a:gd name="T29" fmla="*/ 1 h 852"/>
              <a:gd name="T30" fmla="*/ 1 w 737"/>
              <a:gd name="T31" fmla="*/ 1 h 852"/>
              <a:gd name="T32" fmla="*/ 1 w 737"/>
              <a:gd name="T33" fmla="*/ 1 h 852"/>
              <a:gd name="T34" fmla="*/ 1 w 737"/>
              <a:gd name="T35" fmla="*/ 1 h 852"/>
              <a:gd name="T36" fmla="*/ 1 w 737"/>
              <a:gd name="T37" fmla="*/ 1 h 852"/>
              <a:gd name="T38" fmla="*/ 1 w 737"/>
              <a:gd name="T39" fmla="*/ 1 h 852"/>
              <a:gd name="T40" fmla="*/ 1 w 737"/>
              <a:gd name="T41" fmla="*/ 1 h 852"/>
              <a:gd name="T42" fmla="*/ 1 w 737"/>
              <a:gd name="T43" fmla="*/ 1 h 852"/>
              <a:gd name="T44" fmla="*/ 1 w 737"/>
              <a:gd name="T45" fmla="*/ 1 h 852"/>
              <a:gd name="T46" fmla="*/ 1 w 737"/>
              <a:gd name="T47" fmla="*/ 1 h 852"/>
              <a:gd name="T48" fmla="*/ 1 w 737"/>
              <a:gd name="T49" fmla="*/ 1 h 852"/>
              <a:gd name="T50" fmla="*/ 1 w 737"/>
              <a:gd name="T51" fmla="*/ 1 h 852"/>
              <a:gd name="T52" fmla="*/ 1 w 737"/>
              <a:gd name="T53" fmla="*/ 1 h 852"/>
              <a:gd name="T54" fmla="*/ 1 w 737"/>
              <a:gd name="T55" fmla="*/ 1 h 852"/>
              <a:gd name="T56" fmla="*/ 1 w 737"/>
              <a:gd name="T57" fmla="*/ 1 h 852"/>
              <a:gd name="T58" fmla="*/ 1 w 737"/>
              <a:gd name="T59" fmla="*/ 1 h 852"/>
              <a:gd name="T60" fmla="*/ 1 w 737"/>
              <a:gd name="T61" fmla="*/ 1 h 852"/>
              <a:gd name="T62" fmla="*/ 1 w 737"/>
              <a:gd name="T63" fmla="*/ 1 h 852"/>
              <a:gd name="T64" fmla="*/ 1 w 737"/>
              <a:gd name="T65" fmla="*/ 1 h 852"/>
              <a:gd name="T66" fmla="*/ 1 w 737"/>
              <a:gd name="T67" fmla="*/ 1 h 852"/>
              <a:gd name="T68" fmla="*/ 1 w 737"/>
              <a:gd name="T69" fmla="*/ 1 h 852"/>
              <a:gd name="T70" fmla="*/ 1 w 737"/>
              <a:gd name="T71" fmla="*/ 1 h 852"/>
              <a:gd name="T72" fmla="*/ 1 w 737"/>
              <a:gd name="T73" fmla="*/ 1 h 852"/>
              <a:gd name="T74" fmla="*/ 1 w 737"/>
              <a:gd name="T75" fmla="*/ 1 h 852"/>
              <a:gd name="T76" fmla="*/ 1 w 737"/>
              <a:gd name="T77" fmla="*/ 1 h 852"/>
              <a:gd name="T78" fmla="*/ 1 w 737"/>
              <a:gd name="T79" fmla="*/ 1 h 852"/>
              <a:gd name="T80" fmla="*/ 1 w 737"/>
              <a:gd name="T81" fmla="*/ 1 h 852"/>
              <a:gd name="T82" fmla="*/ 1 w 737"/>
              <a:gd name="T83" fmla="*/ 1 h 852"/>
              <a:gd name="T84" fmla="*/ 1 w 737"/>
              <a:gd name="T85" fmla="*/ 1 h 852"/>
              <a:gd name="T86" fmla="*/ 1 w 737"/>
              <a:gd name="T87" fmla="*/ 1 h 852"/>
              <a:gd name="T88" fmla="*/ 1 w 737"/>
              <a:gd name="T89" fmla="*/ 1 h 852"/>
              <a:gd name="T90" fmla="*/ 1 w 737"/>
              <a:gd name="T91" fmla="*/ 1 h 852"/>
              <a:gd name="T92" fmla="*/ 1 w 737"/>
              <a:gd name="T93" fmla="*/ 1 h 852"/>
              <a:gd name="T94" fmla="*/ 1 w 737"/>
              <a:gd name="T95" fmla="*/ 1 h 852"/>
              <a:gd name="T96" fmla="*/ 1 w 737"/>
              <a:gd name="T97" fmla="*/ 1 h 852"/>
              <a:gd name="T98" fmla="*/ 1 w 737"/>
              <a:gd name="T99" fmla="*/ 1 h 852"/>
              <a:gd name="T100" fmla="*/ 1 w 737"/>
              <a:gd name="T101" fmla="*/ 1 h 852"/>
              <a:gd name="T102" fmla="*/ 1 w 737"/>
              <a:gd name="T103" fmla="*/ 1 h 852"/>
              <a:gd name="T104" fmla="*/ 1 w 737"/>
              <a:gd name="T105" fmla="*/ 1 h 852"/>
              <a:gd name="T106" fmla="*/ 1 w 737"/>
              <a:gd name="T107" fmla="*/ 1 h 852"/>
              <a:gd name="T108" fmla="*/ 0 w 737"/>
              <a:gd name="T109" fmla="*/ 1 h 852"/>
              <a:gd name="T110" fmla="*/ 0 w 737"/>
              <a:gd name="T111" fmla="*/ 1 h 852"/>
              <a:gd name="T112" fmla="*/ 1 w 737"/>
              <a:gd name="T113" fmla="*/ 1 h 852"/>
              <a:gd name="T114" fmla="*/ 1 w 737"/>
              <a:gd name="T115" fmla="*/ 1 h 852"/>
              <a:gd name="T116" fmla="*/ 1 w 737"/>
              <a:gd name="T117" fmla="*/ 1 h 852"/>
              <a:gd name="T118" fmla="*/ 1 w 737"/>
              <a:gd name="T119" fmla="*/ 1 h 852"/>
              <a:gd name="T120" fmla="*/ 1 w 737"/>
              <a:gd name="T121" fmla="*/ 1 h 852"/>
              <a:gd name="T122" fmla="*/ 1 w 737"/>
              <a:gd name="T123" fmla="*/ 1 h 852"/>
              <a:gd name="T124" fmla="*/ 1 w 737"/>
              <a:gd name="T125" fmla="*/ 0 h 85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7"/>
              <a:gd name="T190" fmla="*/ 0 h 852"/>
              <a:gd name="T191" fmla="*/ 737 w 737"/>
              <a:gd name="T192" fmla="*/ 852 h 85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7" h="852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9005" y="8041"/>
            <a:ext cx="474" cy="470"/>
          </a:xfrm>
          <a:custGeom>
            <a:avLst/>
            <a:gdLst>
              <a:gd name="T0" fmla="*/ 1 w 838"/>
              <a:gd name="T1" fmla="*/ 1 h 830"/>
              <a:gd name="T2" fmla="*/ 1 w 838"/>
              <a:gd name="T3" fmla="*/ 1 h 830"/>
              <a:gd name="T4" fmla="*/ 1 w 838"/>
              <a:gd name="T5" fmla="*/ 1 h 830"/>
              <a:gd name="T6" fmla="*/ 1 w 838"/>
              <a:gd name="T7" fmla="*/ 1 h 830"/>
              <a:gd name="T8" fmla="*/ 1 w 838"/>
              <a:gd name="T9" fmla="*/ 1 h 830"/>
              <a:gd name="T10" fmla="*/ 1 w 838"/>
              <a:gd name="T11" fmla="*/ 1 h 830"/>
              <a:gd name="T12" fmla="*/ 1 w 838"/>
              <a:gd name="T13" fmla="*/ 1 h 830"/>
              <a:gd name="T14" fmla="*/ 1 w 838"/>
              <a:gd name="T15" fmla="*/ 1 h 830"/>
              <a:gd name="T16" fmla="*/ 1 w 838"/>
              <a:gd name="T17" fmla="*/ 0 h 830"/>
              <a:gd name="T18" fmla="*/ 1 w 838"/>
              <a:gd name="T19" fmla="*/ 0 h 830"/>
              <a:gd name="T20" fmla="*/ 1 w 838"/>
              <a:gd name="T21" fmla="*/ 1 h 830"/>
              <a:gd name="T22" fmla="*/ 1 w 838"/>
              <a:gd name="T23" fmla="*/ 1 h 830"/>
              <a:gd name="T24" fmla="*/ 1 w 838"/>
              <a:gd name="T25" fmla="*/ 1 h 830"/>
              <a:gd name="T26" fmla="*/ 1 w 838"/>
              <a:gd name="T27" fmla="*/ 1 h 830"/>
              <a:gd name="T28" fmla="*/ 1 w 838"/>
              <a:gd name="T29" fmla="*/ 1 h 830"/>
              <a:gd name="T30" fmla="*/ 1 w 838"/>
              <a:gd name="T31" fmla="*/ 1 h 830"/>
              <a:gd name="T32" fmla="*/ 1 w 838"/>
              <a:gd name="T33" fmla="*/ 1 h 830"/>
              <a:gd name="T34" fmla="*/ 1 w 838"/>
              <a:gd name="T35" fmla="*/ 1 h 830"/>
              <a:gd name="T36" fmla="*/ 1 w 838"/>
              <a:gd name="T37" fmla="*/ 1 h 830"/>
              <a:gd name="T38" fmla="*/ 1 w 838"/>
              <a:gd name="T39" fmla="*/ 1 h 830"/>
              <a:gd name="T40" fmla="*/ 1 w 838"/>
              <a:gd name="T41" fmla="*/ 1 h 830"/>
              <a:gd name="T42" fmla="*/ 1 w 838"/>
              <a:gd name="T43" fmla="*/ 1 h 830"/>
              <a:gd name="T44" fmla="*/ 1 w 838"/>
              <a:gd name="T45" fmla="*/ 1 h 830"/>
              <a:gd name="T46" fmla="*/ 1 w 838"/>
              <a:gd name="T47" fmla="*/ 1 h 830"/>
              <a:gd name="T48" fmla="*/ 1 w 838"/>
              <a:gd name="T49" fmla="*/ 1 h 830"/>
              <a:gd name="T50" fmla="*/ 1 w 838"/>
              <a:gd name="T51" fmla="*/ 1 h 830"/>
              <a:gd name="T52" fmla="*/ 1 w 838"/>
              <a:gd name="T53" fmla="*/ 1 h 830"/>
              <a:gd name="T54" fmla="*/ 1 w 838"/>
              <a:gd name="T55" fmla="*/ 1 h 830"/>
              <a:gd name="T56" fmla="*/ 1 w 838"/>
              <a:gd name="T57" fmla="*/ 1 h 830"/>
              <a:gd name="T58" fmla="*/ 1 w 838"/>
              <a:gd name="T59" fmla="*/ 1 h 830"/>
              <a:gd name="T60" fmla="*/ 1 w 838"/>
              <a:gd name="T61" fmla="*/ 1 h 830"/>
              <a:gd name="T62" fmla="*/ 1 w 838"/>
              <a:gd name="T63" fmla="*/ 1 h 830"/>
              <a:gd name="T64" fmla="*/ 1 w 838"/>
              <a:gd name="T65" fmla="*/ 1 h 830"/>
              <a:gd name="T66" fmla="*/ 1 w 838"/>
              <a:gd name="T67" fmla="*/ 1 h 830"/>
              <a:gd name="T68" fmla="*/ 1 w 838"/>
              <a:gd name="T69" fmla="*/ 1 h 830"/>
              <a:gd name="T70" fmla="*/ 1 w 838"/>
              <a:gd name="T71" fmla="*/ 1 h 830"/>
              <a:gd name="T72" fmla="*/ 1 w 838"/>
              <a:gd name="T73" fmla="*/ 1 h 830"/>
              <a:gd name="T74" fmla="*/ 1 w 838"/>
              <a:gd name="T75" fmla="*/ 1 h 830"/>
              <a:gd name="T76" fmla="*/ 1 w 838"/>
              <a:gd name="T77" fmla="*/ 1 h 830"/>
              <a:gd name="T78" fmla="*/ 0 w 838"/>
              <a:gd name="T79" fmla="*/ 1 h 830"/>
              <a:gd name="T80" fmla="*/ 0 w 838"/>
              <a:gd name="T81" fmla="*/ 1 h 830"/>
              <a:gd name="T82" fmla="*/ 1 w 838"/>
              <a:gd name="T83" fmla="*/ 1 h 830"/>
              <a:gd name="T84" fmla="*/ 1 w 838"/>
              <a:gd name="T85" fmla="*/ 1 h 830"/>
              <a:gd name="T86" fmla="*/ 1 w 838"/>
              <a:gd name="T87" fmla="*/ 1 h 830"/>
              <a:gd name="T88" fmla="*/ 1 w 838"/>
              <a:gd name="T89" fmla="*/ 1 h 830"/>
              <a:gd name="T90" fmla="*/ 1 w 838"/>
              <a:gd name="T91" fmla="*/ 1 h 830"/>
              <a:gd name="T92" fmla="*/ 1 w 838"/>
              <a:gd name="T93" fmla="*/ 0 h 830"/>
              <a:gd name="T94" fmla="*/ 1 w 838"/>
              <a:gd name="T95" fmla="*/ 0 h 830"/>
              <a:gd name="T96" fmla="*/ 1 w 838"/>
              <a:gd name="T97" fmla="*/ 0 h 830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8"/>
              <a:gd name="T148" fmla="*/ 0 h 830"/>
              <a:gd name="T149" fmla="*/ 838 w 838"/>
              <a:gd name="T150" fmla="*/ 830 h 830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8" h="830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403" y="0"/>
                </a:move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9497" y="8052"/>
            <a:ext cx="399" cy="460"/>
          </a:xfrm>
          <a:custGeom>
            <a:avLst/>
            <a:gdLst>
              <a:gd name="T0" fmla="*/ 1 w 706"/>
              <a:gd name="T1" fmla="*/ 1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0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1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1 w 706"/>
              <a:gd name="T63" fmla="*/ 1 h 813"/>
              <a:gd name="T64" fmla="*/ 0 w 706"/>
              <a:gd name="T65" fmla="*/ 1 h 813"/>
              <a:gd name="T66" fmla="*/ 1 w 706"/>
              <a:gd name="T67" fmla="*/ 1 h 813"/>
              <a:gd name="T68" fmla="*/ 1 w 706"/>
              <a:gd name="T69" fmla="*/ 1 h 813"/>
              <a:gd name="T70" fmla="*/ 1 w 706"/>
              <a:gd name="T71" fmla="*/ 1 h 813"/>
              <a:gd name="T72" fmla="*/ 1 w 706"/>
              <a:gd name="T73" fmla="*/ 1 h 813"/>
              <a:gd name="T74" fmla="*/ 1 w 706"/>
              <a:gd name="T75" fmla="*/ 1 h 813"/>
              <a:gd name="T76" fmla="*/ 0 w 706"/>
              <a:gd name="T77" fmla="*/ 1 h 813"/>
              <a:gd name="T78" fmla="*/ 1 w 706"/>
              <a:gd name="T79" fmla="*/ 0 h 81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06"/>
              <a:gd name="T121" fmla="*/ 0 h 813"/>
              <a:gd name="T122" fmla="*/ 706 w 706"/>
              <a:gd name="T123" fmla="*/ 813 h 81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06" h="813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736"/>
                </a:move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lnTo>
                  <a:pt x="242" y="736"/>
                </a:lnTo>
                <a:close/>
                <a:moveTo>
                  <a:pt x="5" y="0"/>
                </a:move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lnTo>
                  <a:pt x="0" y="8"/>
                </a:lnTo>
                <a:lnTo>
                  <a:pt x="5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9951" y="8052"/>
            <a:ext cx="400" cy="460"/>
          </a:xfrm>
          <a:custGeom>
            <a:avLst/>
            <a:gdLst>
              <a:gd name="T0" fmla="*/ 1 w 708"/>
              <a:gd name="T1" fmla="*/ 0 h 813"/>
              <a:gd name="T2" fmla="*/ 1 w 708"/>
              <a:gd name="T3" fmla="*/ 0 h 813"/>
              <a:gd name="T4" fmla="*/ 1 w 708"/>
              <a:gd name="T5" fmla="*/ 1 h 813"/>
              <a:gd name="T6" fmla="*/ 1 w 708"/>
              <a:gd name="T7" fmla="*/ 1 h 813"/>
              <a:gd name="T8" fmla="*/ 1 w 708"/>
              <a:gd name="T9" fmla="*/ 1 h 813"/>
              <a:gd name="T10" fmla="*/ 1 w 708"/>
              <a:gd name="T11" fmla="*/ 1 h 813"/>
              <a:gd name="T12" fmla="*/ 1 w 708"/>
              <a:gd name="T13" fmla="*/ 1 h 813"/>
              <a:gd name="T14" fmla="*/ 1 w 708"/>
              <a:gd name="T15" fmla="*/ 1 h 813"/>
              <a:gd name="T16" fmla="*/ 1 w 708"/>
              <a:gd name="T17" fmla="*/ 1 h 813"/>
              <a:gd name="T18" fmla="*/ 1 w 708"/>
              <a:gd name="T19" fmla="*/ 1 h 813"/>
              <a:gd name="T20" fmla="*/ 1 w 708"/>
              <a:gd name="T21" fmla="*/ 1 h 813"/>
              <a:gd name="T22" fmla="*/ 1 w 708"/>
              <a:gd name="T23" fmla="*/ 1 h 813"/>
              <a:gd name="T24" fmla="*/ 1 w 708"/>
              <a:gd name="T25" fmla="*/ 1 h 813"/>
              <a:gd name="T26" fmla="*/ 1 w 708"/>
              <a:gd name="T27" fmla="*/ 1 h 813"/>
              <a:gd name="T28" fmla="*/ 1 w 708"/>
              <a:gd name="T29" fmla="*/ 1 h 813"/>
              <a:gd name="T30" fmla="*/ 1 w 708"/>
              <a:gd name="T31" fmla="*/ 1 h 813"/>
              <a:gd name="T32" fmla="*/ 1 w 708"/>
              <a:gd name="T33" fmla="*/ 1 h 813"/>
              <a:gd name="T34" fmla="*/ 1 w 708"/>
              <a:gd name="T35" fmla="*/ 1 h 813"/>
              <a:gd name="T36" fmla="*/ 1 w 708"/>
              <a:gd name="T37" fmla="*/ 1 h 813"/>
              <a:gd name="T38" fmla="*/ 1 w 708"/>
              <a:gd name="T39" fmla="*/ 1 h 813"/>
              <a:gd name="T40" fmla="*/ 1 w 708"/>
              <a:gd name="T41" fmla="*/ 1 h 813"/>
              <a:gd name="T42" fmla="*/ 1 w 708"/>
              <a:gd name="T43" fmla="*/ 1 h 813"/>
              <a:gd name="T44" fmla="*/ 1 w 708"/>
              <a:gd name="T45" fmla="*/ 1 h 813"/>
              <a:gd name="T46" fmla="*/ 1 w 708"/>
              <a:gd name="T47" fmla="*/ 1 h 813"/>
              <a:gd name="T48" fmla="*/ 1 w 708"/>
              <a:gd name="T49" fmla="*/ 1 h 813"/>
              <a:gd name="T50" fmla="*/ 1 w 708"/>
              <a:gd name="T51" fmla="*/ 1 h 813"/>
              <a:gd name="T52" fmla="*/ 1 w 708"/>
              <a:gd name="T53" fmla="*/ 1 h 813"/>
              <a:gd name="T54" fmla="*/ 1 w 708"/>
              <a:gd name="T55" fmla="*/ 1 h 813"/>
              <a:gd name="T56" fmla="*/ 1 w 708"/>
              <a:gd name="T57" fmla="*/ 1 h 813"/>
              <a:gd name="T58" fmla="*/ 0 w 708"/>
              <a:gd name="T59" fmla="*/ 1 h 813"/>
              <a:gd name="T60" fmla="*/ 0 w 708"/>
              <a:gd name="T61" fmla="*/ 1 h 813"/>
              <a:gd name="T62" fmla="*/ 1 w 708"/>
              <a:gd name="T63" fmla="*/ 1 h 813"/>
              <a:gd name="T64" fmla="*/ 1 w 708"/>
              <a:gd name="T65" fmla="*/ 1 h 813"/>
              <a:gd name="T66" fmla="*/ 1 w 708"/>
              <a:gd name="T67" fmla="*/ 1 h 813"/>
              <a:gd name="T68" fmla="*/ 1 w 708"/>
              <a:gd name="T69" fmla="*/ 1 h 813"/>
              <a:gd name="T70" fmla="*/ 1 w 708"/>
              <a:gd name="T71" fmla="*/ 1 h 813"/>
              <a:gd name="T72" fmla="*/ 1 w 708"/>
              <a:gd name="T73" fmla="*/ 1 h 813"/>
              <a:gd name="T74" fmla="*/ 1 w 708"/>
              <a:gd name="T75" fmla="*/ 1 h 813"/>
              <a:gd name="T76" fmla="*/ 1 w 708"/>
              <a:gd name="T77" fmla="*/ 1 h 813"/>
              <a:gd name="T78" fmla="*/ 1 w 708"/>
              <a:gd name="T79" fmla="*/ 1 h 813"/>
              <a:gd name="T80" fmla="*/ 1 w 708"/>
              <a:gd name="T81" fmla="*/ 1 h 813"/>
              <a:gd name="T82" fmla="*/ 0 w 708"/>
              <a:gd name="T83" fmla="*/ 1 h 813"/>
              <a:gd name="T84" fmla="*/ 0 w 708"/>
              <a:gd name="T85" fmla="*/ 1 h 813"/>
              <a:gd name="T86" fmla="*/ 1 w 708"/>
              <a:gd name="T87" fmla="*/ 0 h 81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3"/>
              <a:gd name="T134" fmla="*/ 708 w 708"/>
              <a:gd name="T135" fmla="*/ 813 h 813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3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10370" y="8052"/>
            <a:ext cx="399" cy="460"/>
          </a:xfrm>
          <a:custGeom>
            <a:avLst/>
            <a:gdLst>
              <a:gd name="T0" fmla="*/ 1 w 706"/>
              <a:gd name="T1" fmla="*/ 0 h 813"/>
              <a:gd name="T2" fmla="*/ 1 w 706"/>
              <a:gd name="T3" fmla="*/ 1 h 813"/>
              <a:gd name="T4" fmla="*/ 1 w 706"/>
              <a:gd name="T5" fmla="*/ 1 h 813"/>
              <a:gd name="T6" fmla="*/ 1 w 706"/>
              <a:gd name="T7" fmla="*/ 1 h 813"/>
              <a:gd name="T8" fmla="*/ 1 w 706"/>
              <a:gd name="T9" fmla="*/ 1 h 813"/>
              <a:gd name="T10" fmla="*/ 1 w 706"/>
              <a:gd name="T11" fmla="*/ 1 h 813"/>
              <a:gd name="T12" fmla="*/ 1 w 706"/>
              <a:gd name="T13" fmla="*/ 1 h 813"/>
              <a:gd name="T14" fmla="*/ 1 w 706"/>
              <a:gd name="T15" fmla="*/ 1 h 813"/>
              <a:gd name="T16" fmla="*/ 1 w 706"/>
              <a:gd name="T17" fmla="*/ 1 h 813"/>
              <a:gd name="T18" fmla="*/ 1 w 706"/>
              <a:gd name="T19" fmla="*/ 1 h 813"/>
              <a:gd name="T20" fmla="*/ 1 w 706"/>
              <a:gd name="T21" fmla="*/ 1 h 813"/>
              <a:gd name="T22" fmla="*/ 1 w 706"/>
              <a:gd name="T23" fmla="*/ 1 h 813"/>
              <a:gd name="T24" fmla="*/ 1 w 706"/>
              <a:gd name="T25" fmla="*/ 1 h 813"/>
              <a:gd name="T26" fmla="*/ 1 w 706"/>
              <a:gd name="T27" fmla="*/ 1 h 813"/>
              <a:gd name="T28" fmla="*/ 1 w 706"/>
              <a:gd name="T29" fmla="*/ 1 h 813"/>
              <a:gd name="T30" fmla="*/ 1 w 706"/>
              <a:gd name="T31" fmla="*/ 1 h 813"/>
              <a:gd name="T32" fmla="*/ 1 w 706"/>
              <a:gd name="T33" fmla="*/ 1 h 813"/>
              <a:gd name="T34" fmla="*/ 1 w 706"/>
              <a:gd name="T35" fmla="*/ 1 h 813"/>
              <a:gd name="T36" fmla="*/ 1 w 706"/>
              <a:gd name="T37" fmla="*/ 1 h 813"/>
              <a:gd name="T38" fmla="*/ 1 w 706"/>
              <a:gd name="T39" fmla="*/ 1 h 813"/>
              <a:gd name="T40" fmla="*/ 1 w 706"/>
              <a:gd name="T41" fmla="*/ 1 h 813"/>
              <a:gd name="T42" fmla="*/ 1 w 706"/>
              <a:gd name="T43" fmla="*/ 1 h 813"/>
              <a:gd name="T44" fmla="*/ 1 w 706"/>
              <a:gd name="T45" fmla="*/ 1 h 813"/>
              <a:gd name="T46" fmla="*/ 1 w 706"/>
              <a:gd name="T47" fmla="*/ 1 h 813"/>
              <a:gd name="T48" fmla="*/ 1 w 706"/>
              <a:gd name="T49" fmla="*/ 1 h 813"/>
              <a:gd name="T50" fmla="*/ 0 w 706"/>
              <a:gd name="T51" fmla="*/ 1 h 813"/>
              <a:gd name="T52" fmla="*/ 1 w 706"/>
              <a:gd name="T53" fmla="*/ 1 h 813"/>
              <a:gd name="T54" fmla="*/ 1 w 706"/>
              <a:gd name="T55" fmla="*/ 1 h 813"/>
              <a:gd name="T56" fmla="*/ 1 w 706"/>
              <a:gd name="T57" fmla="*/ 1 h 813"/>
              <a:gd name="T58" fmla="*/ 1 w 706"/>
              <a:gd name="T59" fmla="*/ 1 h 813"/>
              <a:gd name="T60" fmla="*/ 1 w 706"/>
              <a:gd name="T61" fmla="*/ 1 h 813"/>
              <a:gd name="T62" fmla="*/ 0 w 706"/>
              <a:gd name="T63" fmla="*/ 1 h 813"/>
              <a:gd name="T64" fmla="*/ 1 w 706"/>
              <a:gd name="T65" fmla="*/ 0 h 81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6"/>
              <a:gd name="T100" fmla="*/ 0 h 813"/>
              <a:gd name="T101" fmla="*/ 706 w 706"/>
              <a:gd name="T102" fmla="*/ 813 h 813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6" h="813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542925</xdr:colOff>
      <xdr:row>1</xdr:row>
      <xdr:rowOff>47625</xdr:rowOff>
    </xdr:from>
    <xdr:to>
      <xdr:col>12</xdr:col>
      <xdr:colOff>676275</xdr:colOff>
      <xdr:row>4</xdr:row>
      <xdr:rowOff>83694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209550"/>
          <a:ext cx="885825" cy="9314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773299" y="3111246"/>
          <a:ext cx="3198114" cy="294132"/>
          <a:chOff x="4243" y="5048"/>
          <a:chExt cx="4901" cy="481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Freeform 3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Freeform 4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Freeform 5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6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Freeform 7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Freeform 8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Freeform 9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10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Freeform 11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Freeform 12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2762631" y="4048506"/>
          <a:ext cx="3199638" cy="294132"/>
          <a:chOff x="4227" y="6584"/>
          <a:chExt cx="4901" cy="481"/>
        </a:xfrm>
      </xdr:grpSpPr>
      <xdr:sp macro="" textlink="">
        <xdr:nvSpPr>
          <xdr:cNvPr id="15" name="Freeform 14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15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Freeform 16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7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18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Freeform 19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Freeform 20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Freeform 21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Freeform 22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Freeform 23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Freeform 24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6" name="Group 25"/>
        <xdr:cNvGrpSpPr>
          <a:grpSpLocks/>
        </xdr:cNvGrpSpPr>
      </xdr:nvGrpSpPr>
      <xdr:grpSpPr bwMode="auto">
        <a:xfrm>
          <a:off x="2773299" y="3111246"/>
          <a:ext cx="3198114" cy="294132"/>
          <a:chOff x="4243" y="5048"/>
          <a:chExt cx="4901" cy="481"/>
        </a:xfrm>
      </xdr:grpSpPr>
      <xdr:sp macro="" textlink="">
        <xdr:nvSpPr>
          <xdr:cNvPr id="27" name="Freeform 26"/>
          <xdr:cNvSpPr>
            <a:spLocks noChangeArrowheads="1"/>
          </xdr:cNvSpPr>
        </xdr:nvSpPr>
        <xdr:spPr bwMode="auto">
          <a:xfrm>
            <a:off x="4243" y="5058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Freeform 27"/>
          <xdr:cNvSpPr>
            <a:spLocks noChangeArrowheads="1"/>
          </xdr:cNvSpPr>
        </xdr:nvSpPr>
        <xdr:spPr bwMode="auto">
          <a:xfrm>
            <a:off x="4746" y="5048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Freeform 28"/>
          <xdr:cNvSpPr>
            <a:spLocks noChangeArrowheads="1"/>
          </xdr:cNvSpPr>
        </xdr:nvSpPr>
        <xdr:spPr bwMode="auto">
          <a:xfrm>
            <a:off x="5401" y="5048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Freeform 29"/>
          <xdr:cNvSpPr>
            <a:spLocks noChangeArrowheads="1"/>
          </xdr:cNvSpPr>
        </xdr:nvSpPr>
        <xdr:spPr bwMode="auto">
          <a:xfrm>
            <a:off x="5894" y="5058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Freeform 30"/>
          <xdr:cNvSpPr>
            <a:spLocks noChangeArrowheads="1"/>
          </xdr:cNvSpPr>
        </xdr:nvSpPr>
        <xdr:spPr bwMode="auto">
          <a:xfrm>
            <a:off x="6274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Freeform 31"/>
          <xdr:cNvSpPr>
            <a:spLocks noChangeArrowheads="1"/>
          </xdr:cNvSpPr>
        </xdr:nvSpPr>
        <xdr:spPr bwMode="auto">
          <a:xfrm>
            <a:off x="6693" y="5058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Freeform 32"/>
          <xdr:cNvSpPr>
            <a:spLocks noChangeArrowheads="1"/>
          </xdr:cNvSpPr>
        </xdr:nvSpPr>
        <xdr:spPr bwMode="auto">
          <a:xfrm>
            <a:off x="6934" y="5048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Freeform 33"/>
          <xdr:cNvSpPr>
            <a:spLocks noChangeArrowheads="1"/>
          </xdr:cNvSpPr>
        </xdr:nvSpPr>
        <xdr:spPr bwMode="auto">
          <a:xfrm>
            <a:off x="7379" y="5048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Freeform 34"/>
          <xdr:cNvSpPr>
            <a:spLocks noChangeArrowheads="1"/>
          </xdr:cNvSpPr>
        </xdr:nvSpPr>
        <xdr:spPr bwMode="auto">
          <a:xfrm>
            <a:off x="7870" y="5058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Freeform 35"/>
          <xdr:cNvSpPr>
            <a:spLocks noChangeArrowheads="1"/>
          </xdr:cNvSpPr>
        </xdr:nvSpPr>
        <xdr:spPr bwMode="auto">
          <a:xfrm>
            <a:off x="8327" y="5058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36"/>
          <xdr:cNvSpPr>
            <a:spLocks noChangeArrowheads="1"/>
          </xdr:cNvSpPr>
        </xdr:nvSpPr>
        <xdr:spPr bwMode="auto">
          <a:xfrm>
            <a:off x="8743" y="5058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38" name="Group 37"/>
        <xdr:cNvGrpSpPr>
          <a:grpSpLocks/>
        </xdr:cNvGrpSpPr>
      </xdr:nvGrpSpPr>
      <xdr:grpSpPr bwMode="auto">
        <a:xfrm>
          <a:off x="2762631" y="4048506"/>
          <a:ext cx="3199638" cy="294132"/>
          <a:chOff x="4227" y="6584"/>
          <a:chExt cx="4901" cy="481"/>
        </a:xfrm>
      </xdr:grpSpPr>
      <xdr:sp macro="" textlink="">
        <xdr:nvSpPr>
          <xdr:cNvPr id="39" name="Freeform 38"/>
          <xdr:cNvSpPr>
            <a:spLocks noChangeArrowheads="1"/>
          </xdr:cNvSpPr>
        </xdr:nvSpPr>
        <xdr:spPr bwMode="auto">
          <a:xfrm>
            <a:off x="4227" y="6594"/>
            <a:ext cx="475" cy="463"/>
          </a:xfrm>
          <a:custGeom>
            <a:avLst/>
            <a:gdLst>
              <a:gd name="T0" fmla="*/ 1 w 839"/>
              <a:gd name="T1" fmla="*/ 0 h 819"/>
              <a:gd name="T2" fmla="*/ 1 w 839"/>
              <a:gd name="T3" fmla="*/ 0 h 819"/>
              <a:gd name="T4" fmla="*/ 1 w 839"/>
              <a:gd name="T5" fmla="*/ 1 h 819"/>
              <a:gd name="T6" fmla="*/ 1 w 839"/>
              <a:gd name="T7" fmla="*/ 1 h 819"/>
              <a:gd name="T8" fmla="*/ 1 w 839"/>
              <a:gd name="T9" fmla="*/ 1 h 819"/>
              <a:gd name="T10" fmla="*/ 1 w 839"/>
              <a:gd name="T11" fmla="*/ 1 h 819"/>
              <a:gd name="T12" fmla="*/ 1 w 839"/>
              <a:gd name="T13" fmla="*/ 1 h 819"/>
              <a:gd name="T14" fmla="*/ 1 w 839"/>
              <a:gd name="T15" fmla="*/ 1 h 819"/>
              <a:gd name="T16" fmla="*/ 1 w 839"/>
              <a:gd name="T17" fmla="*/ 1 h 819"/>
              <a:gd name="T18" fmla="*/ 1 w 839"/>
              <a:gd name="T19" fmla="*/ 1 h 819"/>
              <a:gd name="T20" fmla="*/ 1 w 839"/>
              <a:gd name="T21" fmla="*/ 1 h 819"/>
              <a:gd name="T22" fmla="*/ 1 w 839"/>
              <a:gd name="T23" fmla="*/ 1 h 819"/>
              <a:gd name="T24" fmla="*/ 1 w 839"/>
              <a:gd name="T25" fmla="*/ 1 h 819"/>
              <a:gd name="T26" fmla="*/ 1 w 839"/>
              <a:gd name="T27" fmla="*/ 1 h 819"/>
              <a:gd name="T28" fmla="*/ 1 w 839"/>
              <a:gd name="T29" fmla="*/ 1 h 819"/>
              <a:gd name="T30" fmla="*/ 1 w 839"/>
              <a:gd name="T31" fmla="*/ 1 h 819"/>
              <a:gd name="T32" fmla="*/ 1 w 839"/>
              <a:gd name="T33" fmla="*/ 1 h 819"/>
              <a:gd name="T34" fmla="*/ 1 w 839"/>
              <a:gd name="T35" fmla="*/ 1 h 819"/>
              <a:gd name="T36" fmla="*/ 1 w 839"/>
              <a:gd name="T37" fmla="*/ 1 h 819"/>
              <a:gd name="T38" fmla="*/ 1 w 839"/>
              <a:gd name="T39" fmla="*/ 0 h 819"/>
              <a:gd name="T40" fmla="*/ 1 w 839"/>
              <a:gd name="T41" fmla="*/ 0 h 819"/>
              <a:gd name="T42" fmla="*/ 1 w 839"/>
              <a:gd name="T43" fmla="*/ 1 h 819"/>
              <a:gd name="T44" fmla="*/ 1 w 839"/>
              <a:gd name="T45" fmla="*/ 1 h 819"/>
              <a:gd name="T46" fmla="*/ 1 w 839"/>
              <a:gd name="T47" fmla="*/ 1 h 819"/>
              <a:gd name="T48" fmla="*/ 1 w 839"/>
              <a:gd name="T49" fmla="*/ 1 h 819"/>
              <a:gd name="T50" fmla="*/ 1 w 839"/>
              <a:gd name="T51" fmla="*/ 1 h 819"/>
              <a:gd name="T52" fmla="*/ 1 w 839"/>
              <a:gd name="T53" fmla="*/ 1 h 819"/>
              <a:gd name="T54" fmla="*/ 1 w 839"/>
              <a:gd name="T55" fmla="*/ 1 h 819"/>
              <a:gd name="T56" fmla="*/ 1 w 839"/>
              <a:gd name="T57" fmla="*/ 1 h 819"/>
              <a:gd name="T58" fmla="*/ 1 w 839"/>
              <a:gd name="T59" fmla="*/ 1 h 819"/>
              <a:gd name="T60" fmla="*/ 1 w 839"/>
              <a:gd name="T61" fmla="*/ 1 h 819"/>
              <a:gd name="T62" fmla="*/ 1 w 839"/>
              <a:gd name="T63" fmla="*/ 1 h 819"/>
              <a:gd name="T64" fmla="*/ 1 w 839"/>
              <a:gd name="T65" fmla="*/ 1 h 819"/>
              <a:gd name="T66" fmla="*/ 1 w 839"/>
              <a:gd name="T67" fmla="*/ 1 h 819"/>
              <a:gd name="T68" fmla="*/ 1 w 839"/>
              <a:gd name="T69" fmla="*/ 1 h 819"/>
              <a:gd name="T70" fmla="*/ 1 w 839"/>
              <a:gd name="T71" fmla="*/ 1 h 819"/>
              <a:gd name="T72" fmla="*/ 1 w 839"/>
              <a:gd name="T73" fmla="*/ 1 h 819"/>
              <a:gd name="T74" fmla="*/ 1 w 839"/>
              <a:gd name="T75" fmla="*/ 1 h 819"/>
              <a:gd name="T76" fmla="*/ 1 w 839"/>
              <a:gd name="T77" fmla="*/ 1 h 819"/>
              <a:gd name="T78" fmla="*/ 1 w 839"/>
              <a:gd name="T79" fmla="*/ 1 h 819"/>
              <a:gd name="T80" fmla="*/ 1 w 839"/>
              <a:gd name="T81" fmla="*/ 1 h 819"/>
              <a:gd name="T82" fmla="*/ 1 w 839"/>
              <a:gd name="T83" fmla="*/ 1 h 819"/>
              <a:gd name="T84" fmla="*/ 1 w 839"/>
              <a:gd name="T85" fmla="*/ 1 h 819"/>
              <a:gd name="T86" fmla="*/ 1 w 839"/>
              <a:gd name="T87" fmla="*/ 1 h 819"/>
              <a:gd name="T88" fmla="*/ 1 w 839"/>
              <a:gd name="T89" fmla="*/ 1 h 819"/>
              <a:gd name="T90" fmla="*/ 1 w 839"/>
              <a:gd name="T91" fmla="*/ 1 h 819"/>
              <a:gd name="T92" fmla="*/ 1 w 839"/>
              <a:gd name="T93" fmla="*/ 1 h 819"/>
              <a:gd name="T94" fmla="*/ 1 w 839"/>
              <a:gd name="T95" fmla="*/ 1 h 819"/>
              <a:gd name="T96" fmla="*/ 1 w 839"/>
              <a:gd name="T97" fmla="*/ 1 h 819"/>
              <a:gd name="T98" fmla="*/ 0 w 839"/>
              <a:gd name="T99" fmla="*/ 1 h 819"/>
              <a:gd name="T100" fmla="*/ 0 w 839"/>
              <a:gd name="T101" fmla="*/ 1 h 819"/>
              <a:gd name="T102" fmla="*/ 1 w 839"/>
              <a:gd name="T103" fmla="*/ 1 h 819"/>
              <a:gd name="T104" fmla="*/ 1 w 839"/>
              <a:gd name="T105" fmla="*/ 1 h 819"/>
              <a:gd name="T106" fmla="*/ 1 w 839"/>
              <a:gd name="T107" fmla="*/ 1 h 819"/>
              <a:gd name="T108" fmla="*/ 1 w 839"/>
              <a:gd name="T109" fmla="*/ 1 h 819"/>
              <a:gd name="T110" fmla="*/ 1 w 839"/>
              <a:gd name="T111" fmla="*/ 1 h 819"/>
              <a:gd name="T112" fmla="*/ 1 w 839"/>
              <a:gd name="T113" fmla="*/ 1 h 819"/>
              <a:gd name="T114" fmla="*/ 1 w 839"/>
              <a:gd name="T115" fmla="*/ 1 h 819"/>
              <a:gd name="T116" fmla="*/ 1 w 839"/>
              <a:gd name="T117" fmla="*/ 1 h 819"/>
              <a:gd name="T118" fmla="*/ 1 w 839"/>
              <a:gd name="T119" fmla="*/ 1 h 819"/>
              <a:gd name="T120" fmla="*/ 0 w 839"/>
              <a:gd name="T121" fmla="*/ 1 h 819"/>
              <a:gd name="T122" fmla="*/ 0 w 839"/>
              <a:gd name="T123" fmla="*/ 1 h 819"/>
              <a:gd name="T124" fmla="*/ 1 w 839"/>
              <a:gd name="T125" fmla="*/ 0 h 81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39"/>
              <a:gd name="T190" fmla="*/ 0 h 819"/>
              <a:gd name="T191" fmla="*/ 839 w 839"/>
              <a:gd name="T192" fmla="*/ 819 h 819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39" h="81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" name="Freeform 39"/>
          <xdr:cNvSpPr>
            <a:spLocks noChangeArrowheads="1"/>
          </xdr:cNvSpPr>
        </xdr:nvSpPr>
        <xdr:spPr bwMode="auto">
          <a:xfrm>
            <a:off x="4730" y="6584"/>
            <a:ext cx="454" cy="481"/>
          </a:xfrm>
          <a:custGeom>
            <a:avLst/>
            <a:gdLst>
              <a:gd name="T0" fmla="*/ 1 w 803"/>
              <a:gd name="T1" fmla="*/ 1 h 851"/>
              <a:gd name="T2" fmla="*/ 1 w 803"/>
              <a:gd name="T3" fmla="*/ 1 h 851"/>
              <a:gd name="T4" fmla="*/ 1 w 803"/>
              <a:gd name="T5" fmla="*/ 1 h 851"/>
              <a:gd name="T6" fmla="*/ 1 w 803"/>
              <a:gd name="T7" fmla="*/ 1 h 851"/>
              <a:gd name="T8" fmla="*/ 1 w 803"/>
              <a:gd name="T9" fmla="*/ 1 h 851"/>
              <a:gd name="T10" fmla="*/ 1 w 803"/>
              <a:gd name="T11" fmla="*/ 1 h 851"/>
              <a:gd name="T12" fmla="*/ 1 w 803"/>
              <a:gd name="T13" fmla="*/ 1 h 851"/>
              <a:gd name="T14" fmla="*/ 1 w 803"/>
              <a:gd name="T15" fmla="*/ 1 h 851"/>
              <a:gd name="T16" fmla="*/ 1 w 803"/>
              <a:gd name="T17" fmla="*/ 1 h 851"/>
              <a:gd name="T18" fmla="*/ 1 w 803"/>
              <a:gd name="T19" fmla="*/ 1 h 851"/>
              <a:gd name="T20" fmla="*/ 1 w 803"/>
              <a:gd name="T21" fmla="*/ 1 h 851"/>
              <a:gd name="T22" fmla="*/ 1 w 803"/>
              <a:gd name="T23" fmla="*/ 1 h 851"/>
              <a:gd name="T24" fmla="*/ 1 w 803"/>
              <a:gd name="T25" fmla="*/ 1 h 851"/>
              <a:gd name="T26" fmla="*/ 1 w 803"/>
              <a:gd name="T27" fmla="*/ 1 h 851"/>
              <a:gd name="T28" fmla="*/ 1 w 803"/>
              <a:gd name="T29" fmla="*/ 1 h 851"/>
              <a:gd name="T30" fmla="*/ 1 w 803"/>
              <a:gd name="T31" fmla="*/ 1 h 851"/>
              <a:gd name="T32" fmla="*/ 1 w 803"/>
              <a:gd name="T33" fmla="*/ 0 h 851"/>
              <a:gd name="T34" fmla="*/ 1 w 803"/>
              <a:gd name="T35" fmla="*/ 1 h 851"/>
              <a:gd name="T36" fmla="*/ 1 w 803"/>
              <a:gd name="T37" fmla="*/ 1 h 851"/>
              <a:gd name="T38" fmla="*/ 1 w 803"/>
              <a:gd name="T39" fmla="*/ 1 h 851"/>
              <a:gd name="T40" fmla="*/ 1 w 803"/>
              <a:gd name="T41" fmla="*/ 1 h 851"/>
              <a:gd name="T42" fmla="*/ 1 w 803"/>
              <a:gd name="T43" fmla="*/ 1 h 851"/>
              <a:gd name="T44" fmla="*/ 1 w 803"/>
              <a:gd name="T45" fmla="*/ 1 h 851"/>
              <a:gd name="T46" fmla="*/ 1 w 803"/>
              <a:gd name="T47" fmla="*/ 1 h 851"/>
              <a:gd name="T48" fmla="*/ 1 w 803"/>
              <a:gd name="T49" fmla="*/ 1 h 851"/>
              <a:gd name="T50" fmla="*/ 1 w 803"/>
              <a:gd name="T51" fmla="*/ 1 h 851"/>
              <a:gd name="T52" fmla="*/ 1 w 803"/>
              <a:gd name="T53" fmla="*/ 1 h 851"/>
              <a:gd name="T54" fmla="*/ 1 w 803"/>
              <a:gd name="T55" fmla="*/ 1 h 851"/>
              <a:gd name="T56" fmla="*/ 0 w 803"/>
              <a:gd name="T57" fmla="*/ 1 h 851"/>
              <a:gd name="T58" fmla="*/ 1 w 803"/>
              <a:gd name="T59" fmla="*/ 1 h 851"/>
              <a:gd name="T60" fmla="*/ 1 w 803"/>
              <a:gd name="T61" fmla="*/ 1 h 851"/>
              <a:gd name="T62" fmla="*/ 1 w 803"/>
              <a:gd name="T63" fmla="*/ 1 h 851"/>
              <a:gd name="T64" fmla="*/ 1 w 803"/>
              <a:gd name="T65" fmla="*/ 0 h 8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803"/>
              <a:gd name="T100" fmla="*/ 0 h 851"/>
              <a:gd name="T101" fmla="*/ 803 w 803"/>
              <a:gd name="T102" fmla="*/ 851 h 851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803" h="851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58" y="0"/>
                </a:move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lnTo>
                  <a:pt x="358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" name="Freeform 40"/>
          <xdr:cNvSpPr>
            <a:spLocks noChangeArrowheads="1"/>
          </xdr:cNvSpPr>
        </xdr:nvSpPr>
        <xdr:spPr bwMode="auto">
          <a:xfrm>
            <a:off x="5385" y="6584"/>
            <a:ext cx="476" cy="469"/>
          </a:xfrm>
          <a:custGeom>
            <a:avLst/>
            <a:gdLst>
              <a:gd name="T0" fmla="*/ 1 w 841"/>
              <a:gd name="T1" fmla="*/ 1 h 829"/>
              <a:gd name="T2" fmla="*/ 1 w 841"/>
              <a:gd name="T3" fmla="*/ 1 h 829"/>
              <a:gd name="T4" fmla="*/ 1 w 841"/>
              <a:gd name="T5" fmla="*/ 1 h 829"/>
              <a:gd name="T6" fmla="*/ 1 w 841"/>
              <a:gd name="T7" fmla="*/ 1 h 829"/>
              <a:gd name="T8" fmla="*/ 1 w 841"/>
              <a:gd name="T9" fmla="*/ 1 h 829"/>
              <a:gd name="T10" fmla="*/ 1 w 841"/>
              <a:gd name="T11" fmla="*/ 1 h 829"/>
              <a:gd name="T12" fmla="*/ 1 w 841"/>
              <a:gd name="T13" fmla="*/ 1 h 829"/>
              <a:gd name="T14" fmla="*/ 1 w 841"/>
              <a:gd name="T15" fmla="*/ 1 h 829"/>
              <a:gd name="T16" fmla="*/ 1 w 841"/>
              <a:gd name="T17" fmla="*/ 0 h 829"/>
              <a:gd name="T18" fmla="*/ 1 w 841"/>
              <a:gd name="T19" fmla="*/ 0 h 829"/>
              <a:gd name="T20" fmla="*/ 1 w 841"/>
              <a:gd name="T21" fmla="*/ 1 h 829"/>
              <a:gd name="T22" fmla="*/ 1 w 841"/>
              <a:gd name="T23" fmla="*/ 1 h 829"/>
              <a:gd name="T24" fmla="*/ 1 w 841"/>
              <a:gd name="T25" fmla="*/ 1 h 829"/>
              <a:gd name="T26" fmla="*/ 1 w 841"/>
              <a:gd name="T27" fmla="*/ 1 h 829"/>
              <a:gd name="T28" fmla="*/ 1 w 841"/>
              <a:gd name="T29" fmla="*/ 1 h 829"/>
              <a:gd name="T30" fmla="*/ 1 w 841"/>
              <a:gd name="T31" fmla="*/ 1 h 829"/>
              <a:gd name="T32" fmla="*/ 1 w 841"/>
              <a:gd name="T33" fmla="*/ 1 h 829"/>
              <a:gd name="T34" fmla="*/ 1 w 841"/>
              <a:gd name="T35" fmla="*/ 1 h 829"/>
              <a:gd name="T36" fmla="*/ 1 w 841"/>
              <a:gd name="T37" fmla="*/ 1 h 829"/>
              <a:gd name="T38" fmla="*/ 1 w 841"/>
              <a:gd name="T39" fmla="*/ 1 h 829"/>
              <a:gd name="T40" fmla="*/ 1 w 841"/>
              <a:gd name="T41" fmla="*/ 1 h 829"/>
              <a:gd name="T42" fmla="*/ 1 w 841"/>
              <a:gd name="T43" fmla="*/ 1 h 829"/>
              <a:gd name="T44" fmla="*/ 1 w 841"/>
              <a:gd name="T45" fmla="*/ 1 h 829"/>
              <a:gd name="T46" fmla="*/ 1 w 841"/>
              <a:gd name="T47" fmla="*/ 1 h 829"/>
              <a:gd name="T48" fmla="*/ 1 w 841"/>
              <a:gd name="T49" fmla="*/ 1 h 829"/>
              <a:gd name="T50" fmla="*/ 1 w 841"/>
              <a:gd name="T51" fmla="*/ 1 h 829"/>
              <a:gd name="T52" fmla="*/ 1 w 841"/>
              <a:gd name="T53" fmla="*/ 1 h 829"/>
              <a:gd name="T54" fmla="*/ 1 w 841"/>
              <a:gd name="T55" fmla="*/ 1 h 829"/>
              <a:gd name="T56" fmla="*/ 1 w 841"/>
              <a:gd name="T57" fmla="*/ 1 h 829"/>
              <a:gd name="T58" fmla="*/ 1 w 841"/>
              <a:gd name="T59" fmla="*/ 1 h 829"/>
              <a:gd name="T60" fmla="*/ 1 w 841"/>
              <a:gd name="T61" fmla="*/ 1 h 829"/>
              <a:gd name="T62" fmla="*/ 1 w 841"/>
              <a:gd name="T63" fmla="*/ 1 h 829"/>
              <a:gd name="T64" fmla="*/ 1 w 841"/>
              <a:gd name="T65" fmla="*/ 1 h 829"/>
              <a:gd name="T66" fmla="*/ 1 w 841"/>
              <a:gd name="T67" fmla="*/ 1 h 829"/>
              <a:gd name="T68" fmla="*/ 1 w 841"/>
              <a:gd name="T69" fmla="*/ 1 h 829"/>
              <a:gd name="T70" fmla="*/ 1 w 841"/>
              <a:gd name="T71" fmla="*/ 1 h 829"/>
              <a:gd name="T72" fmla="*/ 1 w 841"/>
              <a:gd name="T73" fmla="*/ 1 h 829"/>
              <a:gd name="T74" fmla="*/ 1 w 841"/>
              <a:gd name="T75" fmla="*/ 1 h 829"/>
              <a:gd name="T76" fmla="*/ 1 w 841"/>
              <a:gd name="T77" fmla="*/ 1 h 829"/>
              <a:gd name="T78" fmla="*/ 0 w 841"/>
              <a:gd name="T79" fmla="*/ 1 h 829"/>
              <a:gd name="T80" fmla="*/ 0 w 841"/>
              <a:gd name="T81" fmla="*/ 1 h 829"/>
              <a:gd name="T82" fmla="*/ 1 w 841"/>
              <a:gd name="T83" fmla="*/ 1 h 829"/>
              <a:gd name="T84" fmla="*/ 1 w 841"/>
              <a:gd name="T85" fmla="*/ 1 h 829"/>
              <a:gd name="T86" fmla="*/ 1 w 841"/>
              <a:gd name="T87" fmla="*/ 1 h 829"/>
              <a:gd name="T88" fmla="*/ 1 w 841"/>
              <a:gd name="T89" fmla="*/ 1 h 829"/>
              <a:gd name="T90" fmla="*/ 1 w 841"/>
              <a:gd name="T91" fmla="*/ 1 h 829"/>
              <a:gd name="T92" fmla="*/ 1 w 841"/>
              <a:gd name="T93" fmla="*/ 0 h 829"/>
              <a:gd name="T94" fmla="*/ 1 w 841"/>
              <a:gd name="T95" fmla="*/ 0 h 829"/>
              <a:gd name="T96" fmla="*/ 1 w 841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41"/>
              <a:gd name="T148" fmla="*/ 0 h 829"/>
              <a:gd name="T149" fmla="*/ 841 w 841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41" h="829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403" y="0"/>
                </a:move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lnTo>
                  <a:pt x="403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Freeform 41"/>
          <xdr:cNvSpPr>
            <a:spLocks noChangeArrowheads="1"/>
          </xdr:cNvSpPr>
        </xdr:nvSpPr>
        <xdr:spPr bwMode="auto">
          <a:xfrm>
            <a:off x="5878" y="6594"/>
            <a:ext cx="362" cy="459"/>
          </a:xfrm>
          <a:custGeom>
            <a:avLst/>
            <a:gdLst>
              <a:gd name="T0" fmla="*/ 1 w 640"/>
              <a:gd name="T1" fmla="*/ 1 h 812"/>
              <a:gd name="T2" fmla="*/ 1 w 640"/>
              <a:gd name="T3" fmla="*/ 1 h 812"/>
              <a:gd name="T4" fmla="*/ 1 w 640"/>
              <a:gd name="T5" fmla="*/ 1 h 812"/>
              <a:gd name="T6" fmla="*/ 1 w 640"/>
              <a:gd name="T7" fmla="*/ 1 h 812"/>
              <a:gd name="T8" fmla="*/ 1 w 640"/>
              <a:gd name="T9" fmla="*/ 1 h 812"/>
              <a:gd name="T10" fmla="*/ 1 w 640"/>
              <a:gd name="T11" fmla="*/ 1 h 812"/>
              <a:gd name="T12" fmla="*/ 1 w 640"/>
              <a:gd name="T13" fmla="*/ 1 h 812"/>
              <a:gd name="T14" fmla="*/ 1 w 640"/>
              <a:gd name="T15" fmla="*/ 1 h 812"/>
              <a:gd name="T16" fmla="*/ 1 w 640"/>
              <a:gd name="T17" fmla="*/ 1 h 812"/>
              <a:gd name="T18" fmla="*/ 1 w 640"/>
              <a:gd name="T19" fmla="*/ 1 h 812"/>
              <a:gd name="T20" fmla="*/ 1 w 640"/>
              <a:gd name="T21" fmla="*/ 1 h 812"/>
              <a:gd name="T22" fmla="*/ 1 w 640"/>
              <a:gd name="T23" fmla="*/ 1 h 812"/>
              <a:gd name="T24" fmla="*/ 1 w 640"/>
              <a:gd name="T25" fmla="*/ 1 h 812"/>
              <a:gd name="T26" fmla="*/ 1 w 640"/>
              <a:gd name="T27" fmla="*/ 1 h 812"/>
              <a:gd name="T28" fmla="*/ 1 w 640"/>
              <a:gd name="T29" fmla="*/ 1 h 812"/>
              <a:gd name="T30" fmla="*/ 1 w 640"/>
              <a:gd name="T31" fmla="*/ 1 h 812"/>
              <a:gd name="T32" fmla="*/ 1 w 640"/>
              <a:gd name="T33" fmla="*/ 1 h 812"/>
              <a:gd name="T34" fmla="*/ 1 w 640"/>
              <a:gd name="T35" fmla="*/ 0 h 812"/>
              <a:gd name="T36" fmla="*/ 1 w 640"/>
              <a:gd name="T37" fmla="*/ 0 h 812"/>
              <a:gd name="T38" fmla="*/ 1 w 640"/>
              <a:gd name="T39" fmla="*/ 1 h 812"/>
              <a:gd name="T40" fmla="*/ 1 w 640"/>
              <a:gd name="T41" fmla="*/ 1 h 812"/>
              <a:gd name="T42" fmla="*/ 1 w 640"/>
              <a:gd name="T43" fmla="*/ 1 h 812"/>
              <a:gd name="T44" fmla="*/ 1 w 640"/>
              <a:gd name="T45" fmla="*/ 1 h 812"/>
              <a:gd name="T46" fmla="*/ 1 w 640"/>
              <a:gd name="T47" fmla="*/ 1 h 812"/>
              <a:gd name="T48" fmla="*/ 1 w 640"/>
              <a:gd name="T49" fmla="*/ 1 h 812"/>
              <a:gd name="T50" fmla="*/ 1 w 640"/>
              <a:gd name="T51" fmla="*/ 1 h 812"/>
              <a:gd name="T52" fmla="*/ 1 w 640"/>
              <a:gd name="T53" fmla="*/ 1 h 812"/>
              <a:gd name="T54" fmla="*/ 1 w 640"/>
              <a:gd name="T55" fmla="*/ 1 h 812"/>
              <a:gd name="T56" fmla="*/ 1 w 640"/>
              <a:gd name="T57" fmla="*/ 1 h 812"/>
              <a:gd name="T58" fmla="*/ 1 w 640"/>
              <a:gd name="T59" fmla="*/ 1 h 812"/>
              <a:gd name="T60" fmla="*/ 1 w 640"/>
              <a:gd name="T61" fmla="*/ 1 h 812"/>
              <a:gd name="T62" fmla="*/ 1 w 640"/>
              <a:gd name="T63" fmla="*/ 1 h 812"/>
              <a:gd name="T64" fmla="*/ 1 w 640"/>
              <a:gd name="T65" fmla="*/ 1 h 812"/>
              <a:gd name="T66" fmla="*/ 1 w 640"/>
              <a:gd name="T67" fmla="*/ 1 h 812"/>
              <a:gd name="T68" fmla="*/ 1 w 640"/>
              <a:gd name="T69" fmla="*/ 1 h 812"/>
              <a:gd name="T70" fmla="*/ 1 w 640"/>
              <a:gd name="T71" fmla="*/ 1 h 812"/>
              <a:gd name="T72" fmla="*/ 1 w 640"/>
              <a:gd name="T73" fmla="*/ 1 h 812"/>
              <a:gd name="T74" fmla="*/ 1 w 640"/>
              <a:gd name="T75" fmla="*/ 1 h 812"/>
              <a:gd name="T76" fmla="*/ 1 w 640"/>
              <a:gd name="T77" fmla="*/ 1 h 812"/>
              <a:gd name="T78" fmla="*/ 1 w 640"/>
              <a:gd name="T79" fmla="*/ 1 h 812"/>
              <a:gd name="T80" fmla="*/ 1 w 640"/>
              <a:gd name="T81" fmla="*/ 1 h 812"/>
              <a:gd name="T82" fmla="*/ 0 w 640"/>
              <a:gd name="T83" fmla="*/ 1 h 812"/>
              <a:gd name="T84" fmla="*/ 0 w 640"/>
              <a:gd name="T85" fmla="*/ 1 h 812"/>
              <a:gd name="T86" fmla="*/ 1 w 640"/>
              <a:gd name="T87" fmla="*/ 1 h 812"/>
              <a:gd name="T88" fmla="*/ 1 w 640"/>
              <a:gd name="T89" fmla="*/ 1 h 812"/>
              <a:gd name="T90" fmla="*/ 1 w 640"/>
              <a:gd name="T91" fmla="*/ 1 h 812"/>
              <a:gd name="T92" fmla="*/ 1 w 640"/>
              <a:gd name="T93" fmla="*/ 1 h 812"/>
              <a:gd name="T94" fmla="*/ 1 w 640"/>
              <a:gd name="T95" fmla="*/ 1 h 812"/>
              <a:gd name="T96" fmla="*/ 1 w 640"/>
              <a:gd name="T97" fmla="*/ 1 h 812"/>
              <a:gd name="T98" fmla="*/ 1 w 640"/>
              <a:gd name="T99" fmla="*/ 1 h 812"/>
              <a:gd name="T100" fmla="*/ 1 w 640"/>
              <a:gd name="T101" fmla="*/ 1 h 812"/>
              <a:gd name="T102" fmla="*/ 1 w 640"/>
              <a:gd name="T103" fmla="*/ 1 h 812"/>
              <a:gd name="T104" fmla="*/ 1 w 640"/>
              <a:gd name="T105" fmla="*/ 1 h 812"/>
              <a:gd name="T106" fmla="*/ 1 w 640"/>
              <a:gd name="T107" fmla="*/ 1 h 812"/>
              <a:gd name="T108" fmla="*/ 0 w 640"/>
              <a:gd name="T109" fmla="*/ 1 h 812"/>
              <a:gd name="T110" fmla="*/ 0 w 640"/>
              <a:gd name="T111" fmla="*/ 1 h 812"/>
              <a:gd name="T112" fmla="*/ 1 w 640"/>
              <a:gd name="T113" fmla="*/ 0 h 812"/>
              <a:gd name="T114" fmla="*/ 1 w 640"/>
              <a:gd name="T115" fmla="*/ 0 h 812"/>
              <a:gd name="T116" fmla="*/ 1 w 640"/>
              <a:gd name="T117" fmla="*/ 0 h 81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40"/>
              <a:gd name="T178" fmla="*/ 0 h 812"/>
              <a:gd name="T179" fmla="*/ 640 w 640"/>
              <a:gd name="T180" fmla="*/ 812 h 81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40" h="812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6" y="0"/>
                </a:move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Freeform 42"/>
          <xdr:cNvSpPr>
            <a:spLocks noChangeArrowheads="1"/>
          </xdr:cNvSpPr>
        </xdr:nvSpPr>
        <xdr:spPr bwMode="auto">
          <a:xfrm>
            <a:off x="6258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0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1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0 w 708"/>
              <a:gd name="T59" fmla="*/ 1 h 812"/>
              <a:gd name="T60" fmla="*/ 0 w 708"/>
              <a:gd name="T61" fmla="*/ 1 h 812"/>
              <a:gd name="T62" fmla="*/ 1 w 708"/>
              <a:gd name="T63" fmla="*/ 1 h 812"/>
              <a:gd name="T64" fmla="*/ 1 w 708"/>
              <a:gd name="T65" fmla="*/ 1 h 812"/>
              <a:gd name="T66" fmla="*/ 1 w 708"/>
              <a:gd name="T67" fmla="*/ 1 h 812"/>
              <a:gd name="T68" fmla="*/ 1 w 708"/>
              <a:gd name="T69" fmla="*/ 1 h 812"/>
              <a:gd name="T70" fmla="*/ 1 w 708"/>
              <a:gd name="T71" fmla="*/ 1 h 812"/>
              <a:gd name="T72" fmla="*/ 1 w 708"/>
              <a:gd name="T73" fmla="*/ 1 h 812"/>
              <a:gd name="T74" fmla="*/ 1 w 708"/>
              <a:gd name="T75" fmla="*/ 1 h 812"/>
              <a:gd name="T76" fmla="*/ 1 w 708"/>
              <a:gd name="T77" fmla="*/ 1 h 812"/>
              <a:gd name="T78" fmla="*/ 1 w 708"/>
              <a:gd name="T79" fmla="*/ 1 h 812"/>
              <a:gd name="T80" fmla="*/ 1 w 708"/>
              <a:gd name="T81" fmla="*/ 1 h 812"/>
              <a:gd name="T82" fmla="*/ 0 w 708"/>
              <a:gd name="T83" fmla="*/ 1 h 812"/>
              <a:gd name="T84" fmla="*/ 0 w 708"/>
              <a:gd name="T85" fmla="*/ 1 h 812"/>
              <a:gd name="T86" fmla="*/ 1 w 70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8"/>
              <a:gd name="T133" fmla="*/ 0 h 812"/>
              <a:gd name="T134" fmla="*/ 708 w 708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8" h="812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" name="Freeform 43"/>
          <xdr:cNvSpPr>
            <a:spLocks noChangeArrowheads="1"/>
          </xdr:cNvSpPr>
        </xdr:nvSpPr>
        <xdr:spPr bwMode="auto">
          <a:xfrm>
            <a:off x="6677" y="6594"/>
            <a:ext cx="206" cy="459"/>
          </a:xfrm>
          <a:custGeom>
            <a:avLst/>
            <a:gdLst>
              <a:gd name="T0" fmla="*/ 1 w 365"/>
              <a:gd name="T1" fmla="*/ 0 h 812"/>
              <a:gd name="T2" fmla="*/ 1 w 365"/>
              <a:gd name="T3" fmla="*/ 0 h 812"/>
              <a:gd name="T4" fmla="*/ 1 w 365"/>
              <a:gd name="T5" fmla="*/ 1 h 812"/>
              <a:gd name="T6" fmla="*/ 1 w 365"/>
              <a:gd name="T7" fmla="*/ 1 h 812"/>
              <a:gd name="T8" fmla="*/ 1 w 365"/>
              <a:gd name="T9" fmla="*/ 1 h 812"/>
              <a:gd name="T10" fmla="*/ 1 w 365"/>
              <a:gd name="T11" fmla="*/ 1 h 812"/>
              <a:gd name="T12" fmla="*/ 1 w 365"/>
              <a:gd name="T13" fmla="*/ 1 h 812"/>
              <a:gd name="T14" fmla="*/ 1 w 365"/>
              <a:gd name="T15" fmla="*/ 1 h 812"/>
              <a:gd name="T16" fmla="*/ 1 w 365"/>
              <a:gd name="T17" fmla="*/ 1 h 812"/>
              <a:gd name="T18" fmla="*/ 1 w 365"/>
              <a:gd name="T19" fmla="*/ 1 h 812"/>
              <a:gd name="T20" fmla="*/ 1 w 365"/>
              <a:gd name="T21" fmla="*/ 1 h 812"/>
              <a:gd name="T22" fmla="*/ 1 w 365"/>
              <a:gd name="T23" fmla="*/ 1 h 812"/>
              <a:gd name="T24" fmla="*/ 1 w 365"/>
              <a:gd name="T25" fmla="*/ 1 h 812"/>
              <a:gd name="T26" fmla="*/ 1 w 365"/>
              <a:gd name="T27" fmla="*/ 1 h 812"/>
              <a:gd name="T28" fmla="*/ 1 w 365"/>
              <a:gd name="T29" fmla="*/ 1 h 812"/>
              <a:gd name="T30" fmla="*/ 1 w 365"/>
              <a:gd name="T31" fmla="*/ 1 h 812"/>
              <a:gd name="T32" fmla="*/ 1 w 365"/>
              <a:gd name="T33" fmla="*/ 1 h 812"/>
              <a:gd name="T34" fmla="*/ 1 w 365"/>
              <a:gd name="T35" fmla="*/ 1 h 812"/>
              <a:gd name="T36" fmla="*/ 0 w 365"/>
              <a:gd name="T37" fmla="*/ 1 h 812"/>
              <a:gd name="T38" fmla="*/ 0 w 365"/>
              <a:gd name="T39" fmla="*/ 1 h 812"/>
              <a:gd name="T40" fmla="*/ 1 w 365"/>
              <a:gd name="T41" fmla="*/ 1 h 812"/>
              <a:gd name="T42" fmla="*/ 1 w 365"/>
              <a:gd name="T43" fmla="*/ 1 h 812"/>
              <a:gd name="T44" fmla="*/ 1 w 365"/>
              <a:gd name="T45" fmla="*/ 1 h 812"/>
              <a:gd name="T46" fmla="*/ 1 w 365"/>
              <a:gd name="T47" fmla="*/ 1 h 812"/>
              <a:gd name="T48" fmla="*/ 1 w 365"/>
              <a:gd name="T49" fmla="*/ 1 h 812"/>
              <a:gd name="T50" fmla="*/ 1 w 365"/>
              <a:gd name="T51" fmla="*/ 1 h 812"/>
              <a:gd name="T52" fmla="*/ 1 w 365"/>
              <a:gd name="T53" fmla="*/ 1 h 812"/>
              <a:gd name="T54" fmla="*/ 1 w 365"/>
              <a:gd name="T55" fmla="*/ 1 h 812"/>
              <a:gd name="T56" fmla="*/ 1 w 365"/>
              <a:gd name="T57" fmla="*/ 1 h 812"/>
              <a:gd name="T58" fmla="*/ 1 w 365"/>
              <a:gd name="T59" fmla="*/ 1 h 812"/>
              <a:gd name="T60" fmla="*/ 0 w 365"/>
              <a:gd name="T61" fmla="*/ 1 h 812"/>
              <a:gd name="T62" fmla="*/ 0 w 365"/>
              <a:gd name="T63" fmla="*/ 1 h 812"/>
              <a:gd name="T64" fmla="*/ 1 w 365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365"/>
              <a:gd name="T100" fmla="*/ 0 h 812"/>
              <a:gd name="T101" fmla="*/ 365 w 365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365" h="812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Freeform 44"/>
          <xdr:cNvSpPr>
            <a:spLocks noChangeArrowheads="1"/>
          </xdr:cNvSpPr>
        </xdr:nvSpPr>
        <xdr:spPr bwMode="auto">
          <a:xfrm>
            <a:off x="6918" y="6584"/>
            <a:ext cx="416" cy="481"/>
          </a:xfrm>
          <a:custGeom>
            <a:avLst/>
            <a:gdLst>
              <a:gd name="T0" fmla="*/ 1 w 736"/>
              <a:gd name="T1" fmla="*/ 0 h 851"/>
              <a:gd name="T2" fmla="*/ 1 w 736"/>
              <a:gd name="T3" fmla="*/ 0 h 851"/>
              <a:gd name="T4" fmla="*/ 1 w 736"/>
              <a:gd name="T5" fmla="*/ 1 h 851"/>
              <a:gd name="T6" fmla="*/ 1 w 736"/>
              <a:gd name="T7" fmla="*/ 1 h 851"/>
              <a:gd name="T8" fmla="*/ 1 w 736"/>
              <a:gd name="T9" fmla="*/ 1 h 851"/>
              <a:gd name="T10" fmla="*/ 1 w 736"/>
              <a:gd name="T11" fmla="*/ 1 h 851"/>
              <a:gd name="T12" fmla="*/ 1 w 736"/>
              <a:gd name="T13" fmla="*/ 0 h 851"/>
              <a:gd name="T14" fmla="*/ 1 w 736"/>
              <a:gd name="T15" fmla="*/ 0 h 851"/>
              <a:gd name="T16" fmla="*/ 1 w 736"/>
              <a:gd name="T17" fmla="*/ 1 h 851"/>
              <a:gd name="T18" fmla="*/ 1 w 736"/>
              <a:gd name="T19" fmla="*/ 1 h 851"/>
              <a:gd name="T20" fmla="*/ 1 w 736"/>
              <a:gd name="T21" fmla="*/ 1 h 851"/>
              <a:gd name="T22" fmla="*/ 1 w 736"/>
              <a:gd name="T23" fmla="*/ 1 h 851"/>
              <a:gd name="T24" fmla="*/ 1 w 736"/>
              <a:gd name="T25" fmla="*/ 1 h 851"/>
              <a:gd name="T26" fmla="*/ 1 w 736"/>
              <a:gd name="T27" fmla="*/ 1 h 851"/>
              <a:gd name="T28" fmla="*/ 1 w 736"/>
              <a:gd name="T29" fmla="*/ 1 h 851"/>
              <a:gd name="T30" fmla="*/ 1 w 736"/>
              <a:gd name="T31" fmla="*/ 1 h 851"/>
              <a:gd name="T32" fmla="*/ 1 w 736"/>
              <a:gd name="T33" fmla="*/ 1 h 851"/>
              <a:gd name="T34" fmla="*/ 1 w 736"/>
              <a:gd name="T35" fmla="*/ 1 h 851"/>
              <a:gd name="T36" fmla="*/ 1 w 736"/>
              <a:gd name="T37" fmla="*/ 1 h 851"/>
              <a:gd name="T38" fmla="*/ 1 w 736"/>
              <a:gd name="T39" fmla="*/ 1 h 851"/>
              <a:gd name="T40" fmla="*/ 1 w 736"/>
              <a:gd name="T41" fmla="*/ 1 h 851"/>
              <a:gd name="T42" fmla="*/ 1 w 736"/>
              <a:gd name="T43" fmla="*/ 1 h 851"/>
              <a:gd name="T44" fmla="*/ 1 w 736"/>
              <a:gd name="T45" fmla="*/ 1 h 851"/>
              <a:gd name="T46" fmla="*/ 1 w 736"/>
              <a:gd name="T47" fmla="*/ 1 h 851"/>
              <a:gd name="T48" fmla="*/ 1 w 736"/>
              <a:gd name="T49" fmla="*/ 1 h 851"/>
              <a:gd name="T50" fmla="*/ 1 w 736"/>
              <a:gd name="T51" fmla="*/ 1 h 851"/>
              <a:gd name="T52" fmla="*/ 1 w 736"/>
              <a:gd name="T53" fmla="*/ 1 h 851"/>
              <a:gd name="T54" fmla="*/ 1 w 736"/>
              <a:gd name="T55" fmla="*/ 1 h 851"/>
              <a:gd name="T56" fmla="*/ 1 w 736"/>
              <a:gd name="T57" fmla="*/ 1 h 851"/>
              <a:gd name="T58" fmla="*/ 1 w 736"/>
              <a:gd name="T59" fmla="*/ 1 h 851"/>
              <a:gd name="T60" fmla="*/ 1 w 736"/>
              <a:gd name="T61" fmla="*/ 1 h 851"/>
              <a:gd name="T62" fmla="*/ 1 w 736"/>
              <a:gd name="T63" fmla="*/ 1 h 851"/>
              <a:gd name="T64" fmla="*/ 1 w 736"/>
              <a:gd name="T65" fmla="*/ 1 h 851"/>
              <a:gd name="T66" fmla="*/ 1 w 736"/>
              <a:gd name="T67" fmla="*/ 1 h 851"/>
              <a:gd name="T68" fmla="*/ 1 w 736"/>
              <a:gd name="T69" fmla="*/ 1 h 851"/>
              <a:gd name="T70" fmla="*/ 1 w 736"/>
              <a:gd name="T71" fmla="*/ 1 h 851"/>
              <a:gd name="T72" fmla="*/ 1 w 736"/>
              <a:gd name="T73" fmla="*/ 1 h 851"/>
              <a:gd name="T74" fmla="*/ 1 w 736"/>
              <a:gd name="T75" fmla="*/ 1 h 851"/>
              <a:gd name="T76" fmla="*/ 1 w 736"/>
              <a:gd name="T77" fmla="*/ 1 h 851"/>
              <a:gd name="T78" fmla="*/ 1 w 736"/>
              <a:gd name="T79" fmla="*/ 1 h 851"/>
              <a:gd name="T80" fmla="*/ 1 w 736"/>
              <a:gd name="T81" fmla="*/ 1 h 851"/>
              <a:gd name="T82" fmla="*/ 1 w 736"/>
              <a:gd name="T83" fmla="*/ 1 h 851"/>
              <a:gd name="T84" fmla="*/ 1 w 736"/>
              <a:gd name="T85" fmla="*/ 1 h 851"/>
              <a:gd name="T86" fmla="*/ 1 w 736"/>
              <a:gd name="T87" fmla="*/ 1 h 851"/>
              <a:gd name="T88" fmla="*/ 1 w 736"/>
              <a:gd name="T89" fmla="*/ 1 h 851"/>
              <a:gd name="T90" fmla="*/ 1 w 736"/>
              <a:gd name="T91" fmla="*/ 1 h 851"/>
              <a:gd name="T92" fmla="*/ 1 w 736"/>
              <a:gd name="T93" fmla="*/ 1 h 851"/>
              <a:gd name="T94" fmla="*/ 1 w 736"/>
              <a:gd name="T95" fmla="*/ 1 h 851"/>
              <a:gd name="T96" fmla="*/ 1 w 736"/>
              <a:gd name="T97" fmla="*/ 1 h 851"/>
              <a:gd name="T98" fmla="*/ 1 w 736"/>
              <a:gd name="T99" fmla="*/ 1 h 851"/>
              <a:gd name="T100" fmla="*/ 1 w 736"/>
              <a:gd name="T101" fmla="*/ 1 h 851"/>
              <a:gd name="T102" fmla="*/ 1 w 736"/>
              <a:gd name="T103" fmla="*/ 1 h 851"/>
              <a:gd name="T104" fmla="*/ 1 w 736"/>
              <a:gd name="T105" fmla="*/ 1 h 851"/>
              <a:gd name="T106" fmla="*/ 1 w 736"/>
              <a:gd name="T107" fmla="*/ 1 h 851"/>
              <a:gd name="T108" fmla="*/ 0 w 736"/>
              <a:gd name="T109" fmla="*/ 1 h 851"/>
              <a:gd name="T110" fmla="*/ 0 w 736"/>
              <a:gd name="T111" fmla="*/ 1 h 851"/>
              <a:gd name="T112" fmla="*/ 1 w 736"/>
              <a:gd name="T113" fmla="*/ 1 h 851"/>
              <a:gd name="T114" fmla="*/ 1 w 736"/>
              <a:gd name="T115" fmla="*/ 1 h 851"/>
              <a:gd name="T116" fmla="*/ 1 w 736"/>
              <a:gd name="T117" fmla="*/ 1 h 851"/>
              <a:gd name="T118" fmla="*/ 1 w 736"/>
              <a:gd name="T119" fmla="*/ 1 h 851"/>
              <a:gd name="T120" fmla="*/ 1 w 736"/>
              <a:gd name="T121" fmla="*/ 1 h 851"/>
              <a:gd name="T122" fmla="*/ 1 w 736"/>
              <a:gd name="T123" fmla="*/ 1 h 851"/>
              <a:gd name="T124" fmla="*/ 1 w 736"/>
              <a:gd name="T125" fmla="*/ 0 h 85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736"/>
              <a:gd name="T190" fmla="*/ 0 h 851"/>
              <a:gd name="T191" fmla="*/ 736 w 736"/>
              <a:gd name="T192" fmla="*/ 851 h 85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736" h="851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45"/>
          <xdr:cNvSpPr>
            <a:spLocks noChangeArrowheads="1"/>
          </xdr:cNvSpPr>
        </xdr:nvSpPr>
        <xdr:spPr bwMode="auto">
          <a:xfrm>
            <a:off x="7363" y="6584"/>
            <a:ext cx="475" cy="469"/>
          </a:xfrm>
          <a:custGeom>
            <a:avLst/>
            <a:gdLst>
              <a:gd name="T0" fmla="*/ 1 w 839"/>
              <a:gd name="T1" fmla="*/ 1 h 829"/>
              <a:gd name="T2" fmla="*/ 1 w 839"/>
              <a:gd name="T3" fmla="*/ 1 h 829"/>
              <a:gd name="T4" fmla="*/ 1 w 839"/>
              <a:gd name="T5" fmla="*/ 1 h 829"/>
              <a:gd name="T6" fmla="*/ 1 w 839"/>
              <a:gd name="T7" fmla="*/ 1 h 829"/>
              <a:gd name="T8" fmla="*/ 1 w 839"/>
              <a:gd name="T9" fmla="*/ 1 h 829"/>
              <a:gd name="T10" fmla="*/ 1 w 839"/>
              <a:gd name="T11" fmla="*/ 1 h 829"/>
              <a:gd name="T12" fmla="*/ 1 w 839"/>
              <a:gd name="T13" fmla="*/ 1 h 829"/>
              <a:gd name="T14" fmla="*/ 1 w 839"/>
              <a:gd name="T15" fmla="*/ 1 h 829"/>
              <a:gd name="T16" fmla="*/ 1 w 839"/>
              <a:gd name="T17" fmla="*/ 0 h 829"/>
              <a:gd name="T18" fmla="*/ 1 w 839"/>
              <a:gd name="T19" fmla="*/ 0 h 829"/>
              <a:gd name="T20" fmla="*/ 1 w 839"/>
              <a:gd name="T21" fmla="*/ 1 h 829"/>
              <a:gd name="T22" fmla="*/ 1 w 839"/>
              <a:gd name="T23" fmla="*/ 1 h 829"/>
              <a:gd name="T24" fmla="*/ 1 w 839"/>
              <a:gd name="T25" fmla="*/ 1 h 829"/>
              <a:gd name="T26" fmla="*/ 1 w 839"/>
              <a:gd name="T27" fmla="*/ 1 h 829"/>
              <a:gd name="T28" fmla="*/ 1 w 839"/>
              <a:gd name="T29" fmla="*/ 1 h 829"/>
              <a:gd name="T30" fmla="*/ 1 w 839"/>
              <a:gd name="T31" fmla="*/ 1 h 829"/>
              <a:gd name="T32" fmla="*/ 1 w 839"/>
              <a:gd name="T33" fmla="*/ 1 h 829"/>
              <a:gd name="T34" fmla="*/ 1 w 839"/>
              <a:gd name="T35" fmla="*/ 1 h 829"/>
              <a:gd name="T36" fmla="*/ 1 w 839"/>
              <a:gd name="T37" fmla="*/ 1 h 829"/>
              <a:gd name="T38" fmla="*/ 1 w 839"/>
              <a:gd name="T39" fmla="*/ 1 h 829"/>
              <a:gd name="T40" fmla="*/ 1 w 839"/>
              <a:gd name="T41" fmla="*/ 1 h 829"/>
              <a:gd name="T42" fmla="*/ 1 w 839"/>
              <a:gd name="T43" fmla="*/ 1 h 829"/>
              <a:gd name="T44" fmla="*/ 1 w 839"/>
              <a:gd name="T45" fmla="*/ 1 h 829"/>
              <a:gd name="T46" fmla="*/ 1 w 839"/>
              <a:gd name="T47" fmla="*/ 1 h 829"/>
              <a:gd name="T48" fmla="*/ 1 w 839"/>
              <a:gd name="T49" fmla="*/ 1 h 829"/>
              <a:gd name="T50" fmla="*/ 1 w 839"/>
              <a:gd name="T51" fmla="*/ 1 h 829"/>
              <a:gd name="T52" fmla="*/ 1 w 839"/>
              <a:gd name="T53" fmla="*/ 1 h 829"/>
              <a:gd name="T54" fmla="*/ 1 w 839"/>
              <a:gd name="T55" fmla="*/ 1 h 829"/>
              <a:gd name="T56" fmla="*/ 1 w 839"/>
              <a:gd name="T57" fmla="*/ 1 h 829"/>
              <a:gd name="T58" fmla="*/ 1 w 839"/>
              <a:gd name="T59" fmla="*/ 1 h 829"/>
              <a:gd name="T60" fmla="*/ 1 w 839"/>
              <a:gd name="T61" fmla="*/ 1 h 829"/>
              <a:gd name="T62" fmla="*/ 1 w 839"/>
              <a:gd name="T63" fmla="*/ 1 h 829"/>
              <a:gd name="T64" fmla="*/ 1 w 839"/>
              <a:gd name="T65" fmla="*/ 1 h 829"/>
              <a:gd name="T66" fmla="*/ 1 w 839"/>
              <a:gd name="T67" fmla="*/ 1 h 829"/>
              <a:gd name="T68" fmla="*/ 1 w 839"/>
              <a:gd name="T69" fmla="*/ 1 h 829"/>
              <a:gd name="T70" fmla="*/ 1 w 839"/>
              <a:gd name="T71" fmla="*/ 1 h 829"/>
              <a:gd name="T72" fmla="*/ 1 w 839"/>
              <a:gd name="T73" fmla="*/ 1 h 829"/>
              <a:gd name="T74" fmla="*/ 1 w 839"/>
              <a:gd name="T75" fmla="*/ 1 h 829"/>
              <a:gd name="T76" fmla="*/ 1 w 839"/>
              <a:gd name="T77" fmla="*/ 1 h 829"/>
              <a:gd name="T78" fmla="*/ 0 w 839"/>
              <a:gd name="T79" fmla="*/ 1 h 829"/>
              <a:gd name="T80" fmla="*/ 0 w 839"/>
              <a:gd name="T81" fmla="*/ 1 h 829"/>
              <a:gd name="T82" fmla="*/ 1 w 839"/>
              <a:gd name="T83" fmla="*/ 1 h 829"/>
              <a:gd name="T84" fmla="*/ 1 w 839"/>
              <a:gd name="T85" fmla="*/ 1 h 829"/>
              <a:gd name="T86" fmla="*/ 1 w 839"/>
              <a:gd name="T87" fmla="*/ 1 h 829"/>
              <a:gd name="T88" fmla="*/ 1 w 839"/>
              <a:gd name="T89" fmla="*/ 1 h 829"/>
              <a:gd name="T90" fmla="*/ 1 w 839"/>
              <a:gd name="T91" fmla="*/ 1 h 829"/>
              <a:gd name="T92" fmla="*/ 1 w 839"/>
              <a:gd name="T93" fmla="*/ 0 h 829"/>
              <a:gd name="T94" fmla="*/ 1 w 839"/>
              <a:gd name="T95" fmla="*/ 0 h 829"/>
              <a:gd name="T96" fmla="*/ 1 w 839"/>
              <a:gd name="T97" fmla="*/ 0 h 829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39"/>
              <a:gd name="T148" fmla="*/ 0 h 829"/>
              <a:gd name="T149" fmla="*/ 839 w 839"/>
              <a:gd name="T150" fmla="*/ 829 h 829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39" h="82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404" y="0"/>
                </a:move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lnTo>
                  <a:pt x="404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Freeform 46"/>
          <xdr:cNvSpPr>
            <a:spLocks noChangeArrowheads="1"/>
          </xdr:cNvSpPr>
        </xdr:nvSpPr>
        <xdr:spPr bwMode="auto">
          <a:xfrm>
            <a:off x="7854" y="6594"/>
            <a:ext cx="402" cy="459"/>
          </a:xfrm>
          <a:custGeom>
            <a:avLst/>
            <a:gdLst>
              <a:gd name="T0" fmla="*/ 1 w 710"/>
              <a:gd name="T1" fmla="*/ 1 h 812"/>
              <a:gd name="T2" fmla="*/ 1 w 710"/>
              <a:gd name="T3" fmla="*/ 1 h 812"/>
              <a:gd name="T4" fmla="*/ 1 w 710"/>
              <a:gd name="T5" fmla="*/ 1 h 812"/>
              <a:gd name="T6" fmla="*/ 1 w 710"/>
              <a:gd name="T7" fmla="*/ 1 h 812"/>
              <a:gd name="T8" fmla="*/ 1 w 710"/>
              <a:gd name="T9" fmla="*/ 1 h 812"/>
              <a:gd name="T10" fmla="*/ 1 w 710"/>
              <a:gd name="T11" fmla="*/ 1 h 812"/>
              <a:gd name="T12" fmla="*/ 1 w 710"/>
              <a:gd name="T13" fmla="*/ 1 h 812"/>
              <a:gd name="T14" fmla="*/ 1 w 710"/>
              <a:gd name="T15" fmla="*/ 1 h 812"/>
              <a:gd name="T16" fmla="*/ 1 w 710"/>
              <a:gd name="T17" fmla="*/ 1 h 812"/>
              <a:gd name="T18" fmla="*/ 1 w 710"/>
              <a:gd name="T19" fmla="*/ 1 h 812"/>
              <a:gd name="T20" fmla="*/ 1 w 710"/>
              <a:gd name="T21" fmla="*/ 1 h 812"/>
              <a:gd name="T22" fmla="*/ 1 w 710"/>
              <a:gd name="T23" fmla="*/ 1 h 812"/>
              <a:gd name="T24" fmla="*/ 1 w 710"/>
              <a:gd name="T25" fmla="*/ 1 h 812"/>
              <a:gd name="T26" fmla="*/ 1 w 710"/>
              <a:gd name="T27" fmla="*/ 1 h 812"/>
              <a:gd name="T28" fmla="*/ 1 w 710"/>
              <a:gd name="T29" fmla="*/ 1 h 812"/>
              <a:gd name="T30" fmla="*/ 1 w 710"/>
              <a:gd name="T31" fmla="*/ 1 h 812"/>
              <a:gd name="T32" fmla="*/ 1 w 710"/>
              <a:gd name="T33" fmla="*/ 1 h 812"/>
              <a:gd name="T34" fmla="*/ 1 w 710"/>
              <a:gd name="T35" fmla="*/ 1 h 812"/>
              <a:gd name="T36" fmla="*/ 1 w 710"/>
              <a:gd name="T37" fmla="*/ 0 h 812"/>
              <a:gd name="T38" fmla="*/ 1 w 710"/>
              <a:gd name="T39" fmla="*/ 1 h 812"/>
              <a:gd name="T40" fmla="*/ 1 w 710"/>
              <a:gd name="T41" fmla="*/ 1 h 812"/>
              <a:gd name="T42" fmla="*/ 1 w 710"/>
              <a:gd name="T43" fmla="*/ 1 h 812"/>
              <a:gd name="T44" fmla="*/ 1 w 710"/>
              <a:gd name="T45" fmla="*/ 1 h 812"/>
              <a:gd name="T46" fmla="*/ 1 w 710"/>
              <a:gd name="T47" fmla="*/ 1 h 812"/>
              <a:gd name="T48" fmla="*/ 1 w 710"/>
              <a:gd name="T49" fmla="*/ 1 h 812"/>
              <a:gd name="T50" fmla="*/ 1 w 710"/>
              <a:gd name="T51" fmla="*/ 1 h 812"/>
              <a:gd name="T52" fmla="*/ 1 w 710"/>
              <a:gd name="T53" fmla="*/ 1 h 812"/>
              <a:gd name="T54" fmla="*/ 1 w 710"/>
              <a:gd name="T55" fmla="*/ 1 h 812"/>
              <a:gd name="T56" fmla="*/ 1 w 710"/>
              <a:gd name="T57" fmla="*/ 1 h 812"/>
              <a:gd name="T58" fmla="*/ 1 w 710"/>
              <a:gd name="T59" fmla="*/ 1 h 812"/>
              <a:gd name="T60" fmla="*/ 1 w 710"/>
              <a:gd name="T61" fmla="*/ 1 h 812"/>
              <a:gd name="T62" fmla="*/ 1 w 710"/>
              <a:gd name="T63" fmla="*/ 1 h 812"/>
              <a:gd name="T64" fmla="*/ 0 w 710"/>
              <a:gd name="T65" fmla="*/ 1 h 812"/>
              <a:gd name="T66" fmla="*/ 1 w 710"/>
              <a:gd name="T67" fmla="*/ 1 h 812"/>
              <a:gd name="T68" fmla="*/ 1 w 710"/>
              <a:gd name="T69" fmla="*/ 1 h 812"/>
              <a:gd name="T70" fmla="*/ 1 w 710"/>
              <a:gd name="T71" fmla="*/ 1 h 812"/>
              <a:gd name="T72" fmla="*/ 1 w 710"/>
              <a:gd name="T73" fmla="*/ 1 h 812"/>
              <a:gd name="T74" fmla="*/ 1 w 710"/>
              <a:gd name="T75" fmla="*/ 1 h 812"/>
              <a:gd name="T76" fmla="*/ 0 w 710"/>
              <a:gd name="T77" fmla="*/ 1 h 812"/>
              <a:gd name="T78" fmla="*/ 1 w 710"/>
              <a:gd name="T79" fmla="*/ 0 h 81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710"/>
              <a:gd name="T121" fmla="*/ 0 h 812"/>
              <a:gd name="T122" fmla="*/ 710 w 710"/>
              <a:gd name="T123" fmla="*/ 812 h 81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710" h="812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735"/>
                </a:move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lnTo>
                  <a:pt x="246" y="735"/>
                </a:lnTo>
                <a:close/>
                <a:moveTo>
                  <a:pt x="9" y="0"/>
                </a:move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  <a:close/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Freeform 47"/>
          <xdr:cNvSpPr>
            <a:spLocks noChangeArrowheads="1"/>
          </xdr:cNvSpPr>
        </xdr:nvSpPr>
        <xdr:spPr bwMode="auto">
          <a:xfrm>
            <a:off x="8311" y="6594"/>
            <a:ext cx="399" cy="459"/>
          </a:xfrm>
          <a:custGeom>
            <a:avLst/>
            <a:gdLst>
              <a:gd name="T0" fmla="*/ 1 w 705"/>
              <a:gd name="T1" fmla="*/ 0 h 812"/>
              <a:gd name="T2" fmla="*/ 1 w 705"/>
              <a:gd name="T3" fmla="*/ 0 h 812"/>
              <a:gd name="T4" fmla="*/ 1 w 705"/>
              <a:gd name="T5" fmla="*/ 1 h 812"/>
              <a:gd name="T6" fmla="*/ 1 w 705"/>
              <a:gd name="T7" fmla="*/ 1 h 812"/>
              <a:gd name="T8" fmla="*/ 1 w 705"/>
              <a:gd name="T9" fmla="*/ 1 h 812"/>
              <a:gd name="T10" fmla="*/ 1 w 705"/>
              <a:gd name="T11" fmla="*/ 1 h 812"/>
              <a:gd name="T12" fmla="*/ 1 w 705"/>
              <a:gd name="T13" fmla="*/ 1 h 812"/>
              <a:gd name="T14" fmla="*/ 1 w 705"/>
              <a:gd name="T15" fmla="*/ 1 h 812"/>
              <a:gd name="T16" fmla="*/ 1 w 705"/>
              <a:gd name="T17" fmla="*/ 1 h 812"/>
              <a:gd name="T18" fmla="*/ 1 w 705"/>
              <a:gd name="T19" fmla="*/ 1 h 812"/>
              <a:gd name="T20" fmla="*/ 1 w 705"/>
              <a:gd name="T21" fmla="*/ 1 h 812"/>
              <a:gd name="T22" fmla="*/ 1 w 705"/>
              <a:gd name="T23" fmla="*/ 1 h 812"/>
              <a:gd name="T24" fmla="*/ 1 w 705"/>
              <a:gd name="T25" fmla="*/ 1 h 812"/>
              <a:gd name="T26" fmla="*/ 1 w 705"/>
              <a:gd name="T27" fmla="*/ 1 h 812"/>
              <a:gd name="T28" fmla="*/ 1 w 705"/>
              <a:gd name="T29" fmla="*/ 1 h 812"/>
              <a:gd name="T30" fmla="*/ 1 w 705"/>
              <a:gd name="T31" fmla="*/ 1 h 812"/>
              <a:gd name="T32" fmla="*/ 1 w 705"/>
              <a:gd name="T33" fmla="*/ 1 h 812"/>
              <a:gd name="T34" fmla="*/ 1 w 705"/>
              <a:gd name="T35" fmla="*/ 1 h 812"/>
              <a:gd name="T36" fmla="*/ 1 w 705"/>
              <a:gd name="T37" fmla="*/ 1 h 812"/>
              <a:gd name="T38" fmla="*/ 1 w 705"/>
              <a:gd name="T39" fmla="*/ 1 h 812"/>
              <a:gd name="T40" fmla="*/ 1 w 705"/>
              <a:gd name="T41" fmla="*/ 1 h 812"/>
              <a:gd name="T42" fmla="*/ 1 w 705"/>
              <a:gd name="T43" fmla="*/ 1 h 812"/>
              <a:gd name="T44" fmla="*/ 1 w 705"/>
              <a:gd name="T45" fmla="*/ 1 h 812"/>
              <a:gd name="T46" fmla="*/ 1 w 705"/>
              <a:gd name="T47" fmla="*/ 1 h 812"/>
              <a:gd name="T48" fmla="*/ 1 w 705"/>
              <a:gd name="T49" fmla="*/ 1 h 812"/>
              <a:gd name="T50" fmla="*/ 1 w 705"/>
              <a:gd name="T51" fmla="*/ 1 h 812"/>
              <a:gd name="T52" fmla="*/ 1 w 705"/>
              <a:gd name="T53" fmla="*/ 1 h 812"/>
              <a:gd name="T54" fmla="*/ 1 w 705"/>
              <a:gd name="T55" fmla="*/ 1 h 812"/>
              <a:gd name="T56" fmla="*/ 1 w 705"/>
              <a:gd name="T57" fmla="*/ 1 h 812"/>
              <a:gd name="T58" fmla="*/ 0 w 705"/>
              <a:gd name="T59" fmla="*/ 1 h 812"/>
              <a:gd name="T60" fmla="*/ 0 w 705"/>
              <a:gd name="T61" fmla="*/ 1 h 812"/>
              <a:gd name="T62" fmla="*/ 1 w 705"/>
              <a:gd name="T63" fmla="*/ 1 h 812"/>
              <a:gd name="T64" fmla="*/ 1 w 705"/>
              <a:gd name="T65" fmla="*/ 1 h 812"/>
              <a:gd name="T66" fmla="*/ 1 w 705"/>
              <a:gd name="T67" fmla="*/ 1 h 812"/>
              <a:gd name="T68" fmla="*/ 1 w 705"/>
              <a:gd name="T69" fmla="*/ 1 h 812"/>
              <a:gd name="T70" fmla="*/ 1 w 705"/>
              <a:gd name="T71" fmla="*/ 1 h 812"/>
              <a:gd name="T72" fmla="*/ 1 w 705"/>
              <a:gd name="T73" fmla="*/ 1 h 812"/>
              <a:gd name="T74" fmla="*/ 1 w 705"/>
              <a:gd name="T75" fmla="*/ 1 h 812"/>
              <a:gd name="T76" fmla="*/ 1 w 705"/>
              <a:gd name="T77" fmla="*/ 1 h 812"/>
              <a:gd name="T78" fmla="*/ 1 w 705"/>
              <a:gd name="T79" fmla="*/ 1 h 812"/>
              <a:gd name="T80" fmla="*/ 1 w 705"/>
              <a:gd name="T81" fmla="*/ 1 h 812"/>
              <a:gd name="T82" fmla="*/ 0 w 705"/>
              <a:gd name="T83" fmla="*/ 1 h 812"/>
              <a:gd name="T84" fmla="*/ 0 w 705"/>
              <a:gd name="T85" fmla="*/ 1 h 812"/>
              <a:gd name="T86" fmla="*/ 1 w 705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705"/>
              <a:gd name="T133" fmla="*/ 0 h 812"/>
              <a:gd name="T134" fmla="*/ 705 w 705"/>
              <a:gd name="T135" fmla="*/ 812 h 81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705" h="812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Freeform 48"/>
          <xdr:cNvSpPr>
            <a:spLocks noChangeArrowheads="1"/>
          </xdr:cNvSpPr>
        </xdr:nvSpPr>
        <xdr:spPr bwMode="auto">
          <a:xfrm>
            <a:off x="8727" y="6594"/>
            <a:ext cx="400" cy="459"/>
          </a:xfrm>
          <a:custGeom>
            <a:avLst/>
            <a:gdLst>
              <a:gd name="T0" fmla="*/ 1 w 708"/>
              <a:gd name="T1" fmla="*/ 0 h 812"/>
              <a:gd name="T2" fmla="*/ 1 w 708"/>
              <a:gd name="T3" fmla="*/ 1 h 812"/>
              <a:gd name="T4" fmla="*/ 1 w 708"/>
              <a:gd name="T5" fmla="*/ 1 h 812"/>
              <a:gd name="T6" fmla="*/ 1 w 708"/>
              <a:gd name="T7" fmla="*/ 1 h 812"/>
              <a:gd name="T8" fmla="*/ 1 w 708"/>
              <a:gd name="T9" fmla="*/ 1 h 812"/>
              <a:gd name="T10" fmla="*/ 1 w 708"/>
              <a:gd name="T11" fmla="*/ 1 h 812"/>
              <a:gd name="T12" fmla="*/ 1 w 708"/>
              <a:gd name="T13" fmla="*/ 1 h 812"/>
              <a:gd name="T14" fmla="*/ 1 w 708"/>
              <a:gd name="T15" fmla="*/ 1 h 812"/>
              <a:gd name="T16" fmla="*/ 1 w 708"/>
              <a:gd name="T17" fmla="*/ 1 h 812"/>
              <a:gd name="T18" fmla="*/ 1 w 708"/>
              <a:gd name="T19" fmla="*/ 1 h 812"/>
              <a:gd name="T20" fmla="*/ 1 w 708"/>
              <a:gd name="T21" fmla="*/ 1 h 812"/>
              <a:gd name="T22" fmla="*/ 1 w 708"/>
              <a:gd name="T23" fmla="*/ 1 h 812"/>
              <a:gd name="T24" fmla="*/ 1 w 708"/>
              <a:gd name="T25" fmla="*/ 1 h 812"/>
              <a:gd name="T26" fmla="*/ 1 w 708"/>
              <a:gd name="T27" fmla="*/ 1 h 812"/>
              <a:gd name="T28" fmla="*/ 1 w 708"/>
              <a:gd name="T29" fmla="*/ 1 h 812"/>
              <a:gd name="T30" fmla="*/ 1 w 708"/>
              <a:gd name="T31" fmla="*/ 1 h 812"/>
              <a:gd name="T32" fmla="*/ 1 w 708"/>
              <a:gd name="T33" fmla="*/ 1 h 812"/>
              <a:gd name="T34" fmla="*/ 1 w 708"/>
              <a:gd name="T35" fmla="*/ 1 h 812"/>
              <a:gd name="T36" fmla="*/ 1 w 708"/>
              <a:gd name="T37" fmla="*/ 1 h 812"/>
              <a:gd name="T38" fmla="*/ 1 w 708"/>
              <a:gd name="T39" fmla="*/ 1 h 812"/>
              <a:gd name="T40" fmla="*/ 1 w 708"/>
              <a:gd name="T41" fmla="*/ 1 h 812"/>
              <a:gd name="T42" fmla="*/ 1 w 708"/>
              <a:gd name="T43" fmla="*/ 1 h 812"/>
              <a:gd name="T44" fmla="*/ 1 w 708"/>
              <a:gd name="T45" fmla="*/ 1 h 812"/>
              <a:gd name="T46" fmla="*/ 1 w 708"/>
              <a:gd name="T47" fmla="*/ 1 h 812"/>
              <a:gd name="T48" fmla="*/ 1 w 708"/>
              <a:gd name="T49" fmla="*/ 1 h 812"/>
              <a:gd name="T50" fmla="*/ 0 w 708"/>
              <a:gd name="T51" fmla="*/ 1 h 812"/>
              <a:gd name="T52" fmla="*/ 1 w 708"/>
              <a:gd name="T53" fmla="*/ 1 h 812"/>
              <a:gd name="T54" fmla="*/ 1 w 708"/>
              <a:gd name="T55" fmla="*/ 1 h 812"/>
              <a:gd name="T56" fmla="*/ 1 w 708"/>
              <a:gd name="T57" fmla="*/ 1 h 812"/>
              <a:gd name="T58" fmla="*/ 1 w 708"/>
              <a:gd name="T59" fmla="*/ 1 h 812"/>
              <a:gd name="T60" fmla="*/ 1 w 708"/>
              <a:gd name="T61" fmla="*/ 1 h 812"/>
              <a:gd name="T62" fmla="*/ 0 w 708"/>
              <a:gd name="T63" fmla="*/ 1 h 812"/>
              <a:gd name="T64" fmla="*/ 1 w 708"/>
              <a:gd name="T65" fmla="*/ 0 h 812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708"/>
              <a:gd name="T100" fmla="*/ 0 h 812"/>
              <a:gd name="T101" fmla="*/ 708 w 708"/>
              <a:gd name="T102" fmla="*/ 812 h 812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708" h="812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885825</xdr:colOff>
      <xdr:row>4</xdr:row>
      <xdr:rowOff>102744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61925"/>
          <a:ext cx="885825" cy="931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Gloria%20Flecha/GAS%20CORONA%20CNV/Gas%20Corona/Comisi&#243;n%20Nacional%20de%20Valores/2019/INFORME%2031%2003%202019/3.%20Anexos%20ABCDEFGH%20AL%2031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Anexo I"/>
      <sheetName val="Anexo J"/>
      <sheetName val="Personas Vinculadas"/>
    </sheetNames>
    <sheetDataSet>
      <sheetData sheetId="0"/>
      <sheetData sheetId="1"/>
      <sheetData sheetId="2">
        <row r="3">
          <cell r="A3" t="str">
            <v>BALANCE GENERAL</v>
          </cell>
        </row>
        <row r="40">
          <cell r="A40" t="str">
            <v xml:space="preserve">Sra. Luisa I. Schaerer de Pallarés </v>
          </cell>
          <cell r="C40" t="str">
            <v xml:space="preserve">Lic. María Celeste Pallarés Viveros </v>
          </cell>
          <cell r="G40" t="str">
            <v>Dr. Raul Fernando Vargas</v>
          </cell>
        </row>
      </sheetData>
      <sheetData sheetId="3">
        <row r="4">
          <cell r="A4" t="str">
            <v>BALANCE GENERAL</v>
          </cell>
        </row>
      </sheetData>
      <sheetData sheetId="4">
        <row r="4">
          <cell r="A4" t="str">
            <v>BALANCE GENERAL</v>
          </cell>
        </row>
        <row r="43">
          <cell r="B43" t="str">
            <v>Dr. Raul Fernando Vargas</v>
          </cell>
        </row>
      </sheetData>
      <sheetData sheetId="5">
        <row r="4">
          <cell r="A4" t="str">
            <v>BALANCE GENERAL</v>
          </cell>
        </row>
        <row r="56">
          <cell r="A56" t="str">
            <v>Dr. Raul Fernando Vargas</v>
          </cell>
        </row>
      </sheetData>
      <sheetData sheetId="6">
        <row r="3">
          <cell r="A3" t="str">
            <v>BALANCE GENERAL</v>
          </cell>
        </row>
        <row r="65">
          <cell r="A65" t="str">
            <v>Dr. Raul Fernando Vargas</v>
          </cell>
        </row>
      </sheetData>
      <sheetData sheetId="7"/>
      <sheetData sheetId="8">
        <row r="46">
          <cell r="B46" t="str">
            <v>Dr. Raul Fernando Vargas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0"/>
  <sheetViews>
    <sheetView showGridLines="0" tabSelected="1" zoomScaleNormal="100" workbookViewId="0">
      <selection activeCell="A37" sqref="A37"/>
    </sheetView>
  </sheetViews>
  <sheetFormatPr baseColWidth="10" defaultRowHeight="15"/>
  <sheetData>
    <row r="6" spans="1:3" ht="16.5">
      <c r="C6" s="775" t="s">
        <v>1075</v>
      </c>
    </row>
    <row r="8" spans="1:3">
      <c r="A8" s="264" t="s">
        <v>1076</v>
      </c>
    </row>
    <row r="9" spans="1:3">
      <c r="A9" s="264" t="s">
        <v>1017</v>
      </c>
    </row>
    <row r="10" spans="1:3">
      <c r="A10" s="264" t="s">
        <v>1018</v>
      </c>
    </row>
    <row r="11" spans="1:3">
      <c r="A11" s="264" t="s">
        <v>1019</v>
      </c>
    </row>
    <row r="12" spans="1:3">
      <c r="A12" s="264" t="s">
        <v>1020</v>
      </c>
    </row>
    <row r="13" spans="1:3">
      <c r="A13" s="266" t="s">
        <v>1021</v>
      </c>
    </row>
    <row r="15" spans="1:3">
      <c r="C15" s="776" t="s">
        <v>1022</v>
      </c>
    </row>
    <row r="16" spans="1:3" ht="16.5">
      <c r="A16" s="226" t="s">
        <v>1023</v>
      </c>
    </row>
    <row r="18" spans="1:3" ht="16.5">
      <c r="A18" s="150" t="s">
        <v>1064</v>
      </c>
    </row>
    <row r="19" spans="1:3" ht="16.5">
      <c r="A19" s="226" t="s">
        <v>1077</v>
      </c>
    </row>
    <row r="21" spans="1:3">
      <c r="C21" s="776" t="s">
        <v>1024</v>
      </c>
    </row>
    <row r="23" spans="1:3" ht="16.5">
      <c r="A23" s="150" t="s">
        <v>1026</v>
      </c>
    </row>
    <row r="24" spans="1:3" ht="16.5">
      <c r="A24" s="226" t="s">
        <v>1025</v>
      </c>
    </row>
    <row r="26" spans="1:3" ht="16.5">
      <c r="A26" s="150" t="s">
        <v>1027</v>
      </c>
    </row>
    <row r="27" spans="1:3" ht="16.5">
      <c r="A27" s="150" t="s">
        <v>1065</v>
      </c>
    </row>
    <row r="28" spans="1:3" ht="16.5">
      <c r="A28" s="150" t="s">
        <v>1078</v>
      </c>
    </row>
    <row r="29" spans="1:3" ht="16.5">
      <c r="A29" s="226" t="s">
        <v>1028</v>
      </c>
    </row>
    <row r="31" spans="1:3" ht="16.5">
      <c r="A31" s="150" t="s">
        <v>1029</v>
      </c>
    </row>
    <row r="32" spans="1:3" ht="16.5">
      <c r="A32" s="150" t="s">
        <v>1030</v>
      </c>
    </row>
    <row r="33" spans="1:6" ht="16.5">
      <c r="A33" s="150" t="s">
        <v>1031</v>
      </c>
    </row>
    <row r="34" spans="1:6" ht="16.5">
      <c r="A34" s="150" t="s">
        <v>1032</v>
      </c>
    </row>
    <row r="36" spans="1:6" ht="16.5">
      <c r="A36" s="226" t="s">
        <v>1079</v>
      </c>
    </row>
    <row r="42" spans="1:6" ht="16.5">
      <c r="A42" s="777" t="s">
        <v>720</v>
      </c>
      <c r="C42" s="777"/>
      <c r="D42" s="777" t="s">
        <v>1033</v>
      </c>
    </row>
    <row r="43" spans="1:6" ht="16.5">
      <c r="A43" s="777" t="s">
        <v>607</v>
      </c>
      <c r="E43" s="777" t="s">
        <v>996</v>
      </c>
      <c r="F43" s="777"/>
    </row>
    <row r="49" spans="3:4" ht="16.5">
      <c r="C49" s="778" t="s">
        <v>1034</v>
      </c>
    </row>
    <row r="50" spans="3:4" ht="16.5">
      <c r="D50" s="226" t="s">
        <v>697</v>
      </c>
    </row>
  </sheetData>
  <pageMargins left="0.7" right="0.7" top="0.75" bottom="0.75" header="0.3" footer="0.3"/>
  <pageSetup paperSize="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showGridLines="0" topLeftCell="A23" workbookViewId="0">
      <selection activeCell="D38" sqref="D38"/>
    </sheetView>
  </sheetViews>
  <sheetFormatPr baseColWidth="10" defaultRowHeight="12.75"/>
  <cols>
    <col min="1" max="1" width="20.42578125" style="491" customWidth="1"/>
    <col min="2" max="2" width="14.5703125" style="491" customWidth="1"/>
    <col min="3" max="3" width="13.28515625" style="491" customWidth="1"/>
    <col min="4" max="4" width="14.7109375" style="491" customWidth="1"/>
    <col min="5" max="5" width="13.85546875" style="491" customWidth="1"/>
    <col min="6" max="6" width="14.140625" style="491" customWidth="1"/>
    <col min="7" max="7" width="15.7109375" style="491" customWidth="1"/>
    <col min="8" max="9" width="11.42578125" style="491"/>
    <col min="10" max="10" width="12" style="491" bestFit="1" customWidth="1"/>
    <col min="11" max="256" width="11.42578125" style="491"/>
    <col min="257" max="257" width="20.42578125" style="491" customWidth="1"/>
    <col min="258" max="258" width="14.5703125" style="491" customWidth="1"/>
    <col min="259" max="259" width="13.28515625" style="491" customWidth="1"/>
    <col min="260" max="260" width="14.7109375" style="491" customWidth="1"/>
    <col min="261" max="261" width="13.85546875" style="491" customWidth="1"/>
    <col min="262" max="262" width="14.140625" style="491" customWidth="1"/>
    <col min="263" max="263" width="15.7109375" style="491" customWidth="1"/>
    <col min="264" max="265" width="11.42578125" style="491"/>
    <col min="266" max="266" width="12" style="491" bestFit="1" customWidth="1"/>
    <col min="267" max="512" width="11.42578125" style="491"/>
    <col min="513" max="513" width="20.42578125" style="491" customWidth="1"/>
    <col min="514" max="514" width="14.5703125" style="491" customWidth="1"/>
    <col min="515" max="515" width="13.28515625" style="491" customWidth="1"/>
    <col min="516" max="516" width="14.7109375" style="491" customWidth="1"/>
    <col min="517" max="517" width="13.85546875" style="491" customWidth="1"/>
    <col min="518" max="518" width="14.140625" style="491" customWidth="1"/>
    <col min="519" max="519" width="15.7109375" style="491" customWidth="1"/>
    <col min="520" max="521" width="11.42578125" style="491"/>
    <col min="522" max="522" width="12" style="491" bestFit="1" customWidth="1"/>
    <col min="523" max="768" width="11.42578125" style="491"/>
    <col min="769" max="769" width="20.42578125" style="491" customWidth="1"/>
    <col min="770" max="770" width="14.5703125" style="491" customWidth="1"/>
    <col min="771" max="771" width="13.28515625" style="491" customWidth="1"/>
    <col min="772" max="772" width="14.7109375" style="491" customWidth="1"/>
    <col min="773" max="773" width="13.85546875" style="491" customWidth="1"/>
    <col min="774" max="774" width="14.140625" style="491" customWidth="1"/>
    <col min="775" max="775" width="15.7109375" style="491" customWidth="1"/>
    <col min="776" max="777" width="11.42578125" style="491"/>
    <col min="778" max="778" width="12" style="491" bestFit="1" customWidth="1"/>
    <col min="779" max="1024" width="11.42578125" style="491"/>
    <col min="1025" max="1025" width="20.42578125" style="491" customWidth="1"/>
    <col min="1026" max="1026" width="14.5703125" style="491" customWidth="1"/>
    <col min="1027" max="1027" width="13.28515625" style="491" customWidth="1"/>
    <col min="1028" max="1028" width="14.7109375" style="491" customWidth="1"/>
    <col min="1029" max="1029" width="13.85546875" style="491" customWidth="1"/>
    <col min="1030" max="1030" width="14.140625" style="491" customWidth="1"/>
    <col min="1031" max="1031" width="15.7109375" style="491" customWidth="1"/>
    <col min="1032" max="1033" width="11.42578125" style="491"/>
    <col min="1034" max="1034" width="12" style="491" bestFit="1" customWidth="1"/>
    <col min="1035" max="1280" width="11.42578125" style="491"/>
    <col min="1281" max="1281" width="20.42578125" style="491" customWidth="1"/>
    <col min="1282" max="1282" width="14.5703125" style="491" customWidth="1"/>
    <col min="1283" max="1283" width="13.28515625" style="491" customWidth="1"/>
    <col min="1284" max="1284" width="14.7109375" style="491" customWidth="1"/>
    <col min="1285" max="1285" width="13.85546875" style="491" customWidth="1"/>
    <col min="1286" max="1286" width="14.140625" style="491" customWidth="1"/>
    <col min="1287" max="1287" width="15.7109375" style="491" customWidth="1"/>
    <col min="1288" max="1289" width="11.42578125" style="491"/>
    <col min="1290" max="1290" width="12" style="491" bestFit="1" customWidth="1"/>
    <col min="1291" max="1536" width="11.42578125" style="491"/>
    <col min="1537" max="1537" width="20.42578125" style="491" customWidth="1"/>
    <col min="1538" max="1538" width="14.5703125" style="491" customWidth="1"/>
    <col min="1539" max="1539" width="13.28515625" style="491" customWidth="1"/>
    <col min="1540" max="1540" width="14.7109375" style="491" customWidth="1"/>
    <col min="1541" max="1541" width="13.85546875" style="491" customWidth="1"/>
    <col min="1542" max="1542" width="14.140625" style="491" customWidth="1"/>
    <col min="1543" max="1543" width="15.7109375" style="491" customWidth="1"/>
    <col min="1544" max="1545" width="11.42578125" style="491"/>
    <col min="1546" max="1546" width="12" style="491" bestFit="1" customWidth="1"/>
    <col min="1547" max="1792" width="11.42578125" style="491"/>
    <col min="1793" max="1793" width="20.42578125" style="491" customWidth="1"/>
    <col min="1794" max="1794" width="14.5703125" style="491" customWidth="1"/>
    <col min="1795" max="1795" width="13.28515625" style="491" customWidth="1"/>
    <col min="1796" max="1796" width="14.7109375" style="491" customWidth="1"/>
    <col min="1797" max="1797" width="13.85546875" style="491" customWidth="1"/>
    <col min="1798" max="1798" width="14.140625" style="491" customWidth="1"/>
    <col min="1799" max="1799" width="15.7109375" style="491" customWidth="1"/>
    <col min="1800" max="1801" width="11.42578125" style="491"/>
    <col min="1802" max="1802" width="12" style="491" bestFit="1" customWidth="1"/>
    <col min="1803" max="2048" width="11.42578125" style="491"/>
    <col min="2049" max="2049" width="20.42578125" style="491" customWidth="1"/>
    <col min="2050" max="2050" width="14.5703125" style="491" customWidth="1"/>
    <col min="2051" max="2051" width="13.28515625" style="491" customWidth="1"/>
    <col min="2052" max="2052" width="14.7109375" style="491" customWidth="1"/>
    <col min="2053" max="2053" width="13.85546875" style="491" customWidth="1"/>
    <col min="2054" max="2054" width="14.140625" style="491" customWidth="1"/>
    <col min="2055" max="2055" width="15.7109375" style="491" customWidth="1"/>
    <col min="2056" max="2057" width="11.42578125" style="491"/>
    <col min="2058" max="2058" width="12" style="491" bestFit="1" customWidth="1"/>
    <col min="2059" max="2304" width="11.42578125" style="491"/>
    <col min="2305" max="2305" width="20.42578125" style="491" customWidth="1"/>
    <col min="2306" max="2306" width="14.5703125" style="491" customWidth="1"/>
    <col min="2307" max="2307" width="13.28515625" style="491" customWidth="1"/>
    <col min="2308" max="2308" width="14.7109375" style="491" customWidth="1"/>
    <col min="2309" max="2309" width="13.85546875" style="491" customWidth="1"/>
    <col min="2310" max="2310" width="14.140625" style="491" customWidth="1"/>
    <col min="2311" max="2311" width="15.7109375" style="491" customWidth="1"/>
    <col min="2312" max="2313" width="11.42578125" style="491"/>
    <col min="2314" max="2314" width="12" style="491" bestFit="1" customWidth="1"/>
    <col min="2315" max="2560" width="11.42578125" style="491"/>
    <col min="2561" max="2561" width="20.42578125" style="491" customWidth="1"/>
    <col min="2562" max="2562" width="14.5703125" style="491" customWidth="1"/>
    <col min="2563" max="2563" width="13.28515625" style="491" customWidth="1"/>
    <col min="2564" max="2564" width="14.7109375" style="491" customWidth="1"/>
    <col min="2565" max="2565" width="13.85546875" style="491" customWidth="1"/>
    <col min="2566" max="2566" width="14.140625" style="491" customWidth="1"/>
    <col min="2567" max="2567" width="15.7109375" style="491" customWidth="1"/>
    <col min="2568" max="2569" width="11.42578125" style="491"/>
    <col min="2570" max="2570" width="12" style="491" bestFit="1" customWidth="1"/>
    <col min="2571" max="2816" width="11.42578125" style="491"/>
    <col min="2817" max="2817" width="20.42578125" style="491" customWidth="1"/>
    <col min="2818" max="2818" width="14.5703125" style="491" customWidth="1"/>
    <col min="2819" max="2819" width="13.28515625" style="491" customWidth="1"/>
    <col min="2820" max="2820" width="14.7109375" style="491" customWidth="1"/>
    <col min="2821" max="2821" width="13.85546875" style="491" customWidth="1"/>
    <col min="2822" max="2822" width="14.140625" style="491" customWidth="1"/>
    <col min="2823" max="2823" width="15.7109375" style="491" customWidth="1"/>
    <col min="2824" max="2825" width="11.42578125" style="491"/>
    <col min="2826" max="2826" width="12" style="491" bestFit="1" customWidth="1"/>
    <col min="2827" max="3072" width="11.42578125" style="491"/>
    <col min="3073" max="3073" width="20.42578125" style="491" customWidth="1"/>
    <col min="3074" max="3074" width="14.5703125" style="491" customWidth="1"/>
    <col min="3075" max="3075" width="13.28515625" style="491" customWidth="1"/>
    <col min="3076" max="3076" width="14.7109375" style="491" customWidth="1"/>
    <col min="3077" max="3077" width="13.85546875" style="491" customWidth="1"/>
    <col min="3078" max="3078" width="14.140625" style="491" customWidth="1"/>
    <col min="3079" max="3079" width="15.7109375" style="491" customWidth="1"/>
    <col min="3080" max="3081" width="11.42578125" style="491"/>
    <col min="3082" max="3082" width="12" style="491" bestFit="1" customWidth="1"/>
    <col min="3083" max="3328" width="11.42578125" style="491"/>
    <col min="3329" max="3329" width="20.42578125" style="491" customWidth="1"/>
    <col min="3330" max="3330" width="14.5703125" style="491" customWidth="1"/>
    <col min="3331" max="3331" width="13.28515625" style="491" customWidth="1"/>
    <col min="3332" max="3332" width="14.7109375" style="491" customWidth="1"/>
    <col min="3333" max="3333" width="13.85546875" style="491" customWidth="1"/>
    <col min="3334" max="3334" width="14.140625" style="491" customWidth="1"/>
    <col min="3335" max="3335" width="15.7109375" style="491" customWidth="1"/>
    <col min="3336" max="3337" width="11.42578125" style="491"/>
    <col min="3338" max="3338" width="12" style="491" bestFit="1" customWidth="1"/>
    <col min="3339" max="3584" width="11.42578125" style="491"/>
    <col min="3585" max="3585" width="20.42578125" style="491" customWidth="1"/>
    <col min="3586" max="3586" width="14.5703125" style="491" customWidth="1"/>
    <col min="3587" max="3587" width="13.28515625" style="491" customWidth="1"/>
    <col min="3588" max="3588" width="14.7109375" style="491" customWidth="1"/>
    <col min="3589" max="3589" width="13.85546875" style="491" customWidth="1"/>
    <col min="3590" max="3590" width="14.140625" style="491" customWidth="1"/>
    <col min="3591" max="3591" width="15.7109375" style="491" customWidth="1"/>
    <col min="3592" max="3593" width="11.42578125" style="491"/>
    <col min="3594" max="3594" width="12" style="491" bestFit="1" customWidth="1"/>
    <col min="3595" max="3840" width="11.42578125" style="491"/>
    <col min="3841" max="3841" width="20.42578125" style="491" customWidth="1"/>
    <col min="3842" max="3842" width="14.5703125" style="491" customWidth="1"/>
    <col min="3843" max="3843" width="13.28515625" style="491" customWidth="1"/>
    <col min="3844" max="3844" width="14.7109375" style="491" customWidth="1"/>
    <col min="3845" max="3845" width="13.85546875" style="491" customWidth="1"/>
    <col min="3846" max="3846" width="14.140625" style="491" customWidth="1"/>
    <col min="3847" max="3847" width="15.7109375" style="491" customWidth="1"/>
    <col min="3848" max="3849" width="11.42578125" style="491"/>
    <col min="3850" max="3850" width="12" style="491" bestFit="1" customWidth="1"/>
    <col min="3851" max="4096" width="11.42578125" style="491"/>
    <col min="4097" max="4097" width="20.42578125" style="491" customWidth="1"/>
    <col min="4098" max="4098" width="14.5703125" style="491" customWidth="1"/>
    <col min="4099" max="4099" width="13.28515625" style="491" customWidth="1"/>
    <col min="4100" max="4100" width="14.7109375" style="491" customWidth="1"/>
    <col min="4101" max="4101" width="13.85546875" style="491" customWidth="1"/>
    <col min="4102" max="4102" width="14.140625" style="491" customWidth="1"/>
    <col min="4103" max="4103" width="15.7109375" style="491" customWidth="1"/>
    <col min="4104" max="4105" width="11.42578125" style="491"/>
    <col min="4106" max="4106" width="12" style="491" bestFit="1" customWidth="1"/>
    <col min="4107" max="4352" width="11.42578125" style="491"/>
    <col min="4353" max="4353" width="20.42578125" style="491" customWidth="1"/>
    <col min="4354" max="4354" width="14.5703125" style="491" customWidth="1"/>
    <col min="4355" max="4355" width="13.28515625" style="491" customWidth="1"/>
    <col min="4356" max="4356" width="14.7109375" style="491" customWidth="1"/>
    <col min="4357" max="4357" width="13.85546875" style="491" customWidth="1"/>
    <col min="4358" max="4358" width="14.140625" style="491" customWidth="1"/>
    <col min="4359" max="4359" width="15.7109375" style="491" customWidth="1"/>
    <col min="4360" max="4361" width="11.42578125" style="491"/>
    <col min="4362" max="4362" width="12" style="491" bestFit="1" customWidth="1"/>
    <col min="4363" max="4608" width="11.42578125" style="491"/>
    <col min="4609" max="4609" width="20.42578125" style="491" customWidth="1"/>
    <col min="4610" max="4610" width="14.5703125" style="491" customWidth="1"/>
    <col min="4611" max="4611" width="13.28515625" style="491" customWidth="1"/>
    <col min="4612" max="4612" width="14.7109375" style="491" customWidth="1"/>
    <col min="4613" max="4613" width="13.85546875" style="491" customWidth="1"/>
    <col min="4614" max="4614" width="14.140625" style="491" customWidth="1"/>
    <col min="4615" max="4615" width="15.7109375" style="491" customWidth="1"/>
    <col min="4616" max="4617" width="11.42578125" style="491"/>
    <col min="4618" max="4618" width="12" style="491" bestFit="1" customWidth="1"/>
    <col min="4619" max="4864" width="11.42578125" style="491"/>
    <col min="4865" max="4865" width="20.42578125" style="491" customWidth="1"/>
    <col min="4866" max="4866" width="14.5703125" style="491" customWidth="1"/>
    <col min="4867" max="4867" width="13.28515625" style="491" customWidth="1"/>
    <col min="4868" max="4868" width="14.7109375" style="491" customWidth="1"/>
    <col min="4869" max="4869" width="13.85546875" style="491" customWidth="1"/>
    <col min="4870" max="4870" width="14.140625" style="491" customWidth="1"/>
    <col min="4871" max="4871" width="15.7109375" style="491" customWidth="1"/>
    <col min="4872" max="4873" width="11.42578125" style="491"/>
    <col min="4874" max="4874" width="12" style="491" bestFit="1" customWidth="1"/>
    <col min="4875" max="5120" width="11.42578125" style="491"/>
    <col min="5121" max="5121" width="20.42578125" style="491" customWidth="1"/>
    <col min="5122" max="5122" width="14.5703125" style="491" customWidth="1"/>
    <col min="5123" max="5123" width="13.28515625" style="491" customWidth="1"/>
    <col min="5124" max="5124" width="14.7109375" style="491" customWidth="1"/>
    <col min="5125" max="5125" width="13.85546875" style="491" customWidth="1"/>
    <col min="5126" max="5126" width="14.140625" style="491" customWidth="1"/>
    <col min="5127" max="5127" width="15.7109375" style="491" customWidth="1"/>
    <col min="5128" max="5129" width="11.42578125" style="491"/>
    <col min="5130" max="5130" width="12" style="491" bestFit="1" customWidth="1"/>
    <col min="5131" max="5376" width="11.42578125" style="491"/>
    <col min="5377" max="5377" width="20.42578125" style="491" customWidth="1"/>
    <col min="5378" max="5378" width="14.5703125" style="491" customWidth="1"/>
    <col min="5379" max="5379" width="13.28515625" style="491" customWidth="1"/>
    <col min="5380" max="5380" width="14.7109375" style="491" customWidth="1"/>
    <col min="5381" max="5381" width="13.85546875" style="491" customWidth="1"/>
    <col min="5382" max="5382" width="14.140625" style="491" customWidth="1"/>
    <col min="5383" max="5383" width="15.7109375" style="491" customWidth="1"/>
    <col min="5384" max="5385" width="11.42578125" style="491"/>
    <col min="5386" max="5386" width="12" style="491" bestFit="1" customWidth="1"/>
    <col min="5387" max="5632" width="11.42578125" style="491"/>
    <col min="5633" max="5633" width="20.42578125" style="491" customWidth="1"/>
    <col min="5634" max="5634" width="14.5703125" style="491" customWidth="1"/>
    <col min="5635" max="5635" width="13.28515625" style="491" customWidth="1"/>
    <col min="5636" max="5636" width="14.7109375" style="491" customWidth="1"/>
    <col min="5637" max="5637" width="13.85546875" style="491" customWidth="1"/>
    <col min="5638" max="5638" width="14.140625" style="491" customWidth="1"/>
    <col min="5639" max="5639" width="15.7109375" style="491" customWidth="1"/>
    <col min="5640" max="5641" width="11.42578125" style="491"/>
    <col min="5642" max="5642" width="12" style="491" bestFit="1" customWidth="1"/>
    <col min="5643" max="5888" width="11.42578125" style="491"/>
    <col min="5889" max="5889" width="20.42578125" style="491" customWidth="1"/>
    <col min="5890" max="5890" width="14.5703125" style="491" customWidth="1"/>
    <col min="5891" max="5891" width="13.28515625" style="491" customWidth="1"/>
    <col min="5892" max="5892" width="14.7109375" style="491" customWidth="1"/>
    <col min="5893" max="5893" width="13.85546875" style="491" customWidth="1"/>
    <col min="5894" max="5894" width="14.140625" style="491" customWidth="1"/>
    <col min="5895" max="5895" width="15.7109375" style="491" customWidth="1"/>
    <col min="5896" max="5897" width="11.42578125" style="491"/>
    <col min="5898" max="5898" width="12" style="491" bestFit="1" customWidth="1"/>
    <col min="5899" max="6144" width="11.42578125" style="491"/>
    <col min="6145" max="6145" width="20.42578125" style="491" customWidth="1"/>
    <col min="6146" max="6146" width="14.5703125" style="491" customWidth="1"/>
    <col min="6147" max="6147" width="13.28515625" style="491" customWidth="1"/>
    <col min="6148" max="6148" width="14.7109375" style="491" customWidth="1"/>
    <col min="6149" max="6149" width="13.85546875" style="491" customWidth="1"/>
    <col min="6150" max="6150" width="14.140625" style="491" customWidth="1"/>
    <col min="6151" max="6151" width="15.7109375" style="491" customWidth="1"/>
    <col min="6152" max="6153" width="11.42578125" style="491"/>
    <col min="6154" max="6154" width="12" style="491" bestFit="1" customWidth="1"/>
    <col min="6155" max="6400" width="11.42578125" style="491"/>
    <col min="6401" max="6401" width="20.42578125" style="491" customWidth="1"/>
    <col min="6402" max="6402" width="14.5703125" style="491" customWidth="1"/>
    <col min="6403" max="6403" width="13.28515625" style="491" customWidth="1"/>
    <col min="6404" max="6404" width="14.7109375" style="491" customWidth="1"/>
    <col min="6405" max="6405" width="13.85546875" style="491" customWidth="1"/>
    <col min="6406" max="6406" width="14.140625" style="491" customWidth="1"/>
    <col min="6407" max="6407" width="15.7109375" style="491" customWidth="1"/>
    <col min="6408" max="6409" width="11.42578125" style="491"/>
    <col min="6410" max="6410" width="12" style="491" bestFit="1" customWidth="1"/>
    <col min="6411" max="6656" width="11.42578125" style="491"/>
    <col min="6657" max="6657" width="20.42578125" style="491" customWidth="1"/>
    <col min="6658" max="6658" width="14.5703125" style="491" customWidth="1"/>
    <col min="6659" max="6659" width="13.28515625" style="491" customWidth="1"/>
    <col min="6660" max="6660" width="14.7109375" style="491" customWidth="1"/>
    <col min="6661" max="6661" width="13.85546875" style="491" customWidth="1"/>
    <col min="6662" max="6662" width="14.140625" style="491" customWidth="1"/>
    <col min="6663" max="6663" width="15.7109375" style="491" customWidth="1"/>
    <col min="6664" max="6665" width="11.42578125" style="491"/>
    <col min="6666" max="6666" width="12" style="491" bestFit="1" customWidth="1"/>
    <col min="6667" max="6912" width="11.42578125" style="491"/>
    <col min="6913" max="6913" width="20.42578125" style="491" customWidth="1"/>
    <col min="6914" max="6914" width="14.5703125" style="491" customWidth="1"/>
    <col min="6915" max="6915" width="13.28515625" style="491" customWidth="1"/>
    <col min="6916" max="6916" width="14.7109375" style="491" customWidth="1"/>
    <col min="6917" max="6917" width="13.85546875" style="491" customWidth="1"/>
    <col min="6918" max="6918" width="14.140625" style="491" customWidth="1"/>
    <col min="6919" max="6919" width="15.7109375" style="491" customWidth="1"/>
    <col min="6920" max="6921" width="11.42578125" style="491"/>
    <col min="6922" max="6922" width="12" style="491" bestFit="1" customWidth="1"/>
    <col min="6923" max="7168" width="11.42578125" style="491"/>
    <col min="7169" max="7169" width="20.42578125" style="491" customWidth="1"/>
    <col min="7170" max="7170" width="14.5703125" style="491" customWidth="1"/>
    <col min="7171" max="7171" width="13.28515625" style="491" customWidth="1"/>
    <col min="7172" max="7172" width="14.7109375" style="491" customWidth="1"/>
    <col min="7173" max="7173" width="13.85546875" style="491" customWidth="1"/>
    <col min="7174" max="7174" width="14.140625" style="491" customWidth="1"/>
    <col min="7175" max="7175" width="15.7109375" style="491" customWidth="1"/>
    <col min="7176" max="7177" width="11.42578125" style="491"/>
    <col min="7178" max="7178" width="12" style="491" bestFit="1" customWidth="1"/>
    <col min="7179" max="7424" width="11.42578125" style="491"/>
    <col min="7425" max="7425" width="20.42578125" style="491" customWidth="1"/>
    <col min="7426" max="7426" width="14.5703125" style="491" customWidth="1"/>
    <col min="7427" max="7427" width="13.28515625" style="491" customWidth="1"/>
    <col min="7428" max="7428" width="14.7109375" style="491" customWidth="1"/>
    <col min="7429" max="7429" width="13.85546875" style="491" customWidth="1"/>
    <col min="7430" max="7430" width="14.140625" style="491" customWidth="1"/>
    <col min="7431" max="7431" width="15.7109375" style="491" customWidth="1"/>
    <col min="7432" max="7433" width="11.42578125" style="491"/>
    <col min="7434" max="7434" width="12" style="491" bestFit="1" customWidth="1"/>
    <col min="7435" max="7680" width="11.42578125" style="491"/>
    <col min="7681" max="7681" width="20.42578125" style="491" customWidth="1"/>
    <col min="7682" max="7682" width="14.5703125" style="491" customWidth="1"/>
    <col min="7683" max="7683" width="13.28515625" style="491" customWidth="1"/>
    <col min="7684" max="7684" width="14.7109375" style="491" customWidth="1"/>
    <col min="7685" max="7685" width="13.85546875" style="491" customWidth="1"/>
    <col min="7686" max="7686" width="14.140625" style="491" customWidth="1"/>
    <col min="7687" max="7687" width="15.7109375" style="491" customWidth="1"/>
    <col min="7688" max="7689" width="11.42578125" style="491"/>
    <col min="7690" max="7690" width="12" style="491" bestFit="1" customWidth="1"/>
    <col min="7691" max="7936" width="11.42578125" style="491"/>
    <col min="7937" max="7937" width="20.42578125" style="491" customWidth="1"/>
    <col min="7938" max="7938" width="14.5703125" style="491" customWidth="1"/>
    <col min="7939" max="7939" width="13.28515625" style="491" customWidth="1"/>
    <col min="7940" max="7940" width="14.7109375" style="491" customWidth="1"/>
    <col min="7941" max="7941" width="13.85546875" style="491" customWidth="1"/>
    <col min="7942" max="7942" width="14.140625" style="491" customWidth="1"/>
    <col min="7943" max="7943" width="15.7109375" style="491" customWidth="1"/>
    <col min="7944" max="7945" width="11.42578125" style="491"/>
    <col min="7946" max="7946" width="12" style="491" bestFit="1" customWidth="1"/>
    <col min="7947" max="8192" width="11.42578125" style="491"/>
    <col min="8193" max="8193" width="20.42578125" style="491" customWidth="1"/>
    <col min="8194" max="8194" width="14.5703125" style="491" customWidth="1"/>
    <col min="8195" max="8195" width="13.28515625" style="491" customWidth="1"/>
    <col min="8196" max="8196" width="14.7109375" style="491" customWidth="1"/>
    <col min="8197" max="8197" width="13.85546875" style="491" customWidth="1"/>
    <col min="8198" max="8198" width="14.140625" style="491" customWidth="1"/>
    <col min="8199" max="8199" width="15.7109375" style="491" customWidth="1"/>
    <col min="8200" max="8201" width="11.42578125" style="491"/>
    <col min="8202" max="8202" width="12" style="491" bestFit="1" customWidth="1"/>
    <col min="8203" max="8448" width="11.42578125" style="491"/>
    <col min="8449" max="8449" width="20.42578125" style="491" customWidth="1"/>
    <col min="8450" max="8450" width="14.5703125" style="491" customWidth="1"/>
    <col min="8451" max="8451" width="13.28515625" style="491" customWidth="1"/>
    <col min="8452" max="8452" width="14.7109375" style="491" customWidth="1"/>
    <col min="8453" max="8453" width="13.85546875" style="491" customWidth="1"/>
    <col min="8454" max="8454" width="14.140625" style="491" customWidth="1"/>
    <col min="8455" max="8455" width="15.7109375" style="491" customWidth="1"/>
    <col min="8456" max="8457" width="11.42578125" style="491"/>
    <col min="8458" max="8458" width="12" style="491" bestFit="1" customWidth="1"/>
    <col min="8459" max="8704" width="11.42578125" style="491"/>
    <col min="8705" max="8705" width="20.42578125" style="491" customWidth="1"/>
    <col min="8706" max="8706" width="14.5703125" style="491" customWidth="1"/>
    <col min="8707" max="8707" width="13.28515625" style="491" customWidth="1"/>
    <col min="8708" max="8708" width="14.7109375" style="491" customWidth="1"/>
    <col min="8709" max="8709" width="13.85546875" style="491" customWidth="1"/>
    <col min="8710" max="8710" width="14.140625" style="491" customWidth="1"/>
    <col min="8711" max="8711" width="15.7109375" style="491" customWidth="1"/>
    <col min="8712" max="8713" width="11.42578125" style="491"/>
    <col min="8714" max="8714" width="12" style="491" bestFit="1" customWidth="1"/>
    <col min="8715" max="8960" width="11.42578125" style="491"/>
    <col min="8961" max="8961" width="20.42578125" style="491" customWidth="1"/>
    <col min="8962" max="8962" width="14.5703125" style="491" customWidth="1"/>
    <col min="8963" max="8963" width="13.28515625" style="491" customWidth="1"/>
    <col min="8964" max="8964" width="14.7109375" style="491" customWidth="1"/>
    <col min="8965" max="8965" width="13.85546875" style="491" customWidth="1"/>
    <col min="8966" max="8966" width="14.140625" style="491" customWidth="1"/>
    <col min="8967" max="8967" width="15.7109375" style="491" customWidth="1"/>
    <col min="8968" max="8969" width="11.42578125" style="491"/>
    <col min="8970" max="8970" width="12" style="491" bestFit="1" customWidth="1"/>
    <col min="8971" max="9216" width="11.42578125" style="491"/>
    <col min="9217" max="9217" width="20.42578125" style="491" customWidth="1"/>
    <col min="9218" max="9218" width="14.5703125" style="491" customWidth="1"/>
    <col min="9219" max="9219" width="13.28515625" style="491" customWidth="1"/>
    <col min="9220" max="9220" width="14.7109375" style="491" customWidth="1"/>
    <col min="9221" max="9221" width="13.85546875" style="491" customWidth="1"/>
    <col min="9222" max="9222" width="14.140625" style="491" customWidth="1"/>
    <col min="9223" max="9223" width="15.7109375" style="491" customWidth="1"/>
    <col min="9224" max="9225" width="11.42578125" style="491"/>
    <col min="9226" max="9226" width="12" style="491" bestFit="1" customWidth="1"/>
    <col min="9227" max="9472" width="11.42578125" style="491"/>
    <col min="9473" max="9473" width="20.42578125" style="491" customWidth="1"/>
    <col min="9474" max="9474" width="14.5703125" style="491" customWidth="1"/>
    <col min="9475" max="9475" width="13.28515625" style="491" customWidth="1"/>
    <col min="9476" max="9476" width="14.7109375" style="491" customWidth="1"/>
    <col min="9477" max="9477" width="13.85546875" style="491" customWidth="1"/>
    <col min="9478" max="9478" width="14.140625" style="491" customWidth="1"/>
    <col min="9479" max="9479" width="15.7109375" style="491" customWidth="1"/>
    <col min="9480" max="9481" width="11.42578125" style="491"/>
    <col min="9482" max="9482" width="12" style="491" bestFit="1" customWidth="1"/>
    <col min="9483" max="9728" width="11.42578125" style="491"/>
    <col min="9729" max="9729" width="20.42578125" style="491" customWidth="1"/>
    <col min="9730" max="9730" width="14.5703125" style="491" customWidth="1"/>
    <col min="9731" max="9731" width="13.28515625" style="491" customWidth="1"/>
    <col min="9732" max="9732" width="14.7109375" style="491" customWidth="1"/>
    <col min="9733" max="9733" width="13.85546875" style="491" customWidth="1"/>
    <col min="9734" max="9734" width="14.140625" style="491" customWidth="1"/>
    <col min="9735" max="9735" width="15.7109375" style="491" customWidth="1"/>
    <col min="9736" max="9737" width="11.42578125" style="491"/>
    <col min="9738" max="9738" width="12" style="491" bestFit="1" customWidth="1"/>
    <col min="9739" max="9984" width="11.42578125" style="491"/>
    <col min="9985" max="9985" width="20.42578125" style="491" customWidth="1"/>
    <col min="9986" max="9986" width="14.5703125" style="491" customWidth="1"/>
    <col min="9987" max="9987" width="13.28515625" style="491" customWidth="1"/>
    <col min="9988" max="9988" width="14.7109375" style="491" customWidth="1"/>
    <col min="9989" max="9989" width="13.85546875" style="491" customWidth="1"/>
    <col min="9990" max="9990" width="14.140625" style="491" customWidth="1"/>
    <col min="9991" max="9991" width="15.7109375" style="491" customWidth="1"/>
    <col min="9992" max="9993" width="11.42578125" style="491"/>
    <col min="9994" max="9994" width="12" style="491" bestFit="1" customWidth="1"/>
    <col min="9995" max="10240" width="11.42578125" style="491"/>
    <col min="10241" max="10241" width="20.42578125" style="491" customWidth="1"/>
    <col min="10242" max="10242" width="14.5703125" style="491" customWidth="1"/>
    <col min="10243" max="10243" width="13.28515625" style="491" customWidth="1"/>
    <col min="10244" max="10244" width="14.7109375" style="491" customWidth="1"/>
    <col min="10245" max="10245" width="13.85546875" style="491" customWidth="1"/>
    <col min="10246" max="10246" width="14.140625" style="491" customWidth="1"/>
    <col min="10247" max="10247" width="15.7109375" style="491" customWidth="1"/>
    <col min="10248" max="10249" width="11.42578125" style="491"/>
    <col min="10250" max="10250" width="12" style="491" bestFit="1" customWidth="1"/>
    <col min="10251" max="10496" width="11.42578125" style="491"/>
    <col min="10497" max="10497" width="20.42578125" style="491" customWidth="1"/>
    <col min="10498" max="10498" width="14.5703125" style="491" customWidth="1"/>
    <col min="10499" max="10499" width="13.28515625" style="491" customWidth="1"/>
    <col min="10500" max="10500" width="14.7109375" style="491" customWidth="1"/>
    <col min="10501" max="10501" width="13.85546875" style="491" customWidth="1"/>
    <col min="10502" max="10502" width="14.140625" style="491" customWidth="1"/>
    <col min="10503" max="10503" width="15.7109375" style="491" customWidth="1"/>
    <col min="10504" max="10505" width="11.42578125" style="491"/>
    <col min="10506" max="10506" width="12" style="491" bestFit="1" customWidth="1"/>
    <col min="10507" max="10752" width="11.42578125" style="491"/>
    <col min="10753" max="10753" width="20.42578125" style="491" customWidth="1"/>
    <col min="10754" max="10754" width="14.5703125" style="491" customWidth="1"/>
    <col min="10755" max="10755" width="13.28515625" style="491" customWidth="1"/>
    <col min="10756" max="10756" width="14.7109375" style="491" customWidth="1"/>
    <col min="10757" max="10757" width="13.85546875" style="491" customWidth="1"/>
    <col min="10758" max="10758" width="14.140625" style="491" customWidth="1"/>
    <col min="10759" max="10759" width="15.7109375" style="491" customWidth="1"/>
    <col min="10760" max="10761" width="11.42578125" style="491"/>
    <col min="10762" max="10762" width="12" style="491" bestFit="1" customWidth="1"/>
    <col min="10763" max="11008" width="11.42578125" style="491"/>
    <col min="11009" max="11009" width="20.42578125" style="491" customWidth="1"/>
    <col min="11010" max="11010" width="14.5703125" style="491" customWidth="1"/>
    <col min="11011" max="11011" width="13.28515625" style="491" customWidth="1"/>
    <col min="11012" max="11012" width="14.7109375" style="491" customWidth="1"/>
    <col min="11013" max="11013" width="13.85546875" style="491" customWidth="1"/>
    <col min="11014" max="11014" width="14.140625" style="491" customWidth="1"/>
    <col min="11015" max="11015" width="15.7109375" style="491" customWidth="1"/>
    <col min="11016" max="11017" width="11.42578125" style="491"/>
    <col min="11018" max="11018" width="12" style="491" bestFit="1" customWidth="1"/>
    <col min="11019" max="11264" width="11.42578125" style="491"/>
    <col min="11265" max="11265" width="20.42578125" style="491" customWidth="1"/>
    <col min="11266" max="11266" width="14.5703125" style="491" customWidth="1"/>
    <col min="11267" max="11267" width="13.28515625" style="491" customWidth="1"/>
    <col min="11268" max="11268" width="14.7109375" style="491" customWidth="1"/>
    <col min="11269" max="11269" width="13.85546875" style="491" customWidth="1"/>
    <col min="11270" max="11270" width="14.140625" style="491" customWidth="1"/>
    <col min="11271" max="11271" width="15.7109375" style="491" customWidth="1"/>
    <col min="11272" max="11273" width="11.42578125" style="491"/>
    <col min="11274" max="11274" width="12" style="491" bestFit="1" customWidth="1"/>
    <col min="11275" max="11520" width="11.42578125" style="491"/>
    <col min="11521" max="11521" width="20.42578125" style="491" customWidth="1"/>
    <col min="11522" max="11522" width="14.5703125" style="491" customWidth="1"/>
    <col min="11523" max="11523" width="13.28515625" style="491" customWidth="1"/>
    <col min="11524" max="11524" width="14.7109375" style="491" customWidth="1"/>
    <col min="11525" max="11525" width="13.85546875" style="491" customWidth="1"/>
    <col min="11526" max="11526" width="14.140625" style="491" customWidth="1"/>
    <col min="11527" max="11527" width="15.7109375" style="491" customWidth="1"/>
    <col min="11528" max="11529" width="11.42578125" style="491"/>
    <col min="11530" max="11530" width="12" style="491" bestFit="1" customWidth="1"/>
    <col min="11531" max="11776" width="11.42578125" style="491"/>
    <col min="11777" max="11777" width="20.42578125" style="491" customWidth="1"/>
    <col min="11778" max="11778" width="14.5703125" style="491" customWidth="1"/>
    <col min="11779" max="11779" width="13.28515625" style="491" customWidth="1"/>
    <col min="11780" max="11780" width="14.7109375" style="491" customWidth="1"/>
    <col min="11781" max="11781" width="13.85546875" style="491" customWidth="1"/>
    <col min="11782" max="11782" width="14.140625" style="491" customWidth="1"/>
    <col min="11783" max="11783" width="15.7109375" style="491" customWidth="1"/>
    <col min="11784" max="11785" width="11.42578125" style="491"/>
    <col min="11786" max="11786" width="12" style="491" bestFit="1" customWidth="1"/>
    <col min="11787" max="12032" width="11.42578125" style="491"/>
    <col min="12033" max="12033" width="20.42578125" style="491" customWidth="1"/>
    <col min="12034" max="12034" width="14.5703125" style="491" customWidth="1"/>
    <col min="12035" max="12035" width="13.28515625" style="491" customWidth="1"/>
    <col min="12036" max="12036" width="14.7109375" style="491" customWidth="1"/>
    <col min="12037" max="12037" width="13.85546875" style="491" customWidth="1"/>
    <col min="12038" max="12038" width="14.140625" style="491" customWidth="1"/>
    <col min="12039" max="12039" width="15.7109375" style="491" customWidth="1"/>
    <col min="12040" max="12041" width="11.42578125" style="491"/>
    <col min="12042" max="12042" width="12" style="491" bestFit="1" customWidth="1"/>
    <col min="12043" max="12288" width="11.42578125" style="491"/>
    <col min="12289" max="12289" width="20.42578125" style="491" customWidth="1"/>
    <col min="12290" max="12290" width="14.5703125" style="491" customWidth="1"/>
    <col min="12291" max="12291" width="13.28515625" style="491" customWidth="1"/>
    <col min="12292" max="12292" width="14.7109375" style="491" customWidth="1"/>
    <col min="12293" max="12293" width="13.85546875" style="491" customWidth="1"/>
    <col min="12294" max="12294" width="14.140625" style="491" customWidth="1"/>
    <col min="12295" max="12295" width="15.7109375" style="491" customWidth="1"/>
    <col min="12296" max="12297" width="11.42578125" style="491"/>
    <col min="12298" max="12298" width="12" style="491" bestFit="1" customWidth="1"/>
    <col min="12299" max="12544" width="11.42578125" style="491"/>
    <col min="12545" max="12545" width="20.42578125" style="491" customWidth="1"/>
    <col min="12546" max="12546" width="14.5703125" style="491" customWidth="1"/>
    <col min="12547" max="12547" width="13.28515625" style="491" customWidth="1"/>
    <col min="12548" max="12548" width="14.7109375" style="491" customWidth="1"/>
    <col min="12549" max="12549" width="13.85546875" style="491" customWidth="1"/>
    <col min="12550" max="12550" width="14.140625" style="491" customWidth="1"/>
    <col min="12551" max="12551" width="15.7109375" style="491" customWidth="1"/>
    <col min="12552" max="12553" width="11.42578125" style="491"/>
    <col min="12554" max="12554" width="12" style="491" bestFit="1" customWidth="1"/>
    <col min="12555" max="12800" width="11.42578125" style="491"/>
    <col min="12801" max="12801" width="20.42578125" style="491" customWidth="1"/>
    <col min="12802" max="12802" width="14.5703125" style="491" customWidth="1"/>
    <col min="12803" max="12803" width="13.28515625" style="491" customWidth="1"/>
    <col min="12804" max="12804" width="14.7109375" style="491" customWidth="1"/>
    <col min="12805" max="12805" width="13.85546875" style="491" customWidth="1"/>
    <col min="12806" max="12806" width="14.140625" style="491" customWidth="1"/>
    <col min="12807" max="12807" width="15.7109375" style="491" customWidth="1"/>
    <col min="12808" max="12809" width="11.42578125" style="491"/>
    <col min="12810" max="12810" width="12" style="491" bestFit="1" customWidth="1"/>
    <col min="12811" max="13056" width="11.42578125" style="491"/>
    <col min="13057" max="13057" width="20.42578125" style="491" customWidth="1"/>
    <col min="13058" max="13058" width="14.5703125" style="491" customWidth="1"/>
    <col min="13059" max="13059" width="13.28515625" style="491" customWidth="1"/>
    <col min="13060" max="13060" width="14.7109375" style="491" customWidth="1"/>
    <col min="13061" max="13061" width="13.85546875" style="491" customWidth="1"/>
    <col min="13062" max="13062" width="14.140625" style="491" customWidth="1"/>
    <col min="13063" max="13063" width="15.7109375" style="491" customWidth="1"/>
    <col min="13064" max="13065" width="11.42578125" style="491"/>
    <col min="13066" max="13066" width="12" style="491" bestFit="1" customWidth="1"/>
    <col min="13067" max="13312" width="11.42578125" style="491"/>
    <col min="13313" max="13313" width="20.42578125" style="491" customWidth="1"/>
    <col min="13314" max="13314" width="14.5703125" style="491" customWidth="1"/>
    <col min="13315" max="13315" width="13.28515625" style="491" customWidth="1"/>
    <col min="13316" max="13316" width="14.7109375" style="491" customWidth="1"/>
    <col min="13317" max="13317" width="13.85546875" style="491" customWidth="1"/>
    <col min="13318" max="13318" width="14.140625" style="491" customWidth="1"/>
    <col min="13319" max="13319" width="15.7109375" style="491" customWidth="1"/>
    <col min="13320" max="13321" width="11.42578125" style="491"/>
    <col min="13322" max="13322" width="12" style="491" bestFit="1" customWidth="1"/>
    <col min="13323" max="13568" width="11.42578125" style="491"/>
    <col min="13569" max="13569" width="20.42578125" style="491" customWidth="1"/>
    <col min="13570" max="13570" width="14.5703125" style="491" customWidth="1"/>
    <col min="13571" max="13571" width="13.28515625" style="491" customWidth="1"/>
    <col min="13572" max="13572" width="14.7109375" style="491" customWidth="1"/>
    <col min="13573" max="13573" width="13.85546875" style="491" customWidth="1"/>
    <col min="13574" max="13574" width="14.140625" style="491" customWidth="1"/>
    <col min="13575" max="13575" width="15.7109375" style="491" customWidth="1"/>
    <col min="13576" max="13577" width="11.42578125" style="491"/>
    <col min="13578" max="13578" width="12" style="491" bestFit="1" customWidth="1"/>
    <col min="13579" max="13824" width="11.42578125" style="491"/>
    <col min="13825" max="13825" width="20.42578125" style="491" customWidth="1"/>
    <col min="13826" max="13826" width="14.5703125" style="491" customWidth="1"/>
    <col min="13827" max="13827" width="13.28515625" style="491" customWidth="1"/>
    <col min="13828" max="13828" width="14.7109375" style="491" customWidth="1"/>
    <col min="13829" max="13829" width="13.85546875" style="491" customWidth="1"/>
    <col min="13830" max="13830" width="14.140625" style="491" customWidth="1"/>
    <col min="13831" max="13831" width="15.7109375" style="491" customWidth="1"/>
    <col min="13832" max="13833" width="11.42578125" style="491"/>
    <col min="13834" max="13834" width="12" style="491" bestFit="1" customWidth="1"/>
    <col min="13835" max="14080" width="11.42578125" style="491"/>
    <col min="14081" max="14081" width="20.42578125" style="491" customWidth="1"/>
    <col min="14082" max="14082" width="14.5703125" style="491" customWidth="1"/>
    <col min="14083" max="14083" width="13.28515625" style="491" customWidth="1"/>
    <col min="14084" max="14084" width="14.7109375" style="491" customWidth="1"/>
    <col min="14085" max="14085" width="13.85546875" style="491" customWidth="1"/>
    <col min="14086" max="14086" width="14.140625" style="491" customWidth="1"/>
    <col min="14087" max="14087" width="15.7109375" style="491" customWidth="1"/>
    <col min="14088" max="14089" width="11.42578125" style="491"/>
    <col min="14090" max="14090" width="12" style="491" bestFit="1" customWidth="1"/>
    <col min="14091" max="14336" width="11.42578125" style="491"/>
    <col min="14337" max="14337" width="20.42578125" style="491" customWidth="1"/>
    <col min="14338" max="14338" width="14.5703125" style="491" customWidth="1"/>
    <col min="14339" max="14339" width="13.28515625" style="491" customWidth="1"/>
    <col min="14340" max="14340" width="14.7109375" style="491" customWidth="1"/>
    <col min="14341" max="14341" width="13.85546875" style="491" customWidth="1"/>
    <col min="14342" max="14342" width="14.140625" style="491" customWidth="1"/>
    <col min="14343" max="14343" width="15.7109375" style="491" customWidth="1"/>
    <col min="14344" max="14345" width="11.42578125" style="491"/>
    <col min="14346" max="14346" width="12" style="491" bestFit="1" customWidth="1"/>
    <col min="14347" max="14592" width="11.42578125" style="491"/>
    <col min="14593" max="14593" width="20.42578125" style="491" customWidth="1"/>
    <col min="14594" max="14594" width="14.5703125" style="491" customWidth="1"/>
    <col min="14595" max="14595" width="13.28515625" style="491" customWidth="1"/>
    <col min="14596" max="14596" width="14.7109375" style="491" customWidth="1"/>
    <col min="14597" max="14597" width="13.85546875" style="491" customWidth="1"/>
    <col min="14598" max="14598" width="14.140625" style="491" customWidth="1"/>
    <col min="14599" max="14599" width="15.7109375" style="491" customWidth="1"/>
    <col min="14600" max="14601" width="11.42578125" style="491"/>
    <col min="14602" max="14602" width="12" style="491" bestFit="1" customWidth="1"/>
    <col min="14603" max="14848" width="11.42578125" style="491"/>
    <col min="14849" max="14849" width="20.42578125" style="491" customWidth="1"/>
    <col min="14850" max="14850" width="14.5703125" style="491" customWidth="1"/>
    <col min="14851" max="14851" width="13.28515625" style="491" customWidth="1"/>
    <col min="14852" max="14852" width="14.7109375" style="491" customWidth="1"/>
    <col min="14853" max="14853" width="13.85546875" style="491" customWidth="1"/>
    <col min="14854" max="14854" width="14.140625" style="491" customWidth="1"/>
    <col min="14855" max="14855" width="15.7109375" style="491" customWidth="1"/>
    <col min="14856" max="14857" width="11.42578125" style="491"/>
    <col min="14858" max="14858" width="12" style="491" bestFit="1" customWidth="1"/>
    <col min="14859" max="15104" width="11.42578125" style="491"/>
    <col min="15105" max="15105" width="20.42578125" style="491" customWidth="1"/>
    <col min="15106" max="15106" width="14.5703125" style="491" customWidth="1"/>
    <col min="15107" max="15107" width="13.28515625" style="491" customWidth="1"/>
    <col min="15108" max="15108" width="14.7109375" style="491" customWidth="1"/>
    <col min="15109" max="15109" width="13.85546875" style="491" customWidth="1"/>
    <col min="15110" max="15110" width="14.140625" style="491" customWidth="1"/>
    <col min="15111" max="15111" width="15.7109375" style="491" customWidth="1"/>
    <col min="15112" max="15113" width="11.42578125" style="491"/>
    <col min="15114" max="15114" width="12" style="491" bestFit="1" customWidth="1"/>
    <col min="15115" max="15360" width="11.42578125" style="491"/>
    <col min="15361" max="15361" width="20.42578125" style="491" customWidth="1"/>
    <col min="15362" max="15362" width="14.5703125" style="491" customWidth="1"/>
    <col min="15363" max="15363" width="13.28515625" style="491" customWidth="1"/>
    <col min="15364" max="15364" width="14.7109375" style="491" customWidth="1"/>
    <col min="15365" max="15365" width="13.85546875" style="491" customWidth="1"/>
    <col min="15366" max="15366" width="14.140625" style="491" customWidth="1"/>
    <col min="15367" max="15367" width="15.7109375" style="491" customWidth="1"/>
    <col min="15368" max="15369" width="11.42578125" style="491"/>
    <col min="15370" max="15370" width="12" style="491" bestFit="1" customWidth="1"/>
    <col min="15371" max="15616" width="11.42578125" style="491"/>
    <col min="15617" max="15617" width="20.42578125" style="491" customWidth="1"/>
    <col min="15618" max="15618" width="14.5703125" style="491" customWidth="1"/>
    <col min="15619" max="15619" width="13.28515625" style="491" customWidth="1"/>
    <col min="15620" max="15620" width="14.7109375" style="491" customWidth="1"/>
    <col min="15621" max="15621" width="13.85546875" style="491" customWidth="1"/>
    <col min="15622" max="15622" width="14.140625" style="491" customWidth="1"/>
    <col min="15623" max="15623" width="15.7109375" style="491" customWidth="1"/>
    <col min="15624" max="15625" width="11.42578125" style="491"/>
    <col min="15626" max="15626" width="12" style="491" bestFit="1" customWidth="1"/>
    <col min="15627" max="15872" width="11.42578125" style="491"/>
    <col min="15873" max="15873" width="20.42578125" style="491" customWidth="1"/>
    <col min="15874" max="15874" width="14.5703125" style="491" customWidth="1"/>
    <col min="15875" max="15875" width="13.28515625" style="491" customWidth="1"/>
    <col min="15876" max="15876" width="14.7109375" style="491" customWidth="1"/>
    <col min="15877" max="15877" width="13.85546875" style="491" customWidth="1"/>
    <col min="15878" max="15878" width="14.140625" style="491" customWidth="1"/>
    <col min="15879" max="15879" width="15.7109375" style="491" customWidth="1"/>
    <col min="15880" max="15881" width="11.42578125" style="491"/>
    <col min="15882" max="15882" width="12" style="491" bestFit="1" customWidth="1"/>
    <col min="15883" max="16128" width="11.42578125" style="491"/>
    <col min="16129" max="16129" width="20.42578125" style="491" customWidth="1"/>
    <col min="16130" max="16130" width="14.5703125" style="491" customWidth="1"/>
    <col min="16131" max="16131" width="13.28515625" style="491" customWidth="1"/>
    <col min="16132" max="16132" width="14.7109375" style="491" customWidth="1"/>
    <col min="16133" max="16133" width="13.85546875" style="491" customWidth="1"/>
    <col min="16134" max="16134" width="14.140625" style="491" customWidth="1"/>
    <col min="16135" max="16135" width="15.7109375" style="491" customWidth="1"/>
    <col min="16136" max="16137" width="11.42578125" style="491"/>
    <col min="16138" max="16138" width="12" style="491" bestFit="1" customWidth="1"/>
    <col min="16139" max="16384" width="11.42578125" style="491"/>
  </cols>
  <sheetData>
    <row r="2" spans="1:7" ht="21.75" customHeight="1">
      <c r="C2" s="915" t="s">
        <v>828</v>
      </c>
      <c r="D2" s="915"/>
      <c r="F2" s="915"/>
      <c r="G2" s="915"/>
    </row>
    <row r="3" spans="1:7" ht="18.75">
      <c r="G3" s="618"/>
    </row>
    <row r="4" spans="1:7" ht="22.5">
      <c r="A4" s="916" t="str">
        <f>+'[1]Anexo D'!A4:F4</f>
        <v>BALANCE GENERAL</v>
      </c>
      <c r="B4" s="916"/>
      <c r="C4" s="916"/>
      <c r="D4" s="916"/>
      <c r="E4" s="916"/>
      <c r="F4" s="916"/>
      <c r="G4" s="916"/>
    </row>
    <row r="5" spans="1:7" ht="22.5">
      <c r="A5" s="916" t="s">
        <v>1122</v>
      </c>
      <c r="B5" s="916"/>
      <c r="C5" s="916"/>
      <c r="D5" s="916"/>
      <c r="E5" s="916"/>
      <c r="F5" s="916"/>
      <c r="G5" s="916"/>
    </row>
    <row r="6" spans="1:7" ht="20.25">
      <c r="A6" s="923" t="s">
        <v>576</v>
      </c>
      <c r="B6" s="923"/>
      <c r="C6" s="923"/>
      <c r="D6" s="923"/>
      <c r="E6" s="923"/>
      <c r="F6" s="923"/>
      <c r="G6" s="923"/>
    </row>
    <row r="8" spans="1:7" ht="22.5">
      <c r="A8" s="916" t="s">
        <v>829</v>
      </c>
      <c r="B8" s="916"/>
      <c r="C8" s="916"/>
      <c r="D8" s="916"/>
      <c r="E8" s="916"/>
      <c r="F8" s="916"/>
      <c r="G8" s="916"/>
    </row>
    <row r="12" spans="1:7">
      <c r="A12" s="495"/>
      <c r="B12" s="495" t="s">
        <v>830</v>
      </c>
      <c r="C12" s="495"/>
      <c r="D12" s="495"/>
      <c r="E12" s="495"/>
      <c r="F12" s="495" t="s">
        <v>830</v>
      </c>
      <c r="G12" s="495" t="s">
        <v>831</v>
      </c>
    </row>
    <row r="13" spans="1:7">
      <c r="A13" s="496"/>
      <c r="B13" s="496" t="s">
        <v>832</v>
      </c>
      <c r="C13" s="496"/>
      <c r="D13" s="496"/>
      <c r="E13" s="496"/>
      <c r="F13" s="496" t="s">
        <v>833</v>
      </c>
      <c r="G13" s="496" t="s">
        <v>833</v>
      </c>
    </row>
    <row r="14" spans="1:7">
      <c r="A14" s="497" t="s">
        <v>834</v>
      </c>
      <c r="B14" s="497" t="s">
        <v>711</v>
      </c>
      <c r="C14" s="496" t="s">
        <v>835</v>
      </c>
      <c r="D14" s="496" t="s">
        <v>836</v>
      </c>
      <c r="E14" s="496" t="s">
        <v>837</v>
      </c>
      <c r="F14" s="497" t="s">
        <v>838</v>
      </c>
      <c r="G14" s="497" t="s">
        <v>839</v>
      </c>
    </row>
    <row r="15" spans="1:7">
      <c r="A15" s="498"/>
      <c r="B15" s="498"/>
      <c r="C15" s="498"/>
      <c r="D15" s="498"/>
      <c r="E15" s="498"/>
      <c r="F15" s="498"/>
      <c r="G15" s="498"/>
    </row>
    <row r="16" spans="1:7">
      <c r="A16" s="500" t="s">
        <v>840</v>
      </c>
      <c r="B16" s="500"/>
      <c r="C16" s="500"/>
      <c r="D16" s="500"/>
      <c r="E16" s="500"/>
      <c r="F16" s="500"/>
      <c r="G16" s="500"/>
    </row>
    <row r="17" spans="1:10">
      <c r="A17" s="500" t="s">
        <v>841</v>
      </c>
      <c r="B17" s="619">
        <v>9272106014</v>
      </c>
      <c r="C17" s="619">
        <v>0</v>
      </c>
      <c r="D17" s="619">
        <v>0</v>
      </c>
      <c r="E17" s="619">
        <v>0</v>
      </c>
      <c r="F17" s="619">
        <f>B17+C17-D17-E17</f>
        <v>9272106014</v>
      </c>
      <c r="G17" s="503">
        <v>9272106014</v>
      </c>
    </row>
    <row r="18" spans="1:10">
      <c r="A18" s="500"/>
      <c r="B18" s="619"/>
      <c r="C18" s="619"/>
      <c r="D18" s="619"/>
      <c r="E18" s="619"/>
      <c r="F18" s="619"/>
      <c r="G18" s="619"/>
    </row>
    <row r="19" spans="1:10">
      <c r="A19" s="504"/>
      <c r="B19" s="504"/>
      <c r="C19" s="504"/>
      <c r="D19" s="504"/>
      <c r="E19" s="504"/>
      <c r="F19" s="504"/>
      <c r="G19" s="504"/>
      <c r="J19" s="620"/>
    </row>
    <row r="20" spans="1:10">
      <c r="A20" s="498"/>
      <c r="B20" s="498"/>
      <c r="C20" s="498"/>
      <c r="D20" s="498"/>
      <c r="E20" s="498"/>
      <c r="F20" s="498"/>
      <c r="G20" s="498"/>
      <c r="J20" s="620"/>
    </row>
    <row r="21" spans="1:10">
      <c r="A21" s="511" t="s">
        <v>768</v>
      </c>
      <c r="B21" s="621">
        <f t="shared" ref="B21:F21" si="0">SUM(B17:B18)</f>
        <v>9272106014</v>
      </c>
      <c r="C21" s="621">
        <f t="shared" si="0"/>
        <v>0</v>
      </c>
      <c r="D21" s="621">
        <f t="shared" si="0"/>
        <v>0</v>
      </c>
      <c r="E21" s="621">
        <f t="shared" si="0"/>
        <v>0</v>
      </c>
      <c r="F21" s="621">
        <f t="shared" si="0"/>
        <v>9272106014</v>
      </c>
      <c r="G21" s="622">
        <v>9272106014</v>
      </c>
      <c r="J21" s="571"/>
    </row>
    <row r="22" spans="1:10">
      <c r="A22" s="498"/>
      <c r="B22" s="499"/>
      <c r="C22" s="499"/>
      <c r="D22" s="499"/>
      <c r="E22" s="499"/>
      <c r="F22" s="499"/>
      <c r="G22" s="623"/>
      <c r="J22" s="571"/>
    </row>
    <row r="23" spans="1:10">
      <c r="A23" s="500" t="s">
        <v>842</v>
      </c>
      <c r="B23" s="619"/>
      <c r="C23" s="619"/>
      <c r="D23" s="619"/>
      <c r="E23" s="619"/>
      <c r="F23" s="619"/>
      <c r="G23" s="503"/>
      <c r="J23" s="571"/>
    </row>
    <row r="24" spans="1:10">
      <c r="A24" s="500" t="s">
        <v>843</v>
      </c>
      <c r="B24" s="619">
        <v>1716629332</v>
      </c>
      <c r="C24" s="619">
        <v>0</v>
      </c>
      <c r="D24" s="619">
        <v>0</v>
      </c>
      <c r="E24" s="619">
        <v>0</v>
      </c>
      <c r="F24" s="619">
        <f>B24+C24+D24</f>
        <v>1716629332</v>
      </c>
      <c r="G24" s="503">
        <v>516629332</v>
      </c>
      <c r="J24" s="624"/>
    </row>
    <row r="25" spans="1:10">
      <c r="A25" s="500"/>
      <c r="B25" s="619"/>
      <c r="C25" s="619"/>
      <c r="D25" s="619"/>
      <c r="E25" s="619"/>
      <c r="F25" s="619"/>
      <c r="G25" s="503"/>
    </row>
    <row r="26" spans="1:10">
      <c r="A26" s="504"/>
      <c r="B26" s="625"/>
      <c r="C26" s="625"/>
      <c r="D26" s="625"/>
      <c r="E26" s="625"/>
      <c r="F26" s="625"/>
      <c r="G26" s="505"/>
    </row>
    <row r="27" spans="1:10">
      <c r="A27" s="498"/>
      <c r="B27" s="499"/>
      <c r="C27" s="499"/>
      <c r="D27" s="499"/>
      <c r="E27" s="499"/>
      <c r="F27" s="499"/>
      <c r="G27" s="623"/>
    </row>
    <row r="28" spans="1:10">
      <c r="A28" s="511" t="s">
        <v>768</v>
      </c>
      <c r="B28" s="621">
        <f>B24</f>
        <v>1716629332</v>
      </c>
      <c r="C28" s="621">
        <f>C24</f>
        <v>0</v>
      </c>
      <c r="D28" s="621">
        <f>D24</f>
        <v>0</v>
      </c>
      <c r="E28" s="621"/>
      <c r="F28" s="621">
        <f>F24</f>
        <v>1716629332</v>
      </c>
      <c r="G28" s="626">
        <v>516629332</v>
      </c>
    </row>
    <row r="31" spans="1:10" ht="15.75">
      <c r="A31" s="534" t="s">
        <v>844</v>
      </c>
    </row>
    <row r="32" spans="1:10" ht="15.75">
      <c r="A32" s="534"/>
    </row>
    <row r="33" spans="1:7" ht="27" customHeight="1"/>
    <row r="34" spans="1:7" ht="30" customHeight="1"/>
    <row r="35" spans="1:7" ht="27.75" customHeight="1"/>
    <row r="36" spans="1:7" s="513" customFormat="1" ht="14.25">
      <c r="A36" s="907" t="s">
        <v>720</v>
      </c>
      <c r="B36" s="907"/>
      <c r="C36" s="907"/>
      <c r="D36" s="826"/>
      <c r="E36" s="907" t="str">
        <f>'[1]Anexo C'!C40</f>
        <v xml:space="preserve">Lic. María Celeste Pallarés Viveros </v>
      </c>
      <c r="F36" s="907"/>
      <c r="G36" s="907"/>
    </row>
    <row r="37" spans="1:7" s="513" customFormat="1" ht="14.25">
      <c r="A37" s="907" t="s">
        <v>607</v>
      </c>
      <c r="B37" s="907"/>
      <c r="C37" s="907"/>
      <c r="D37" s="517"/>
      <c r="E37" s="908" t="s">
        <v>608</v>
      </c>
      <c r="F37" s="908"/>
      <c r="G37" s="908"/>
    </row>
    <row r="40" spans="1:7" ht="35.25" customHeight="1"/>
    <row r="41" spans="1:7" ht="19.5" customHeight="1"/>
    <row r="43" spans="1:7" s="827" customFormat="1" ht="15">
      <c r="A43" s="907" t="s">
        <v>609</v>
      </c>
      <c r="B43" s="907"/>
      <c r="C43" s="907"/>
      <c r="E43" s="908" t="s">
        <v>1016</v>
      </c>
      <c r="F43" s="908"/>
      <c r="G43" s="908"/>
    </row>
    <row r="44" spans="1:7" s="827" customFormat="1" ht="15">
      <c r="A44" s="907" t="s">
        <v>611</v>
      </c>
      <c r="B44" s="907"/>
      <c r="C44" s="907"/>
      <c r="D44" s="517"/>
      <c r="E44" s="908" t="s">
        <v>698</v>
      </c>
      <c r="F44" s="908"/>
      <c r="G44" s="908"/>
    </row>
  </sheetData>
  <mergeCells count="14">
    <mergeCell ref="A37:C37"/>
    <mergeCell ref="A44:C44"/>
    <mergeCell ref="F2:G2"/>
    <mergeCell ref="A4:G4"/>
    <mergeCell ref="A5:G5"/>
    <mergeCell ref="A6:G6"/>
    <mergeCell ref="A8:G8"/>
    <mergeCell ref="C2:D2"/>
    <mergeCell ref="E36:G36"/>
    <mergeCell ref="E37:G37"/>
    <mergeCell ref="E43:G43"/>
    <mergeCell ref="E44:G44"/>
    <mergeCell ref="A43:C43"/>
    <mergeCell ref="A36:C36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showGridLines="0" topLeftCell="A35" workbookViewId="0">
      <selection activeCell="C44" sqref="C44"/>
    </sheetView>
  </sheetViews>
  <sheetFormatPr baseColWidth="10" defaultColWidth="11.28515625" defaultRowHeight="12.75"/>
  <cols>
    <col min="1" max="1" width="34.140625" style="491" customWidth="1"/>
    <col min="2" max="2" width="18.5703125" style="491" customWidth="1"/>
    <col min="3" max="3" width="18" style="491" customWidth="1"/>
    <col min="4" max="4" width="15" style="491" customWidth="1"/>
    <col min="5" max="5" width="17.140625" style="491" customWidth="1"/>
    <col min="6" max="7" width="0" style="491" hidden="1" customWidth="1"/>
    <col min="8" max="9" width="12.140625" style="491" bestFit="1" customWidth="1"/>
    <col min="10" max="256" width="11.28515625" style="491"/>
    <col min="257" max="257" width="34.140625" style="491" customWidth="1"/>
    <col min="258" max="258" width="18.5703125" style="491" customWidth="1"/>
    <col min="259" max="259" width="18" style="491" customWidth="1"/>
    <col min="260" max="260" width="15" style="491" customWidth="1"/>
    <col min="261" max="261" width="17.140625" style="491" customWidth="1"/>
    <col min="262" max="263" width="0" style="491" hidden="1" customWidth="1"/>
    <col min="264" max="265" width="12.140625" style="491" bestFit="1" customWidth="1"/>
    <col min="266" max="512" width="11.28515625" style="491"/>
    <col min="513" max="513" width="34.140625" style="491" customWidth="1"/>
    <col min="514" max="514" width="18.5703125" style="491" customWidth="1"/>
    <col min="515" max="515" width="18" style="491" customWidth="1"/>
    <col min="516" max="516" width="15" style="491" customWidth="1"/>
    <col min="517" max="517" width="17.140625" style="491" customWidth="1"/>
    <col min="518" max="519" width="0" style="491" hidden="1" customWidth="1"/>
    <col min="520" max="521" width="12.140625" style="491" bestFit="1" customWidth="1"/>
    <col min="522" max="768" width="11.28515625" style="491"/>
    <col min="769" max="769" width="34.140625" style="491" customWidth="1"/>
    <col min="770" max="770" width="18.5703125" style="491" customWidth="1"/>
    <col min="771" max="771" width="18" style="491" customWidth="1"/>
    <col min="772" max="772" width="15" style="491" customWidth="1"/>
    <col min="773" max="773" width="17.140625" style="491" customWidth="1"/>
    <col min="774" max="775" width="0" style="491" hidden="1" customWidth="1"/>
    <col min="776" max="777" width="12.140625" style="491" bestFit="1" customWidth="1"/>
    <col min="778" max="1024" width="11.28515625" style="491"/>
    <col min="1025" max="1025" width="34.140625" style="491" customWidth="1"/>
    <col min="1026" max="1026" width="18.5703125" style="491" customWidth="1"/>
    <col min="1027" max="1027" width="18" style="491" customWidth="1"/>
    <col min="1028" max="1028" width="15" style="491" customWidth="1"/>
    <col min="1029" max="1029" width="17.140625" style="491" customWidth="1"/>
    <col min="1030" max="1031" width="0" style="491" hidden="1" customWidth="1"/>
    <col min="1032" max="1033" width="12.140625" style="491" bestFit="1" customWidth="1"/>
    <col min="1034" max="1280" width="11.28515625" style="491"/>
    <col min="1281" max="1281" width="34.140625" style="491" customWidth="1"/>
    <col min="1282" max="1282" width="18.5703125" style="491" customWidth="1"/>
    <col min="1283" max="1283" width="18" style="491" customWidth="1"/>
    <col min="1284" max="1284" width="15" style="491" customWidth="1"/>
    <col min="1285" max="1285" width="17.140625" style="491" customWidth="1"/>
    <col min="1286" max="1287" width="0" style="491" hidden="1" customWidth="1"/>
    <col min="1288" max="1289" width="12.140625" style="491" bestFit="1" customWidth="1"/>
    <col min="1290" max="1536" width="11.28515625" style="491"/>
    <col min="1537" max="1537" width="34.140625" style="491" customWidth="1"/>
    <col min="1538" max="1538" width="18.5703125" style="491" customWidth="1"/>
    <col min="1539" max="1539" width="18" style="491" customWidth="1"/>
    <col min="1540" max="1540" width="15" style="491" customWidth="1"/>
    <col min="1541" max="1541" width="17.140625" style="491" customWidth="1"/>
    <col min="1542" max="1543" width="0" style="491" hidden="1" customWidth="1"/>
    <col min="1544" max="1545" width="12.140625" style="491" bestFit="1" customWidth="1"/>
    <col min="1546" max="1792" width="11.28515625" style="491"/>
    <col min="1793" max="1793" width="34.140625" style="491" customWidth="1"/>
    <col min="1794" max="1794" width="18.5703125" style="491" customWidth="1"/>
    <col min="1795" max="1795" width="18" style="491" customWidth="1"/>
    <col min="1796" max="1796" width="15" style="491" customWidth="1"/>
    <col min="1797" max="1797" width="17.140625" style="491" customWidth="1"/>
    <col min="1798" max="1799" width="0" style="491" hidden="1" customWidth="1"/>
    <col min="1800" max="1801" width="12.140625" style="491" bestFit="1" customWidth="1"/>
    <col min="1802" max="2048" width="11.28515625" style="491"/>
    <col min="2049" max="2049" width="34.140625" style="491" customWidth="1"/>
    <col min="2050" max="2050" width="18.5703125" style="491" customWidth="1"/>
    <col min="2051" max="2051" width="18" style="491" customWidth="1"/>
    <col min="2052" max="2052" width="15" style="491" customWidth="1"/>
    <col min="2053" max="2053" width="17.140625" style="491" customWidth="1"/>
    <col min="2054" max="2055" width="0" style="491" hidden="1" customWidth="1"/>
    <col min="2056" max="2057" width="12.140625" style="491" bestFit="1" customWidth="1"/>
    <col min="2058" max="2304" width="11.28515625" style="491"/>
    <col min="2305" max="2305" width="34.140625" style="491" customWidth="1"/>
    <col min="2306" max="2306" width="18.5703125" style="491" customWidth="1"/>
    <col min="2307" max="2307" width="18" style="491" customWidth="1"/>
    <col min="2308" max="2308" width="15" style="491" customWidth="1"/>
    <col min="2309" max="2309" width="17.140625" style="491" customWidth="1"/>
    <col min="2310" max="2311" width="0" style="491" hidden="1" customWidth="1"/>
    <col min="2312" max="2313" width="12.140625" style="491" bestFit="1" customWidth="1"/>
    <col min="2314" max="2560" width="11.28515625" style="491"/>
    <col min="2561" max="2561" width="34.140625" style="491" customWidth="1"/>
    <col min="2562" max="2562" width="18.5703125" style="491" customWidth="1"/>
    <col min="2563" max="2563" width="18" style="491" customWidth="1"/>
    <col min="2564" max="2564" width="15" style="491" customWidth="1"/>
    <col min="2565" max="2565" width="17.140625" style="491" customWidth="1"/>
    <col min="2566" max="2567" width="0" style="491" hidden="1" customWidth="1"/>
    <col min="2568" max="2569" width="12.140625" style="491" bestFit="1" customWidth="1"/>
    <col min="2570" max="2816" width="11.28515625" style="491"/>
    <col min="2817" max="2817" width="34.140625" style="491" customWidth="1"/>
    <col min="2818" max="2818" width="18.5703125" style="491" customWidth="1"/>
    <col min="2819" max="2819" width="18" style="491" customWidth="1"/>
    <col min="2820" max="2820" width="15" style="491" customWidth="1"/>
    <col min="2821" max="2821" width="17.140625" style="491" customWidth="1"/>
    <col min="2822" max="2823" width="0" style="491" hidden="1" customWidth="1"/>
    <col min="2824" max="2825" width="12.140625" style="491" bestFit="1" customWidth="1"/>
    <col min="2826" max="3072" width="11.28515625" style="491"/>
    <col min="3073" max="3073" width="34.140625" style="491" customWidth="1"/>
    <col min="3074" max="3074" width="18.5703125" style="491" customWidth="1"/>
    <col min="3075" max="3075" width="18" style="491" customWidth="1"/>
    <col min="3076" max="3076" width="15" style="491" customWidth="1"/>
    <col min="3077" max="3077" width="17.140625" style="491" customWidth="1"/>
    <col min="3078" max="3079" width="0" style="491" hidden="1" customWidth="1"/>
    <col min="3080" max="3081" width="12.140625" style="491" bestFit="1" customWidth="1"/>
    <col min="3082" max="3328" width="11.28515625" style="491"/>
    <col min="3329" max="3329" width="34.140625" style="491" customWidth="1"/>
    <col min="3330" max="3330" width="18.5703125" style="491" customWidth="1"/>
    <col min="3331" max="3331" width="18" style="491" customWidth="1"/>
    <col min="3332" max="3332" width="15" style="491" customWidth="1"/>
    <col min="3333" max="3333" width="17.140625" style="491" customWidth="1"/>
    <col min="3334" max="3335" width="0" style="491" hidden="1" customWidth="1"/>
    <col min="3336" max="3337" width="12.140625" style="491" bestFit="1" customWidth="1"/>
    <col min="3338" max="3584" width="11.28515625" style="491"/>
    <col min="3585" max="3585" width="34.140625" style="491" customWidth="1"/>
    <col min="3586" max="3586" width="18.5703125" style="491" customWidth="1"/>
    <col min="3587" max="3587" width="18" style="491" customWidth="1"/>
    <col min="3588" max="3588" width="15" style="491" customWidth="1"/>
    <col min="3589" max="3589" width="17.140625" style="491" customWidth="1"/>
    <col min="3590" max="3591" width="0" style="491" hidden="1" customWidth="1"/>
    <col min="3592" max="3593" width="12.140625" style="491" bestFit="1" customWidth="1"/>
    <col min="3594" max="3840" width="11.28515625" style="491"/>
    <col min="3841" max="3841" width="34.140625" style="491" customWidth="1"/>
    <col min="3842" max="3842" width="18.5703125" style="491" customWidth="1"/>
    <col min="3843" max="3843" width="18" style="491" customWidth="1"/>
    <col min="3844" max="3844" width="15" style="491" customWidth="1"/>
    <col min="3845" max="3845" width="17.140625" style="491" customWidth="1"/>
    <col min="3846" max="3847" width="0" style="491" hidden="1" customWidth="1"/>
    <col min="3848" max="3849" width="12.140625" style="491" bestFit="1" customWidth="1"/>
    <col min="3850" max="4096" width="11.28515625" style="491"/>
    <col min="4097" max="4097" width="34.140625" style="491" customWidth="1"/>
    <col min="4098" max="4098" width="18.5703125" style="491" customWidth="1"/>
    <col min="4099" max="4099" width="18" style="491" customWidth="1"/>
    <col min="4100" max="4100" width="15" style="491" customWidth="1"/>
    <col min="4101" max="4101" width="17.140625" style="491" customWidth="1"/>
    <col min="4102" max="4103" width="0" style="491" hidden="1" customWidth="1"/>
    <col min="4104" max="4105" width="12.140625" style="491" bestFit="1" customWidth="1"/>
    <col min="4106" max="4352" width="11.28515625" style="491"/>
    <col min="4353" max="4353" width="34.140625" style="491" customWidth="1"/>
    <col min="4354" max="4354" width="18.5703125" style="491" customWidth="1"/>
    <col min="4355" max="4355" width="18" style="491" customWidth="1"/>
    <col min="4356" max="4356" width="15" style="491" customWidth="1"/>
    <col min="4357" max="4357" width="17.140625" style="491" customWidth="1"/>
    <col min="4358" max="4359" width="0" style="491" hidden="1" customWidth="1"/>
    <col min="4360" max="4361" width="12.140625" style="491" bestFit="1" customWidth="1"/>
    <col min="4362" max="4608" width="11.28515625" style="491"/>
    <col min="4609" max="4609" width="34.140625" style="491" customWidth="1"/>
    <col min="4610" max="4610" width="18.5703125" style="491" customWidth="1"/>
    <col min="4611" max="4611" width="18" style="491" customWidth="1"/>
    <col min="4612" max="4612" width="15" style="491" customWidth="1"/>
    <col min="4613" max="4613" width="17.140625" style="491" customWidth="1"/>
    <col min="4614" max="4615" width="0" style="491" hidden="1" customWidth="1"/>
    <col min="4616" max="4617" width="12.140625" style="491" bestFit="1" customWidth="1"/>
    <col min="4618" max="4864" width="11.28515625" style="491"/>
    <col min="4865" max="4865" width="34.140625" style="491" customWidth="1"/>
    <col min="4866" max="4866" width="18.5703125" style="491" customWidth="1"/>
    <col min="4867" max="4867" width="18" style="491" customWidth="1"/>
    <col min="4868" max="4868" width="15" style="491" customWidth="1"/>
    <col min="4869" max="4869" width="17.140625" style="491" customWidth="1"/>
    <col min="4870" max="4871" width="0" style="491" hidden="1" customWidth="1"/>
    <col min="4872" max="4873" width="12.140625" style="491" bestFit="1" customWidth="1"/>
    <col min="4874" max="5120" width="11.28515625" style="491"/>
    <col min="5121" max="5121" width="34.140625" style="491" customWidth="1"/>
    <col min="5122" max="5122" width="18.5703125" style="491" customWidth="1"/>
    <col min="5123" max="5123" width="18" style="491" customWidth="1"/>
    <col min="5124" max="5124" width="15" style="491" customWidth="1"/>
    <col min="5125" max="5125" width="17.140625" style="491" customWidth="1"/>
    <col min="5126" max="5127" width="0" style="491" hidden="1" customWidth="1"/>
    <col min="5128" max="5129" width="12.140625" style="491" bestFit="1" customWidth="1"/>
    <col min="5130" max="5376" width="11.28515625" style="491"/>
    <col min="5377" max="5377" width="34.140625" style="491" customWidth="1"/>
    <col min="5378" max="5378" width="18.5703125" style="491" customWidth="1"/>
    <col min="5379" max="5379" width="18" style="491" customWidth="1"/>
    <col min="5380" max="5380" width="15" style="491" customWidth="1"/>
    <col min="5381" max="5381" width="17.140625" style="491" customWidth="1"/>
    <col min="5382" max="5383" width="0" style="491" hidden="1" customWidth="1"/>
    <col min="5384" max="5385" width="12.140625" style="491" bestFit="1" customWidth="1"/>
    <col min="5386" max="5632" width="11.28515625" style="491"/>
    <col min="5633" max="5633" width="34.140625" style="491" customWidth="1"/>
    <col min="5634" max="5634" width="18.5703125" style="491" customWidth="1"/>
    <col min="5635" max="5635" width="18" style="491" customWidth="1"/>
    <col min="5636" max="5636" width="15" style="491" customWidth="1"/>
    <col min="5637" max="5637" width="17.140625" style="491" customWidth="1"/>
    <col min="5638" max="5639" width="0" style="491" hidden="1" customWidth="1"/>
    <col min="5640" max="5641" width="12.140625" style="491" bestFit="1" customWidth="1"/>
    <col min="5642" max="5888" width="11.28515625" style="491"/>
    <col min="5889" max="5889" width="34.140625" style="491" customWidth="1"/>
    <col min="5890" max="5890" width="18.5703125" style="491" customWidth="1"/>
    <col min="5891" max="5891" width="18" style="491" customWidth="1"/>
    <col min="5892" max="5892" width="15" style="491" customWidth="1"/>
    <col min="5893" max="5893" width="17.140625" style="491" customWidth="1"/>
    <col min="5894" max="5895" width="0" style="491" hidden="1" customWidth="1"/>
    <col min="5896" max="5897" width="12.140625" style="491" bestFit="1" customWidth="1"/>
    <col min="5898" max="6144" width="11.28515625" style="491"/>
    <col min="6145" max="6145" width="34.140625" style="491" customWidth="1"/>
    <col min="6146" max="6146" width="18.5703125" style="491" customWidth="1"/>
    <col min="6147" max="6147" width="18" style="491" customWidth="1"/>
    <col min="6148" max="6148" width="15" style="491" customWidth="1"/>
    <col min="6149" max="6149" width="17.140625" style="491" customWidth="1"/>
    <col min="6150" max="6151" width="0" style="491" hidden="1" customWidth="1"/>
    <col min="6152" max="6153" width="12.140625" style="491" bestFit="1" customWidth="1"/>
    <col min="6154" max="6400" width="11.28515625" style="491"/>
    <col min="6401" max="6401" width="34.140625" style="491" customWidth="1"/>
    <col min="6402" max="6402" width="18.5703125" style="491" customWidth="1"/>
    <col min="6403" max="6403" width="18" style="491" customWidth="1"/>
    <col min="6404" max="6404" width="15" style="491" customWidth="1"/>
    <col min="6405" max="6405" width="17.140625" style="491" customWidth="1"/>
    <col min="6406" max="6407" width="0" style="491" hidden="1" customWidth="1"/>
    <col min="6408" max="6409" width="12.140625" style="491" bestFit="1" customWidth="1"/>
    <col min="6410" max="6656" width="11.28515625" style="491"/>
    <col min="6657" max="6657" width="34.140625" style="491" customWidth="1"/>
    <col min="6658" max="6658" width="18.5703125" style="491" customWidth="1"/>
    <col min="6659" max="6659" width="18" style="491" customWidth="1"/>
    <col min="6660" max="6660" width="15" style="491" customWidth="1"/>
    <col min="6661" max="6661" width="17.140625" style="491" customWidth="1"/>
    <col min="6662" max="6663" width="0" style="491" hidden="1" customWidth="1"/>
    <col min="6664" max="6665" width="12.140625" style="491" bestFit="1" customWidth="1"/>
    <col min="6666" max="6912" width="11.28515625" style="491"/>
    <col min="6913" max="6913" width="34.140625" style="491" customWidth="1"/>
    <col min="6914" max="6914" width="18.5703125" style="491" customWidth="1"/>
    <col min="6915" max="6915" width="18" style="491" customWidth="1"/>
    <col min="6916" max="6916" width="15" style="491" customWidth="1"/>
    <col min="6917" max="6917" width="17.140625" style="491" customWidth="1"/>
    <col min="6918" max="6919" width="0" style="491" hidden="1" customWidth="1"/>
    <col min="6920" max="6921" width="12.140625" style="491" bestFit="1" customWidth="1"/>
    <col min="6922" max="7168" width="11.28515625" style="491"/>
    <col min="7169" max="7169" width="34.140625" style="491" customWidth="1"/>
    <col min="7170" max="7170" width="18.5703125" style="491" customWidth="1"/>
    <col min="7171" max="7171" width="18" style="491" customWidth="1"/>
    <col min="7172" max="7172" width="15" style="491" customWidth="1"/>
    <col min="7173" max="7173" width="17.140625" style="491" customWidth="1"/>
    <col min="7174" max="7175" width="0" style="491" hidden="1" customWidth="1"/>
    <col min="7176" max="7177" width="12.140625" style="491" bestFit="1" customWidth="1"/>
    <col min="7178" max="7424" width="11.28515625" style="491"/>
    <col min="7425" max="7425" width="34.140625" style="491" customWidth="1"/>
    <col min="7426" max="7426" width="18.5703125" style="491" customWidth="1"/>
    <col min="7427" max="7427" width="18" style="491" customWidth="1"/>
    <col min="7428" max="7428" width="15" style="491" customWidth="1"/>
    <col min="7429" max="7429" width="17.140625" style="491" customWidth="1"/>
    <col min="7430" max="7431" width="0" style="491" hidden="1" customWidth="1"/>
    <col min="7432" max="7433" width="12.140625" style="491" bestFit="1" customWidth="1"/>
    <col min="7434" max="7680" width="11.28515625" style="491"/>
    <col min="7681" max="7681" width="34.140625" style="491" customWidth="1"/>
    <col min="7682" max="7682" width="18.5703125" style="491" customWidth="1"/>
    <col min="7683" max="7683" width="18" style="491" customWidth="1"/>
    <col min="7684" max="7684" width="15" style="491" customWidth="1"/>
    <col min="7685" max="7685" width="17.140625" style="491" customWidth="1"/>
    <col min="7686" max="7687" width="0" style="491" hidden="1" customWidth="1"/>
    <col min="7688" max="7689" width="12.140625" style="491" bestFit="1" customWidth="1"/>
    <col min="7690" max="7936" width="11.28515625" style="491"/>
    <col min="7937" max="7937" width="34.140625" style="491" customWidth="1"/>
    <col min="7938" max="7938" width="18.5703125" style="491" customWidth="1"/>
    <col min="7939" max="7939" width="18" style="491" customWidth="1"/>
    <col min="7940" max="7940" width="15" style="491" customWidth="1"/>
    <col min="7941" max="7941" width="17.140625" style="491" customWidth="1"/>
    <col min="7942" max="7943" width="0" style="491" hidden="1" customWidth="1"/>
    <col min="7944" max="7945" width="12.140625" style="491" bestFit="1" customWidth="1"/>
    <col min="7946" max="8192" width="11.28515625" style="491"/>
    <col min="8193" max="8193" width="34.140625" style="491" customWidth="1"/>
    <col min="8194" max="8194" width="18.5703125" style="491" customWidth="1"/>
    <col min="8195" max="8195" width="18" style="491" customWidth="1"/>
    <col min="8196" max="8196" width="15" style="491" customWidth="1"/>
    <col min="8197" max="8197" width="17.140625" style="491" customWidth="1"/>
    <col min="8198" max="8199" width="0" style="491" hidden="1" customWidth="1"/>
    <col min="8200" max="8201" width="12.140625" style="491" bestFit="1" customWidth="1"/>
    <col min="8202" max="8448" width="11.28515625" style="491"/>
    <col min="8449" max="8449" width="34.140625" style="491" customWidth="1"/>
    <col min="8450" max="8450" width="18.5703125" style="491" customWidth="1"/>
    <col min="8451" max="8451" width="18" style="491" customWidth="1"/>
    <col min="8452" max="8452" width="15" style="491" customWidth="1"/>
    <col min="8453" max="8453" width="17.140625" style="491" customWidth="1"/>
    <col min="8454" max="8455" width="0" style="491" hidden="1" customWidth="1"/>
    <col min="8456" max="8457" width="12.140625" style="491" bestFit="1" customWidth="1"/>
    <col min="8458" max="8704" width="11.28515625" style="491"/>
    <col min="8705" max="8705" width="34.140625" style="491" customWidth="1"/>
    <col min="8706" max="8706" width="18.5703125" style="491" customWidth="1"/>
    <col min="8707" max="8707" width="18" style="491" customWidth="1"/>
    <col min="8708" max="8708" width="15" style="491" customWidth="1"/>
    <col min="8709" max="8709" width="17.140625" style="491" customWidth="1"/>
    <col min="8710" max="8711" width="0" style="491" hidden="1" customWidth="1"/>
    <col min="8712" max="8713" width="12.140625" style="491" bestFit="1" customWidth="1"/>
    <col min="8714" max="8960" width="11.28515625" style="491"/>
    <col min="8961" max="8961" width="34.140625" style="491" customWidth="1"/>
    <col min="8962" max="8962" width="18.5703125" style="491" customWidth="1"/>
    <col min="8963" max="8963" width="18" style="491" customWidth="1"/>
    <col min="8964" max="8964" width="15" style="491" customWidth="1"/>
    <col min="8965" max="8965" width="17.140625" style="491" customWidth="1"/>
    <col min="8966" max="8967" width="0" style="491" hidden="1" customWidth="1"/>
    <col min="8968" max="8969" width="12.140625" style="491" bestFit="1" customWidth="1"/>
    <col min="8970" max="9216" width="11.28515625" style="491"/>
    <col min="9217" max="9217" width="34.140625" style="491" customWidth="1"/>
    <col min="9218" max="9218" width="18.5703125" style="491" customWidth="1"/>
    <col min="9219" max="9219" width="18" style="491" customWidth="1"/>
    <col min="9220" max="9220" width="15" style="491" customWidth="1"/>
    <col min="9221" max="9221" width="17.140625" style="491" customWidth="1"/>
    <col min="9222" max="9223" width="0" style="491" hidden="1" customWidth="1"/>
    <col min="9224" max="9225" width="12.140625" style="491" bestFit="1" customWidth="1"/>
    <col min="9226" max="9472" width="11.28515625" style="491"/>
    <col min="9473" max="9473" width="34.140625" style="491" customWidth="1"/>
    <col min="9474" max="9474" width="18.5703125" style="491" customWidth="1"/>
    <col min="9475" max="9475" width="18" style="491" customWidth="1"/>
    <col min="9476" max="9476" width="15" style="491" customWidth="1"/>
    <col min="9477" max="9477" width="17.140625" style="491" customWidth="1"/>
    <col min="9478" max="9479" width="0" style="491" hidden="1" customWidth="1"/>
    <col min="9480" max="9481" width="12.140625" style="491" bestFit="1" customWidth="1"/>
    <col min="9482" max="9728" width="11.28515625" style="491"/>
    <col min="9729" max="9729" width="34.140625" style="491" customWidth="1"/>
    <col min="9730" max="9730" width="18.5703125" style="491" customWidth="1"/>
    <col min="9731" max="9731" width="18" style="491" customWidth="1"/>
    <col min="9732" max="9732" width="15" style="491" customWidth="1"/>
    <col min="9733" max="9733" width="17.140625" style="491" customWidth="1"/>
    <col min="9734" max="9735" width="0" style="491" hidden="1" customWidth="1"/>
    <col min="9736" max="9737" width="12.140625" style="491" bestFit="1" customWidth="1"/>
    <col min="9738" max="9984" width="11.28515625" style="491"/>
    <col min="9985" max="9985" width="34.140625" style="491" customWidth="1"/>
    <col min="9986" max="9986" width="18.5703125" style="491" customWidth="1"/>
    <col min="9987" max="9987" width="18" style="491" customWidth="1"/>
    <col min="9988" max="9988" width="15" style="491" customWidth="1"/>
    <col min="9989" max="9989" width="17.140625" style="491" customWidth="1"/>
    <col min="9990" max="9991" width="0" style="491" hidden="1" customWidth="1"/>
    <col min="9992" max="9993" width="12.140625" style="491" bestFit="1" customWidth="1"/>
    <col min="9994" max="10240" width="11.28515625" style="491"/>
    <col min="10241" max="10241" width="34.140625" style="491" customWidth="1"/>
    <col min="10242" max="10242" width="18.5703125" style="491" customWidth="1"/>
    <col min="10243" max="10243" width="18" style="491" customWidth="1"/>
    <col min="10244" max="10244" width="15" style="491" customWidth="1"/>
    <col min="10245" max="10245" width="17.140625" style="491" customWidth="1"/>
    <col min="10246" max="10247" width="0" style="491" hidden="1" customWidth="1"/>
    <col min="10248" max="10249" width="12.140625" style="491" bestFit="1" customWidth="1"/>
    <col min="10250" max="10496" width="11.28515625" style="491"/>
    <col min="10497" max="10497" width="34.140625" style="491" customWidth="1"/>
    <col min="10498" max="10498" width="18.5703125" style="491" customWidth="1"/>
    <col min="10499" max="10499" width="18" style="491" customWidth="1"/>
    <col min="10500" max="10500" width="15" style="491" customWidth="1"/>
    <col min="10501" max="10501" width="17.140625" style="491" customWidth="1"/>
    <col min="10502" max="10503" width="0" style="491" hidden="1" customWidth="1"/>
    <col min="10504" max="10505" width="12.140625" style="491" bestFit="1" customWidth="1"/>
    <col min="10506" max="10752" width="11.28515625" style="491"/>
    <col min="10753" max="10753" width="34.140625" style="491" customWidth="1"/>
    <col min="10754" max="10754" width="18.5703125" style="491" customWidth="1"/>
    <col min="10755" max="10755" width="18" style="491" customWidth="1"/>
    <col min="10756" max="10756" width="15" style="491" customWidth="1"/>
    <col min="10757" max="10757" width="17.140625" style="491" customWidth="1"/>
    <col min="10758" max="10759" width="0" style="491" hidden="1" customWidth="1"/>
    <col min="10760" max="10761" width="12.140625" style="491" bestFit="1" customWidth="1"/>
    <col min="10762" max="11008" width="11.28515625" style="491"/>
    <col min="11009" max="11009" width="34.140625" style="491" customWidth="1"/>
    <col min="11010" max="11010" width="18.5703125" style="491" customWidth="1"/>
    <col min="11011" max="11011" width="18" style="491" customWidth="1"/>
    <col min="11012" max="11012" width="15" style="491" customWidth="1"/>
    <col min="11013" max="11013" width="17.140625" style="491" customWidth="1"/>
    <col min="11014" max="11015" width="0" style="491" hidden="1" customWidth="1"/>
    <col min="11016" max="11017" width="12.140625" style="491" bestFit="1" customWidth="1"/>
    <col min="11018" max="11264" width="11.28515625" style="491"/>
    <col min="11265" max="11265" width="34.140625" style="491" customWidth="1"/>
    <col min="11266" max="11266" width="18.5703125" style="491" customWidth="1"/>
    <col min="11267" max="11267" width="18" style="491" customWidth="1"/>
    <col min="11268" max="11268" width="15" style="491" customWidth="1"/>
    <col min="11269" max="11269" width="17.140625" style="491" customWidth="1"/>
    <col min="11270" max="11271" width="0" style="491" hidden="1" customWidth="1"/>
    <col min="11272" max="11273" width="12.140625" style="491" bestFit="1" customWidth="1"/>
    <col min="11274" max="11520" width="11.28515625" style="491"/>
    <col min="11521" max="11521" width="34.140625" style="491" customWidth="1"/>
    <col min="11522" max="11522" width="18.5703125" style="491" customWidth="1"/>
    <col min="11523" max="11523" width="18" style="491" customWidth="1"/>
    <col min="11524" max="11524" width="15" style="491" customWidth="1"/>
    <col min="11525" max="11525" width="17.140625" style="491" customWidth="1"/>
    <col min="11526" max="11527" width="0" style="491" hidden="1" customWidth="1"/>
    <col min="11528" max="11529" width="12.140625" style="491" bestFit="1" customWidth="1"/>
    <col min="11530" max="11776" width="11.28515625" style="491"/>
    <col min="11777" max="11777" width="34.140625" style="491" customWidth="1"/>
    <col min="11778" max="11778" width="18.5703125" style="491" customWidth="1"/>
    <col min="11779" max="11779" width="18" style="491" customWidth="1"/>
    <col min="11780" max="11780" width="15" style="491" customWidth="1"/>
    <col min="11781" max="11781" width="17.140625" style="491" customWidth="1"/>
    <col min="11782" max="11783" width="0" style="491" hidden="1" customWidth="1"/>
    <col min="11784" max="11785" width="12.140625" style="491" bestFit="1" customWidth="1"/>
    <col min="11786" max="12032" width="11.28515625" style="491"/>
    <col min="12033" max="12033" width="34.140625" style="491" customWidth="1"/>
    <col min="12034" max="12034" width="18.5703125" style="491" customWidth="1"/>
    <col min="12035" max="12035" width="18" style="491" customWidth="1"/>
    <col min="12036" max="12036" width="15" style="491" customWidth="1"/>
    <col min="12037" max="12037" width="17.140625" style="491" customWidth="1"/>
    <col min="12038" max="12039" width="0" style="491" hidden="1" customWidth="1"/>
    <col min="12040" max="12041" width="12.140625" style="491" bestFit="1" customWidth="1"/>
    <col min="12042" max="12288" width="11.28515625" style="491"/>
    <col min="12289" max="12289" width="34.140625" style="491" customWidth="1"/>
    <col min="12290" max="12290" width="18.5703125" style="491" customWidth="1"/>
    <col min="12291" max="12291" width="18" style="491" customWidth="1"/>
    <col min="12292" max="12292" width="15" style="491" customWidth="1"/>
    <col min="12293" max="12293" width="17.140625" style="491" customWidth="1"/>
    <col min="12294" max="12295" width="0" style="491" hidden="1" customWidth="1"/>
    <col min="12296" max="12297" width="12.140625" style="491" bestFit="1" customWidth="1"/>
    <col min="12298" max="12544" width="11.28515625" style="491"/>
    <col min="12545" max="12545" width="34.140625" style="491" customWidth="1"/>
    <col min="12546" max="12546" width="18.5703125" style="491" customWidth="1"/>
    <col min="12547" max="12547" width="18" style="491" customWidth="1"/>
    <col min="12548" max="12548" width="15" style="491" customWidth="1"/>
    <col min="12549" max="12549" width="17.140625" style="491" customWidth="1"/>
    <col min="12550" max="12551" width="0" style="491" hidden="1" customWidth="1"/>
    <col min="12552" max="12553" width="12.140625" style="491" bestFit="1" customWidth="1"/>
    <col min="12554" max="12800" width="11.28515625" style="491"/>
    <col min="12801" max="12801" width="34.140625" style="491" customWidth="1"/>
    <col min="12802" max="12802" width="18.5703125" style="491" customWidth="1"/>
    <col min="12803" max="12803" width="18" style="491" customWidth="1"/>
    <col min="12804" max="12804" width="15" style="491" customWidth="1"/>
    <col min="12805" max="12805" width="17.140625" style="491" customWidth="1"/>
    <col min="12806" max="12807" width="0" style="491" hidden="1" customWidth="1"/>
    <col min="12808" max="12809" width="12.140625" style="491" bestFit="1" customWidth="1"/>
    <col min="12810" max="13056" width="11.28515625" style="491"/>
    <col min="13057" max="13057" width="34.140625" style="491" customWidth="1"/>
    <col min="13058" max="13058" width="18.5703125" style="491" customWidth="1"/>
    <col min="13059" max="13059" width="18" style="491" customWidth="1"/>
    <col min="13060" max="13060" width="15" style="491" customWidth="1"/>
    <col min="13061" max="13061" width="17.140625" style="491" customWidth="1"/>
    <col min="13062" max="13063" width="0" style="491" hidden="1" customWidth="1"/>
    <col min="13064" max="13065" width="12.140625" style="491" bestFit="1" customWidth="1"/>
    <col min="13066" max="13312" width="11.28515625" style="491"/>
    <col min="13313" max="13313" width="34.140625" style="491" customWidth="1"/>
    <col min="13314" max="13314" width="18.5703125" style="491" customWidth="1"/>
    <col min="13315" max="13315" width="18" style="491" customWidth="1"/>
    <col min="13316" max="13316" width="15" style="491" customWidth="1"/>
    <col min="13317" max="13317" width="17.140625" style="491" customWidth="1"/>
    <col min="13318" max="13319" width="0" style="491" hidden="1" customWidth="1"/>
    <col min="13320" max="13321" width="12.140625" style="491" bestFit="1" customWidth="1"/>
    <col min="13322" max="13568" width="11.28515625" style="491"/>
    <col min="13569" max="13569" width="34.140625" style="491" customWidth="1"/>
    <col min="13570" max="13570" width="18.5703125" style="491" customWidth="1"/>
    <col min="13571" max="13571" width="18" style="491" customWidth="1"/>
    <col min="13572" max="13572" width="15" style="491" customWidth="1"/>
    <col min="13573" max="13573" width="17.140625" style="491" customWidth="1"/>
    <col min="13574" max="13575" width="0" style="491" hidden="1" customWidth="1"/>
    <col min="13576" max="13577" width="12.140625" style="491" bestFit="1" customWidth="1"/>
    <col min="13578" max="13824" width="11.28515625" style="491"/>
    <col min="13825" max="13825" width="34.140625" style="491" customWidth="1"/>
    <col min="13826" max="13826" width="18.5703125" style="491" customWidth="1"/>
    <col min="13827" max="13827" width="18" style="491" customWidth="1"/>
    <col min="13828" max="13828" width="15" style="491" customWidth="1"/>
    <col min="13829" max="13829" width="17.140625" style="491" customWidth="1"/>
    <col min="13830" max="13831" width="0" style="491" hidden="1" customWidth="1"/>
    <col min="13832" max="13833" width="12.140625" style="491" bestFit="1" customWidth="1"/>
    <col min="13834" max="14080" width="11.28515625" style="491"/>
    <col min="14081" max="14081" width="34.140625" style="491" customWidth="1"/>
    <col min="14082" max="14082" width="18.5703125" style="491" customWidth="1"/>
    <col min="14083" max="14083" width="18" style="491" customWidth="1"/>
    <col min="14084" max="14084" width="15" style="491" customWidth="1"/>
    <col min="14085" max="14085" width="17.140625" style="491" customWidth="1"/>
    <col min="14086" max="14087" width="0" style="491" hidden="1" customWidth="1"/>
    <col min="14088" max="14089" width="12.140625" style="491" bestFit="1" customWidth="1"/>
    <col min="14090" max="14336" width="11.28515625" style="491"/>
    <col min="14337" max="14337" width="34.140625" style="491" customWidth="1"/>
    <col min="14338" max="14338" width="18.5703125" style="491" customWidth="1"/>
    <col min="14339" max="14339" width="18" style="491" customWidth="1"/>
    <col min="14340" max="14340" width="15" style="491" customWidth="1"/>
    <col min="14341" max="14341" width="17.140625" style="491" customWidth="1"/>
    <col min="14342" max="14343" width="0" style="491" hidden="1" customWidth="1"/>
    <col min="14344" max="14345" width="12.140625" style="491" bestFit="1" customWidth="1"/>
    <col min="14346" max="14592" width="11.28515625" style="491"/>
    <col min="14593" max="14593" width="34.140625" style="491" customWidth="1"/>
    <col min="14594" max="14594" width="18.5703125" style="491" customWidth="1"/>
    <col min="14595" max="14595" width="18" style="491" customWidth="1"/>
    <col min="14596" max="14596" width="15" style="491" customWidth="1"/>
    <col min="14597" max="14597" width="17.140625" style="491" customWidth="1"/>
    <col min="14598" max="14599" width="0" style="491" hidden="1" customWidth="1"/>
    <col min="14600" max="14601" width="12.140625" style="491" bestFit="1" customWidth="1"/>
    <col min="14602" max="14848" width="11.28515625" style="491"/>
    <col min="14849" max="14849" width="34.140625" style="491" customWidth="1"/>
    <col min="14850" max="14850" width="18.5703125" style="491" customWidth="1"/>
    <col min="14851" max="14851" width="18" style="491" customWidth="1"/>
    <col min="14852" max="14852" width="15" style="491" customWidth="1"/>
    <col min="14853" max="14853" width="17.140625" style="491" customWidth="1"/>
    <col min="14854" max="14855" width="0" style="491" hidden="1" customWidth="1"/>
    <col min="14856" max="14857" width="12.140625" style="491" bestFit="1" customWidth="1"/>
    <col min="14858" max="15104" width="11.28515625" style="491"/>
    <col min="15105" max="15105" width="34.140625" style="491" customWidth="1"/>
    <col min="15106" max="15106" width="18.5703125" style="491" customWidth="1"/>
    <col min="15107" max="15107" width="18" style="491" customWidth="1"/>
    <col min="15108" max="15108" width="15" style="491" customWidth="1"/>
    <col min="15109" max="15109" width="17.140625" style="491" customWidth="1"/>
    <col min="15110" max="15111" width="0" style="491" hidden="1" customWidth="1"/>
    <col min="15112" max="15113" width="12.140625" style="491" bestFit="1" customWidth="1"/>
    <col min="15114" max="15360" width="11.28515625" style="491"/>
    <col min="15361" max="15361" width="34.140625" style="491" customWidth="1"/>
    <col min="15362" max="15362" width="18.5703125" style="491" customWidth="1"/>
    <col min="15363" max="15363" width="18" style="491" customWidth="1"/>
    <col min="15364" max="15364" width="15" style="491" customWidth="1"/>
    <col min="15365" max="15365" width="17.140625" style="491" customWidth="1"/>
    <col min="15366" max="15367" width="0" style="491" hidden="1" customWidth="1"/>
    <col min="15368" max="15369" width="12.140625" style="491" bestFit="1" customWidth="1"/>
    <col min="15370" max="15616" width="11.28515625" style="491"/>
    <col min="15617" max="15617" width="34.140625" style="491" customWidth="1"/>
    <col min="15618" max="15618" width="18.5703125" style="491" customWidth="1"/>
    <col min="15619" max="15619" width="18" style="491" customWidth="1"/>
    <col min="15620" max="15620" width="15" style="491" customWidth="1"/>
    <col min="15621" max="15621" width="17.140625" style="491" customWidth="1"/>
    <col min="15622" max="15623" width="0" style="491" hidden="1" customWidth="1"/>
    <col min="15624" max="15625" width="12.140625" style="491" bestFit="1" customWidth="1"/>
    <col min="15626" max="15872" width="11.28515625" style="491"/>
    <col min="15873" max="15873" width="34.140625" style="491" customWidth="1"/>
    <col min="15874" max="15874" width="18.5703125" style="491" customWidth="1"/>
    <col min="15875" max="15875" width="18" style="491" customWidth="1"/>
    <col min="15876" max="15876" width="15" style="491" customWidth="1"/>
    <col min="15877" max="15877" width="17.140625" style="491" customWidth="1"/>
    <col min="15878" max="15879" width="0" style="491" hidden="1" customWidth="1"/>
    <col min="15880" max="15881" width="12.140625" style="491" bestFit="1" customWidth="1"/>
    <col min="15882" max="16128" width="11.28515625" style="491"/>
    <col min="16129" max="16129" width="34.140625" style="491" customWidth="1"/>
    <col min="16130" max="16130" width="18.5703125" style="491" customWidth="1"/>
    <col min="16131" max="16131" width="18" style="491" customWidth="1"/>
    <col min="16132" max="16132" width="15" style="491" customWidth="1"/>
    <col min="16133" max="16133" width="17.140625" style="491" customWidth="1"/>
    <col min="16134" max="16135" width="0" style="491" hidden="1" customWidth="1"/>
    <col min="16136" max="16137" width="12.140625" style="491" bestFit="1" customWidth="1"/>
    <col min="16138" max="16384" width="11.28515625" style="491"/>
  </cols>
  <sheetData>
    <row r="2" spans="1:5" ht="21.75" customHeight="1">
      <c r="B2" s="915" t="s">
        <v>845</v>
      </c>
      <c r="C2" s="915"/>
      <c r="D2" s="915"/>
      <c r="E2" s="915"/>
    </row>
    <row r="3" spans="1:5" ht="18.75">
      <c r="E3" s="618"/>
    </row>
    <row r="4" spans="1:5" ht="22.5">
      <c r="A4" s="916" t="str">
        <f>+'[1]Anexo E'!A4:G4</f>
        <v>BALANCE GENERAL</v>
      </c>
      <c r="B4" s="916"/>
      <c r="C4" s="916"/>
      <c r="D4" s="916"/>
      <c r="E4" s="916"/>
    </row>
    <row r="5" spans="1:5" ht="22.5">
      <c r="A5" s="916" t="s">
        <v>1122</v>
      </c>
      <c r="B5" s="916"/>
      <c r="C5" s="916"/>
      <c r="D5" s="916"/>
      <c r="E5" s="916"/>
    </row>
    <row r="6" spans="1:5" ht="20.25">
      <c r="A6" s="923" t="s">
        <v>576</v>
      </c>
      <c r="B6" s="923"/>
      <c r="C6" s="923"/>
      <c r="D6" s="923"/>
      <c r="E6" s="923"/>
    </row>
    <row r="7" spans="1:5">
      <c r="A7" s="627"/>
    </row>
    <row r="8" spans="1:5" ht="20.25">
      <c r="A8" s="923" t="s">
        <v>846</v>
      </c>
      <c r="B8" s="923"/>
      <c r="C8" s="923"/>
      <c r="D8" s="923"/>
      <c r="E8" s="923"/>
    </row>
    <row r="9" spans="1:5" ht="20.25">
      <c r="A9" s="923" t="s">
        <v>847</v>
      </c>
      <c r="B9" s="923"/>
      <c r="C9" s="923"/>
      <c r="D9" s="923"/>
      <c r="E9" s="923"/>
    </row>
    <row r="11" spans="1:5">
      <c r="A11" s="495"/>
      <c r="B11" s="495" t="s">
        <v>711</v>
      </c>
      <c r="C11" s="495"/>
      <c r="D11" s="495" t="s">
        <v>711</v>
      </c>
      <c r="E11" s="495"/>
    </row>
    <row r="12" spans="1:5">
      <c r="A12" s="497" t="s">
        <v>848</v>
      </c>
      <c r="B12" s="497" t="s">
        <v>849</v>
      </c>
      <c r="C12" s="497"/>
      <c r="D12" s="497" t="s">
        <v>850</v>
      </c>
      <c r="E12" s="497"/>
    </row>
    <row r="13" spans="1:5">
      <c r="A13" s="498"/>
      <c r="B13" s="628"/>
      <c r="C13" s="628"/>
      <c r="D13" s="628"/>
      <c r="E13" s="628"/>
    </row>
    <row r="14" spans="1:5">
      <c r="A14" s="525" t="s">
        <v>851</v>
      </c>
      <c r="B14" s="629"/>
      <c r="C14" s="629"/>
      <c r="D14" s="629"/>
      <c r="E14" s="629"/>
    </row>
    <row r="15" spans="1:5">
      <c r="A15" s="525" t="s">
        <v>852</v>
      </c>
      <c r="B15" s="629"/>
      <c r="C15" s="630"/>
      <c r="D15" s="629"/>
      <c r="E15" s="630"/>
    </row>
    <row r="16" spans="1:5">
      <c r="A16" s="500"/>
      <c r="B16" s="629"/>
      <c r="C16" s="629"/>
      <c r="D16" s="629"/>
      <c r="E16" s="629"/>
    </row>
    <row r="17" spans="1:10">
      <c r="A17" s="525" t="s">
        <v>853</v>
      </c>
      <c r="B17" s="629"/>
      <c r="D17" s="629"/>
      <c r="E17" s="629"/>
      <c r="F17" s="631">
        <v>74004739</v>
      </c>
    </row>
    <row r="18" spans="1:10">
      <c r="A18" s="632" t="s">
        <v>854</v>
      </c>
      <c r="B18" s="633">
        <v>4528872329</v>
      </c>
      <c r="C18" s="634"/>
      <c r="D18" s="633">
        <v>6315829635</v>
      </c>
      <c r="E18" s="629"/>
      <c r="F18" s="597">
        <v>24970</v>
      </c>
    </row>
    <row r="19" spans="1:10">
      <c r="A19" s="632" t="s">
        <v>855</v>
      </c>
      <c r="B19" s="633">
        <v>767377893</v>
      </c>
      <c r="C19" s="634"/>
      <c r="D19" s="633">
        <v>732788372</v>
      </c>
      <c r="E19" s="629"/>
      <c r="F19" s="597">
        <v>-65863</v>
      </c>
    </row>
    <row r="20" spans="1:10">
      <c r="A20" s="632" t="s">
        <v>856</v>
      </c>
      <c r="B20" s="633">
        <v>557756666</v>
      </c>
      <c r="C20" s="634"/>
      <c r="D20" s="633">
        <v>468892043</v>
      </c>
      <c r="E20" s="629"/>
      <c r="F20" s="597">
        <v>2946514</v>
      </c>
    </row>
    <row r="21" spans="1:10">
      <c r="A21" s="632" t="s">
        <v>857</v>
      </c>
      <c r="B21" s="633">
        <v>17726673763</v>
      </c>
      <c r="C21" s="634"/>
      <c r="D21" s="633">
        <v>16616132146</v>
      </c>
      <c r="E21" s="629"/>
      <c r="F21" s="597">
        <v>1812772</v>
      </c>
    </row>
    <row r="22" spans="1:10">
      <c r="A22" s="632" t="s">
        <v>858</v>
      </c>
      <c r="B22" s="633">
        <v>305922999</v>
      </c>
      <c r="C22" s="634"/>
      <c r="D22" s="633">
        <v>326837404</v>
      </c>
      <c r="E22" s="629"/>
      <c r="F22" s="597">
        <v>2978469</v>
      </c>
    </row>
    <row r="23" spans="1:10">
      <c r="A23" s="500"/>
      <c r="B23" s="634"/>
      <c r="C23" s="634"/>
      <c r="D23" s="629"/>
      <c r="E23" s="629"/>
      <c r="F23" s="597">
        <v>96916</v>
      </c>
    </row>
    <row r="24" spans="1:10">
      <c r="A24" s="525" t="s">
        <v>859</v>
      </c>
      <c r="B24" s="634"/>
      <c r="C24" s="634"/>
      <c r="D24" s="629"/>
      <c r="E24" s="629"/>
      <c r="F24" s="597">
        <v>338760</v>
      </c>
    </row>
    <row r="25" spans="1:10">
      <c r="A25" s="525" t="s">
        <v>711</v>
      </c>
      <c r="B25" s="634"/>
      <c r="C25" s="634"/>
      <c r="D25" s="629"/>
      <c r="E25" s="629"/>
      <c r="F25" s="597">
        <v>32592436</v>
      </c>
    </row>
    <row r="26" spans="1:10">
      <c r="A26" s="632" t="s">
        <v>860</v>
      </c>
      <c r="B26" s="633">
        <f>C27-B18-B19-B20-B21-B22+B32+B33+B34+B35+B36</f>
        <v>91290831808</v>
      </c>
      <c r="C26" s="633"/>
      <c r="D26" s="633">
        <f>E27-D18-D19-D20-D21-D22+D32+D33+D34+D35+D36</f>
        <v>104681682983</v>
      </c>
      <c r="E26" s="633"/>
      <c r="F26" s="597">
        <v>6530</v>
      </c>
    </row>
    <row r="27" spans="1:10">
      <c r="A27" s="632" t="s">
        <v>861</v>
      </c>
      <c r="B27" s="633"/>
      <c r="C27" s="633">
        <v>92309296839</v>
      </c>
      <c r="D27" s="633"/>
      <c r="E27" s="633">
        <v>105255558933</v>
      </c>
      <c r="F27" s="597">
        <v>11762</v>
      </c>
      <c r="I27" s="635"/>
      <c r="J27" s="635"/>
    </row>
    <row r="28" spans="1:10">
      <c r="A28" s="500" t="s">
        <v>862</v>
      </c>
      <c r="B28" s="634">
        <v>0</v>
      </c>
      <c r="C28" s="634"/>
      <c r="D28" s="629">
        <v>0</v>
      </c>
      <c r="E28" s="629"/>
      <c r="F28" s="597">
        <v>26627</v>
      </c>
    </row>
    <row r="29" spans="1:10">
      <c r="A29" s="500" t="s">
        <v>863</v>
      </c>
      <c r="B29" s="634">
        <v>0</v>
      </c>
      <c r="C29" s="634"/>
      <c r="D29" s="629">
        <v>0</v>
      </c>
      <c r="E29" s="629"/>
      <c r="F29" s="597">
        <v>18197</v>
      </c>
    </row>
    <row r="30" spans="1:10">
      <c r="A30" s="500"/>
      <c r="B30" s="634"/>
      <c r="C30" s="634"/>
      <c r="D30" s="629"/>
      <c r="E30" s="629"/>
      <c r="F30" s="597">
        <v>108098</v>
      </c>
    </row>
    <row r="31" spans="1:10">
      <c r="A31" s="525" t="s">
        <v>864</v>
      </c>
      <c r="B31" s="634"/>
      <c r="C31" s="634"/>
      <c r="D31" s="629"/>
      <c r="E31" s="629"/>
      <c r="F31" s="597">
        <v>17</v>
      </c>
    </row>
    <row r="32" spans="1:10">
      <c r="A32" s="632" t="s">
        <v>854</v>
      </c>
      <c r="B32" s="633">
        <v>3801088698</v>
      </c>
      <c r="C32" s="634"/>
      <c r="D32" s="633">
        <v>4528872329</v>
      </c>
      <c r="E32" s="629"/>
      <c r="F32" s="597">
        <v>41505</v>
      </c>
    </row>
    <row r="33" spans="1:8">
      <c r="A33" s="632" t="s">
        <v>865</v>
      </c>
      <c r="B33" s="633">
        <v>784143161</v>
      </c>
      <c r="C33" s="634"/>
      <c r="D33" s="633">
        <v>767377893</v>
      </c>
      <c r="E33" s="629"/>
      <c r="F33" s="597">
        <v>14304</v>
      </c>
      <c r="H33" s="635"/>
    </row>
    <row r="34" spans="1:8">
      <c r="A34" s="632" t="s">
        <v>866</v>
      </c>
      <c r="B34" s="633">
        <v>301276120</v>
      </c>
      <c r="C34" s="634"/>
      <c r="D34" s="633">
        <v>557756666</v>
      </c>
      <c r="E34" s="629"/>
      <c r="F34" s="597">
        <v>17760</v>
      </c>
      <c r="H34" s="635"/>
    </row>
    <row r="35" spans="1:8">
      <c r="A35" s="632" t="s">
        <v>857</v>
      </c>
      <c r="B35" s="633">
        <v>17693541781</v>
      </c>
      <c r="C35" s="634"/>
      <c r="D35" s="633">
        <v>17726673763</v>
      </c>
      <c r="E35" s="629"/>
      <c r="F35" s="597"/>
    </row>
    <row r="36" spans="1:8">
      <c r="A36" s="632" t="s">
        <v>360</v>
      </c>
      <c r="B36" s="633">
        <v>288088859</v>
      </c>
      <c r="C36" s="634"/>
      <c r="D36" s="633">
        <v>305922999</v>
      </c>
      <c r="E36" s="629"/>
      <c r="F36" s="597"/>
    </row>
    <row r="37" spans="1:8">
      <c r="A37" s="500"/>
      <c r="B37" s="634"/>
      <c r="C37" s="634"/>
      <c r="D37" s="629"/>
      <c r="E37" s="629"/>
      <c r="F37" s="597"/>
    </row>
    <row r="38" spans="1:8">
      <c r="A38" s="500"/>
      <c r="B38" s="634"/>
      <c r="C38" s="634"/>
      <c r="D38" s="629"/>
      <c r="E38" s="629"/>
      <c r="F38" s="597"/>
    </row>
    <row r="39" spans="1:8">
      <c r="A39" s="636" t="s">
        <v>867</v>
      </c>
      <c r="B39" s="629"/>
      <c r="C39" s="629"/>
      <c r="D39" s="629"/>
      <c r="E39" s="629"/>
      <c r="F39" s="597"/>
    </row>
    <row r="40" spans="1:8">
      <c r="A40" s="637" t="s">
        <v>868</v>
      </c>
      <c r="B40" s="638"/>
      <c r="C40" s="638">
        <v>0</v>
      </c>
      <c r="D40" s="638"/>
      <c r="E40" s="638">
        <v>0</v>
      </c>
      <c r="F40" s="597"/>
    </row>
    <row r="41" spans="1:8">
      <c r="A41" s="498"/>
      <c r="B41" s="628"/>
      <c r="C41" s="628"/>
      <c r="D41" s="628"/>
      <c r="E41" s="628"/>
      <c r="F41" s="597">
        <f>SUM(F17:F40)</f>
        <v>114974513</v>
      </c>
      <c r="G41" s="597">
        <f>C15-F41</f>
        <v>-114974513</v>
      </c>
    </row>
    <row r="42" spans="1:8">
      <c r="A42" s="525" t="s">
        <v>869</v>
      </c>
      <c r="B42" s="629"/>
      <c r="C42" s="629"/>
      <c r="D42" s="629"/>
      <c r="E42" s="629"/>
      <c r="F42" s="597"/>
    </row>
    <row r="43" spans="1:8">
      <c r="A43" s="525" t="s">
        <v>870</v>
      </c>
      <c r="B43" s="629"/>
      <c r="C43" s="629"/>
      <c r="D43" s="629"/>
      <c r="E43" s="629"/>
      <c r="F43" s="597"/>
    </row>
    <row r="44" spans="1:8">
      <c r="A44" s="525" t="s">
        <v>871</v>
      </c>
      <c r="B44" s="630"/>
      <c r="C44" s="630">
        <f>SUM(C27:C43)</f>
        <v>92309296839</v>
      </c>
      <c r="D44" s="630"/>
      <c r="E44" s="630">
        <f>E27</f>
        <v>105255558933</v>
      </c>
    </row>
    <row r="45" spans="1:8">
      <c r="A45" s="504"/>
      <c r="B45" s="639"/>
      <c r="C45" s="639"/>
      <c r="D45" s="639"/>
      <c r="E45" s="639"/>
      <c r="F45" s="635">
        <f>F41+C40</f>
        <v>114974513</v>
      </c>
    </row>
    <row r="48" spans="1:8" ht="28.5" customHeight="1">
      <c r="F48" s="597">
        <f>F45-F41</f>
        <v>0</v>
      </c>
    </row>
    <row r="49" spans="1:5" ht="27" customHeight="1"/>
    <row r="50" spans="1:5" s="827" customFormat="1" ht="15">
      <c r="A50" s="907" t="s">
        <v>720</v>
      </c>
      <c r="B50" s="907"/>
      <c r="C50" s="907" t="s">
        <v>721</v>
      </c>
      <c r="D50" s="907"/>
      <c r="E50" s="907"/>
    </row>
    <row r="51" spans="1:5">
      <c r="A51" s="922" t="s">
        <v>746</v>
      </c>
      <c r="B51" s="922"/>
      <c r="C51" s="920" t="s">
        <v>608</v>
      </c>
      <c r="D51" s="920"/>
      <c r="E51" s="920"/>
    </row>
    <row r="53" spans="1:5" ht="27" customHeight="1"/>
    <row r="54" spans="1:5" ht="33" customHeight="1"/>
    <row r="56" spans="1:5" s="827" customFormat="1" ht="15">
      <c r="A56" s="907" t="str">
        <f>'[1]Anexo E'!B43</f>
        <v>Dr. Raul Fernando Vargas</v>
      </c>
      <c r="B56" s="907"/>
      <c r="C56" s="908" t="s">
        <v>1016</v>
      </c>
      <c r="D56" s="908"/>
      <c r="E56" s="908"/>
    </row>
    <row r="57" spans="1:5">
      <c r="A57" s="922" t="s">
        <v>748</v>
      </c>
      <c r="B57" s="922"/>
      <c r="C57" s="920" t="s">
        <v>698</v>
      </c>
      <c r="D57" s="920"/>
      <c r="E57" s="920"/>
    </row>
  </sheetData>
  <mergeCells count="15">
    <mergeCell ref="A51:B51"/>
    <mergeCell ref="A56:B56"/>
    <mergeCell ref="A57:B57"/>
    <mergeCell ref="D2:E2"/>
    <mergeCell ref="A4:E4"/>
    <mergeCell ref="A5:E5"/>
    <mergeCell ref="A6:E6"/>
    <mergeCell ref="A8:E8"/>
    <mergeCell ref="A9:E9"/>
    <mergeCell ref="B2:C2"/>
    <mergeCell ref="C50:E50"/>
    <mergeCell ref="C51:E51"/>
    <mergeCell ref="C56:E56"/>
    <mergeCell ref="C57:E57"/>
    <mergeCell ref="A50:B50"/>
  </mergeCells>
  <printOptions horizontalCentered="1"/>
  <pageMargins left="0.78740157480314965" right="0.78740157480314965" top="1.9685039370078741" bottom="0.98425196850393704" header="0" footer="0"/>
  <pageSetup paperSize="5" scale="80" firstPageNumber="0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showGridLines="0" topLeftCell="A2" workbookViewId="0">
      <pane ySplit="11" topLeftCell="A66" activePane="bottomLeft" state="frozen"/>
      <selection activeCell="A2" sqref="A2"/>
      <selection pane="bottomLeft" activeCell="A66" sqref="A66:XFD66"/>
    </sheetView>
  </sheetViews>
  <sheetFormatPr baseColWidth="10" defaultRowHeight="12.75"/>
  <cols>
    <col min="1" max="1" width="31.140625" style="559" customWidth="1"/>
    <col min="2" max="2" width="14.28515625" style="559" customWidth="1"/>
    <col min="3" max="3" width="15" style="559" customWidth="1"/>
    <col min="4" max="4" width="12.7109375" style="559" customWidth="1"/>
    <col min="5" max="6" width="17.28515625" style="559" customWidth="1"/>
    <col min="7" max="8" width="11.42578125" style="559"/>
    <col min="9" max="9" width="12" style="559" bestFit="1" customWidth="1"/>
    <col min="10" max="256" width="11.42578125" style="559"/>
    <col min="257" max="257" width="31.140625" style="559" customWidth="1"/>
    <col min="258" max="258" width="14.28515625" style="559" customWidth="1"/>
    <col min="259" max="259" width="15" style="559" customWidth="1"/>
    <col min="260" max="260" width="12.7109375" style="559" customWidth="1"/>
    <col min="261" max="262" width="17.28515625" style="559" customWidth="1"/>
    <col min="263" max="264" width="11.42578125" style="559"/>
    <col min="265" max="265" width="12" style="559" bestFit="1" customWidth="1"/>
    <col min="266" max="512" width="11.42578125" style="559"/>
    <col min="513" max="513" width="31.140625" style="559" customWidth="1"/>
    <col min="514" max="514" width="14.28515625" style="559" customWidth="1"/>
    <col min="515" max="515" width="15" style="559" customWidth="1"/>
    <col min="516" max="516" width="12.7109375" style="559" customWidth="1"/>
    <col min="517" max="518" width="17.28515625" style="559" customWidth="1"/>
    <col min="519" max="520" width="11.42578125" style="559"/>
    <col min="521" max="521" width="12" style="559" bestFit="1" customWidth="1"/>
    <col min="522" max="768" width="11.42578125" style="559"/>
    <col min="769" max="769" width="31.140625" style="559" customWidth="1"/>
    <col min="770" max="770" width="14.28515625" style="559" customWidth="1"/>
    <col min="771" max="771" width="15" style="559" customWidth="1"/>
    <col min="772" max="772" width="12.7109375" style="559" customWidth="1"/>
    <col min="773" max="774" width="17.28515625" style="559" customWidth="1"/>
    <col min="775" max="776" width="11.42578125" style="559"/>
    <col min="777" max="777" width="12" style="559" bestFit="1" customWidth="1"/>
    <col min="778" max="1024" width="11.42578125" style="559"/>
    <col min="1025" max="1025" width="31.140625" style="559" customWidth="1"/>
    <col min="1026" max="1026" width="14.28515625" style="559" customWidth="1"/>
    <col min="1027" max="1027" width="15" style="559" customWidth="1"/>
    <col min="1028" max="1028" width="12.7109375" style="559" customWidth="1"/>
    <col min="1029" max="1030" width="17.28515625" style="559" customWidth="1"/>
    <col min="1031" max="1032" width="11.42578125" style="559"/>
    <col min="1033" max="1033" width="12" style="559" bestFit="1" customWidth="1"/>
    <col min="1034" max="1280" width="11.42578125" style="559"/>
    <col min="1281" max="1281" width="31.140625" style="559" customWidth="1"/>
    <col min="1282" max="1282" width="14.28515625" style="559" customWidth="1"/>
    <col min="1283" max="1283" width="15" style="559" customWidth="1"/>
    <col min="1284" max="1284" width="12.7109375" style="559" customWidth="1"/>
    <col min="1285" max="1286" width="17.28515625" style="559" customWidth="1"/>
    <col min="1287" max="1288" width="11.42578125" style="559"/>
    <col min="1289" max="1289" width="12" style="559" bestFit="1" customWidth="1"/>
    <col min="1290" max="1536" width="11.42578125" style="559"/>
    <col min="1537" max="1537" width="31.140625" style="559" customWidth="1"/>
    <col min="1538" max="1538" width="14.28515625" style="559" customWidth="1"/>
    <col min="1539" max="1539" width="15" style="559" customWidth="1"/>
    <col min="1540" max="1540" width="12.7109375" style="559" customWidth="1"/>
    <col min="1541" max="1542" width="17.28515625" style="559" customWidth="1"/>
    <col min="1543" max="1544" width="11.42578125" style="559"/>
    <col min="1545" max="1545" width="12" style="559" bestFit="1" customWidth="1"/>
    <col min="1546" max="1792" width="11.42578125" style="559"/>
    <col min="1793" max="1793" width="31.140625" style="559" customWidth="1"/>
    <col min="1794" max="1794" width="14.28515625" style="559" customWidth="1"/>
    <col min="1795" max="1795" width="15" style="559" customWidth="1"/>
    <col min="1796" max="1796" width="12.7109375" style="559" customWidth="1"/>
    <col min="1797" max="1798" width="17.28515625" style="559" customWidth="1"/>
    <col min="1799" max="1800" width="11.42578125" style="559"/>
    <col min="1801" max="1801" width="12" style="559" bestFit="1" customWidth="1"/>
    <col min="1802" max="2048" width="11.42578125" style="559"/>
    <col min="2049" max="2049" width="31.140625" style="559" customWidth="1"/>
    <col min="2050" max="2050" width="14.28515625" style="559" customWidth="1"/>
    <col min="2051" max="2051" width="15" style="559" customWidth="1"/>
    <col min="2052" max="2052" width="12.7109375" style="559" customWidth="1"/>
    <col min="2053" max="2054" width="17.28515625" style="559" customWidth="1"/>
    <col min="2055" max="2056" width="11.42578125" style="559"/>
    <col min="2057" max="2057" width="12" style="559" bestFit="1" customWidth="1"/>
    <col min="2058" max="2304" width="11.42578125" style="559"/>
    <col min="2305" max="2305" width="31.140625" style="559" customWidth="1"/>
    <col min="2306" max="2306" width="14.28515625" style="559" customWidth="1"/>
    <col min="2307" max="2307" width="15" style="559" customWidth="1"/>
    <col min="2308" max="2308" width="12.7109375" style="559" customWidth="1"/>
    <col min="2309" max="2310" width="17.28515625" style="559" customWidth="1"/>
    <col min="2311" max="2312" width="11.42578125" style="559"/>
    <col min="2313" max="2313" width="12" style="559" bestFit="1" customWidth="1"/>
    <col min="2314" max="2560" width="11.42578125" style="559"/>
    <col min="2561" max="2561" width="31.140625" style="559" customWidth="1"/>
    <col min="2562" max="2562" width="14.28515625" style="559" customWidth="1"/>
    <col min="2563" max="2563" width="15" style="559" customWidth="1"/>
    <col min="2564" max="2564" width="12.7109375" style="559" customWidth="1"/>
    <col min="2565" max="2566" width="17.28515625" style="559" customWidth="1"/>
    <col min="2567" max="2568" width="11.42578125" style="559"/>
    <col min="2569" max="2569" width="12" style="559" bestFit="1" customWidth="1"/>
    <col min="2570" max="2816" width="11.42578125" style="559"/>
    <col min="2817" max="2817" width="31.140625" style="559" customWidth="1"/>
    <col min="2818" max="2818" width="14.28515625" style="559" customWidth="1"/>
    <col min="2819" max="2819" width="15" style="559" customWidth="1"/>
    <col min="2820" max="2820" width="12.7109375" style="559" customWidth="1"/>
    <col min="2821" max="2822" width="17.28515625" style="559" customWidth="1"/>
    <col min="2823" max="2824" width="11.42578125" style="559"/>
    <col min="2825" max="2825" width="12" style="559" bestFit="1" customWidth="1"/>
    <col min="2826" max="3072" width="11.42578125" style="559"/>
    <col min="3073" max="3073" width="31.140625" style="559" customWidth="1"/>
    <col min="3074" max="3074" width="14.28515625" style="559" customWidth="1"/>
    <col min="3075" max="3075" width="15" style="559" customWidth="1"/>
    <col min="3076" max="3076" width="12.7109375" style="559" customWidth="1"/>
    <col min="3077" max="3078" width="17.28515625" style="559" customWidth="1"/>
    <col min="3079" max="3080" width="11.42578125" style="559"/>
    <col min="3081" max="3081" width="12" style="559" bestFit="1" customWidth="1"/>
    <col min="3082" max="3328" width="11.42578125" style="559"/>
    <col min="3329" max="3329" width="31.140625" style="559" customWidth="1"/>
    <col min="3330" max="3330" width="14.28515625" style="559" customWidth="1"/>
    <col min="3331" max="3331" width="15" style="559" customWidth="1"/>
    <col min="3332" max="3332" width="12.7109375" style="559" customWidth="1"/>
    <col min="3333" max="3334" width="17.28515625" style="559" customWidth="1"/>
    <col min="3335" max="3336" width="11.42578125" style="559"/>
    <col min="3337" max="3337" width="12" style="559" bestFit="1" customWidth="1"/>
    <col min="3338" max="3584" width="11.42578125" style="559"/>
    <col min="3585" max="3585" width="31.140625" style="559" customWidth="1"/>
    <col min="3586" max="3586" width="14.28515625" style="559" customWidth="1"/>
    <col min="3587" max="3587" width="15" style="559" customWidth="1"/>
    <col min="3588" max="3588" width="12.7109375" style="559" customWidth="1"/>
    <col min="3589" max="3590" width="17.28515625" style="559" customWidth="1"/>
    <col min="3591" max="3592" width="11.42578125" style="559"/>
    <col min="3593" max="3593" width="12" style="559" bestFit="1" customWidth="1"/>
    <col min="3594" max="3840" width="11.42578125" style="559"/>
    <col min="3841" max="3841" width="31.140625" style="559" customWidth="1"/>
    <col min="3842" max="3842" width="14.28515625" style="559" customWidth="1"/>
    <col min="3843" max="3843" width="15" style="559" customWidth="1"/>
    <col min="3844" max="3844" width="12.7109375" style="559" customWidth="1"/>
    <col min="3845" max="3846" width="17.28515625" style="559" customWidth="1"/>
    <col min="3847" max="3848" width="11.42578125" style="559"/>
    <col min="3849" max="3849" width="12" style="559" bestFit="1" customWidth="1"/>
    <col min="3850" max="4096" width="11.42578125" style="559"/>
    <col min="4097" max="4097" width="31.140625" style="559" customWidth="1"/>
    <col min="4098" max="4098" width="14.28515625" style="559" customWidth="1"/>
    <col min="4099" max="4099" width="15" style="559" customWidth="1"/>
    <col min="4100" max="4100" width="12.7109375" style="559" customWidth="1"/>
    <col min="4101" max="4102" width="17.28515625" style="559" customWidth="1"/>
    <col min="4103" max="4104" width="11.42578125" style="559"/>
    <col min="4105" max="4105" width="12" style="559" bestFit="1" customWidth="1"/>
    <col min="4106" max="4352" width="11.42578125" style="559"/>
    <col min="4353" max="4353" width="31.140625" style="559" customWidth="1"/>
    <col min="4354" max="4354" width="14.28515625" style="559" customWidth="1"/>
    <col min="4355" max="4355" width="15" style="559" customWidth="1"/>
    <col min="4356" max="4356" width="12.7109375" style="559" customWidth="1"/>
    <col min="4357" max="4358" width="17.28515625" style="559" customWidth="1"/>
    <col min="4359" max="4360" width="11.42578125" style="559"/>
    <col min="4361" max="4361" width="12" style="559" bestFit="1" customWidth="1"/>
    <col min="4362" max="4608" width="11.42578125" style="559"/>
    <col min="4609" max="4609" width="31.140625" style="559" customWidth="1"/>
    <col min="4610" max="4610" width="14.28515625" style="559" customWidth="1"/>
    <col min="4611" max="4611" width="15" style="559" customWidth="1"/>
    <col min="4612" max="4612" width="12.7109375" style="559" customWidth="1"/>
    <col min="4613" max="4614" width="17.28515625" style="559" customWidth="1"/>
    <col min="4615" max="4616" width="11.42578125" style="559"/>
    <col min="4617" max="4617" width="12" style="559" bestFit="1" customWidth="1"/>
    <col min="4618" max="4864" width="11.42578125" style="559"/>
    <col min="4865" max="4865" width="31.140625" style="559" customWidth="1"/>
    <col min="4866" max="4866" width="14.28515625" style="559" customWidth="1"/>
    <col min="4867" max="4867" width="15" style="559" customWidth="1"/>
    <col min="4868" max="4868" width="12.7109375" style="559" customWidth="1"/>
    <col min="4869" max="4870" width="17.28515625" style="559" customWidth="1"/>
    <col min="4871" max="4872" width="11.42578125" style="559"/>
    <col min="4873" max="4873" width="12" style="559" bestFit="1" customWidth="1"/>
    <col min="4874" max="5120" width="11.42578125" style="559"/>
    <col min="5121" max="5121" width="31.140625" style="559" customWidth="1"/>
    <col min="5122" max="5122" width="14.28515625" style="559" customWidth="1"/>
    <col min="5123" max="5123" width="15" style="559" customWidth="1"/>
    <col min="5124" max="5124" width="12.7109375" style="559" customWidth="1"/>
    <col min="5125" max="5126" width="17.28515625" style="559" customWidth="1"/>
    <col min="5127" max="5128" width="11.42578125" style="559"/>
    <col min="5129" max="5129" width="12" style="559" bestFit="1" customWidth="1"/>
    <col min="5130" max="5376" width="11.42578125" style="559"/>
    <col min="5377" max="5377" width="31.140625" style="559" customWidth="1"/>
    <col min="5378" max="5378" width="14.28515625" style="559" customWidth="1"/>
    <col min="5379" max="5379" width="15" style="559" customWidth="1"/>
    <col min="5380" max="5380" width="12.7109375" style="559" customWidth="1"/>
    <col min="5381" max="5382" width="17.28515625" style="559" customWidth="1"/>
    <col min="5383" max="5384" width="11.42578125" style="559"/>
    <col min="5385" max="5385" width="12" style="559" bestFit="1" customWidth="1"/>
    <col min="5386" max="5632" width="11.42578125" style="559"/>
    <col min="5633" max="5633" width="31.140625" style="559" customWidth="1"/>
    <col min="5634" max="5634" width="14.28515625" style="559" customWidth="1"/>
    <col min="5635" max="5635" width="15" style="559" customWidth="1"/>
    <col min="5636" max="5636" width="12.7109375" style="559" customWidth="1"/>
    <col min="5637" max="5638" width="17.28515625" style="559" customWidth="1"/>
    <col min="5639" max="5640" width="11.42578125" style="559"/>
    <col min="5641" max="5641" width="12" style="559" bestFit="1" customWidth="1"/>
    <col min="5642" max="5888" width="11.42578125" style="559"/>
    <col min="5889" max="5889" width="31.140625" style="559" customWidth="1"/>
    <col min="5890" max="5890" width="14.28515625" style="559" customWidth="1"/>
    <col min="5891" max="5891" width="15" style="559" customWidth="1"/>
    <col min="5892" max="5892" width="12.7109375" style="559" customWidth="1"/>
    <col min="5893" max="5894" width="17.28515625" style="559" customWidth="1"/>
    <col min="5895" max="5896" width="11.42578125" style="559"/>
    <col min="5897" max="5897" width="12" style="559" bestFit="1" customWidth="1"/>
    <col min="5898" max="6144" width="11.42578125" style="559"/>
    <col min="6145" max="6145" width="31.140625" style="559" customWidth="1"/>
    <col min="6146" max="6146" width="14.28515625" style="559" customWidth="1"/>
    <col min="6147" max="6147" width="15" style="559" customWidth="1"/>
    <col min="6148" max="6148" width="12.7109375" style="559" customWidth="1"/>
    <col min="6149" max="6150" width="17.28515625" style="559" customWidth="1"/>
    <col min="6151" max="6152" width="11.42578125" style="559"/>
    <col min="6153" max="6153" width="12" style="559" bestFit="1" customWidth="1"/>
    <col min="6154" max="6400" width="11.42578125" style="559"/>
    <col min="6401" max="6401" width="31.140625" style="559" customWidth="1"/>
    <col min="6402" max="6402" width="14.28515625" style="559" customWidth="1"/>
    <col min="6403" max="6403" width="15" style="559" customWidth="1"/>
    <col min="6404" max="6404" width="12.7109375" style="559" customWidth="1"/>
    <col min="6405" max="6406" width="17.28515625" style="559" customWidth="1"/>
    <col min="6407" max="6408" width="11.42578125" style="559"/>
    <col min="6409" max="6409" width="12" style="559" bestFit="1" customWidth="1"/>
    <col min="6410" max="6656" width="11.42578125" style="559"/>
    <col min="6657" max="6657" width="31.140625" style="559" customWidth="1"/>
    <col min="6658" max="6658" width="14.28515625" style="559" customWidth="1"/>
    <col min="6659" max="6659" width="15" style="559" customWidth="1"/>
    <col min="6660" max="6660" width="12.7109375" style="559" customWidth="1"/>
    <col min="6661" max="6662" width="17.28515625" style="559" customWidth="1"/>
    <col min="6663" max="6664" width="11.42578125" style="559"/>
    <col min="6665" max="6665" width="12" style="559" bestFit="1" customWidth="1"/>
    <col min="6666" max="6912" width="11.42578125" style="559"/>
    <col min="6913" max="6913" width="31.140625" style="559" customWidth="1"/>
    <col min="6914" max="6914" width="14.28515625" style="559" customWidth="1"/>
    <col min="6915" max="6915" width="15" style="559" customWidth="1"/>
    <col min="6916" max="6916" width="12.7109375" style="559" customWidth="1"/>
    <col min="6917" max="6918" width="17.28515625" style="559" customWidth="1"/>
    <col min="6919" max="6920" width="11.42578125" style="559"/>
    <col min="6921" max="6921" width="12" style="559" bestFit="1" customWidth="1"/>
    <col min="6922" max="7168" width="11.42578125" style="559"/>
    <col min="7169" max="7169" width="31.140625" style="559" customWidth="1"/>
    <col min="7170" max="7170" width="14.28515625" style="559" customWidth="1"/>
    <col min="7171" max="7171" width="15" style="559" customWidth="1"/>
    <col min="7172" max="7172" width="12.7109375" style="559" customWidth="1"/>
    <col min="7173" max="7174" width="17.28515625" style="559" customWidth="1"/>
    <col min="7175" max="7176" width="11.42578125" style="559"/>
    <col min="7177" max="7177" width="12" style="559" bestFit="1" customWidth="1"/>
    <col min="7178" max="7424" width="11.42578125" style="559"/>
    <col min="7425" max="7425" width="31.140625" style="559" customWidth="1"/>
    <col min="7426" max="7426" width="14.28515625" style="559" customWidth="1"/>
    <col min="7427" max="7427" width="15" style="559" customWidth="1"/>
    <col min="7428" max="7428" width="12.7109375" style="559" customWidth="1"/>
    <col min="7429" max="7430" width="17.28515625" style="559" customWidth="1"/>
    <col min="7431" max="7432" width="11.42578125" style="559"/>
    <col min="7433" max="7433" width="12" style="559" bestFit="1" customWidth="1"/>
    <col min="7434" max="7680" width="11.42578125" style="559"/>
    <col min="7681" max="7681" width="31.140625" style="559" customWidth="1"/>
    <col min="7682" max="7682" width="14.28515625" style="559" customWidth="1"/>
    <col min="7683" max="7683" width="15" style="559" customWidth="1"/>
    <col min="7684" max="7684" width="12.7109375" style="559" customWidth="1"/>
    <col min="7685" max="7686" width="17.28515625" style="559" customWidth="1"/>
    <col min="7687" max="7688" width="11.42578125" style="559"/>
    <col min="7689" max="7689" width="12" style="559" bestFit="1" customWidth="1"/>
    <col min="7690" max="7936" width="11.42578125" style="559"/>
    <col min="7937" max="7937" width="31.140625" style="559" customWidth="1"/>
    <col min="7938" max="7938" width="14.28515625" style="559" customWidth="1"/>
    <col min="7939" max="7939" width="15" style="559" customWidth="1"/>
    <col min="7940" max="7940" width="12.7109375" style="559" customWidth="1"/>
    <col min="7941" max="7942" width="17.28515625" style="559" customWidth="1"/>
    <col min="7943" max="7944" width="11.42578125" style="559"/>
    <col min="7945" max="7945" width="12" style="559" bestFit="1" customWidth="1"/>
    <col min="7946" max="8192" width="11.42578125" style="559"/>
    <col min="8193" max="8193" width="31.140625" style="559" customWidth="1"/>
    <col min="8194" max="8194" width="14.28515625" style="559" customWidth="1"/>
    <col min="8195" max="8195" width="15" style="559" customWidth="1"/>
    <col min="8196" max="8196" width="12.7109375" style="559" customWidth="1"/>
    <col min="8197" max="8198" width="17.28515625" style="559" customWidth="1"/>
    <col min="8199" max="8200" width="11.42578125" style="559"/>
    <col min="8201" max="8201" width="12" style="559" bestFit="1" customWidth="1"/>
    <col min="8202" max="8448" width="11.42578125" style="559"/>
    <col min="8449" max="8449" width="31.140625" style="559" customWidth="1"/>
    <col min="8450" max="8450" width="14.28515625" style="559" customWidth="1"/>
    <col min="8451" max="8451" width="15" style="559" customWidth="1"/>
    <col min="8452" max="8452" width="12.7109375" style="559" customWidth="1"/>
    <col min="8453" max="8454" width="17.28515625" style="559" customWidth="1"/>
    <col min="8455" max="8456" width="11.42578125" style="559"/>
    <col min="8457" max="8457" width="12" style="559" bestFit="1" customWidth="1"/>
    <col min="8458" max="8704" width="11.42578125" style="559"/>
    <col min="8705" max="8705" width="31.140625" style="559" customWidth="1"/>
    <col min="8706" max="8706" width="14.28515625" style="559" customWidth="1"/>
    <col min="8707" max="8707" width="15" style="559" customWidth="1"/>
    <col min="8708" max="8708" width="12.7109375" style="559" customWidth="1"/>
    <col min="8709" max="8710" width="17.28515625" style="559" customWidth="1"/>
    <col min="8711" max="8712" width="11.42578125" style="559"/>
    <col min="8713" max="8713" width="12" style="559" bestFit="1" customWidth="1"/>
    <col min="8714" max="8960" width="11.42578125" style="559"/>
    <col min="8961" max="8961" width="31.140625" style="559" customWidth="1"/>
    <col min="8962" max="8962" width="14.28515625" style="559" customWidth="1"/>
    <col min="8963" max="8963" width="15" style="559" customWidth="1"/>
    <col min="8964" max="8964" width="12.7109375" style="559" customWidth="1"/>
    <col min="8965" max="8966" width="17.28515625" style="559" customWidth="1"/>
    <col min="8967" max="8968" width="11.42578125" style="559"/>
    <col min="8969" max="8969" width="12" style="559" bestFit="1" customWidth="1"/>
    <col min="8970" max="9216" width="11.42578125" style="559"/>
    <col min="9217" max="9217" width="31.140625" style="559" customWidth="1"/>
    <col min="9218" max="9218" width="14.28515625" style="559" customWidth="1"/>
    <col min="9219" max="9219" width="15" style="559" customWidth="1"/>
    <col min="9220" max="9220" width="12.7109375" style="559" customWidth="1"/>
    <col min="9221" max="9222" width="17.28515625" style="559" customWidth="1"/>
    <col min="9223" max="9224" width="11.42578125" style="559"/>
    <col min="9225" max="9225" width="12" style="559" bestFit="1" customWidth="1"/>
    <col min="9226" max="9472" width="11.42578125" style="559"/>
    <col min="9473" max="9473" width="31.140625" style="559" customWidth="1"/>
    <col min="9474" max="9474" width="14.28515625" style="559" customWidth="1"/>
    <col min="9475" max="9475" width="15" style="559" customWidth="1"/>
    <col min="9476" max="9476" width="12.7109375" style="559" customWidth="1"/>
    <col min="9477" max="9478" width="17.28515625" style="559" customWidth="1"/>
    <col min="9479" max="9480" width="11.42578125" style="559"/>
    <col min="9481" max="9481" width="12" style="559" bestFit="1" customWidth="1"/>
    <col min="9482" max="9728" width="11.42578125" style="559"/>
    <col min="9729" max="9729" width="31.140625" style="559" customWidth="1"/>
    <col min="9730" max="9730" width="14.28515625" style="559" customWidth="1"/>
    <col min="9731" max="9731" width="15" style="559" customWidth="1"/>
    <col min="9732" max="9732" width="12.7109375" style="559" customWidth="1"/>
    <col min="9733" max="9734" width="17.28515625" style="559" customWidth="1"/>
    <col min="9735" max="9736" width="11.42578125" style="559"/>
    <col min="9737" max="9737" width="12" style="559" bestFit="1" customWidth="1"/>
    <col min="9738" max="9984" width="11.42578125" style="559"/>
    <col min="9985" max="9985" width="31.140625" style="559" customWidth="1"/>
    <col min="9986" max="9986" width="14.28515625" style="559" customWidth="1"/>
    <col min="9987" max="9987" width="15" style="559" customWidth="1"/>
    <col min="9988" max="9988" width="12.7109375" style="559" customWidth="1"/>
    <col min="9989" max="9990" width="17.28515625" style="559" customWidth="1"/>
    <col min="9991" max="9992" width="11.42578125" style="559"/>
    <col min="9993" max="9993" width="12" style="559" bestFit="1" customWidth="1"/>
    <col min="9994" max="10240" width="11.42578125" style="559"/>
    <col min="10241" max="10241" width="31.140625" style="559" customWidth="1"/>
    <col min="10242" max="10242" width="14.28515625" style="559" customWidth="1"/>
    <col min="10243" max="10243" width="15" style="559" customWidth="1"/>
    <col min="10244" max="10244" width="12.7109375" style="559" customWidth="1"/>
    <col min="10245" max="10246" width="17.28515625" style="559" customWidth="1"/>
    <col min="10247" max="10248" width="11.42578125" style="559"/>
    <col min="10249" max="10249" width="12" style="559" bestFit="1" customWidth="1"/>
    <col min="10250" max="10496" width="11.42578125" style="559"/>
    <col min="10497" max="10497" width="31.140625" style="559" customWidth="1"/>
    <col min="10498" max="10498" width="14.28515625" style="559" customWidth="1"/>
    <col min="10499" max="10499" width="15" style="559" customWidth="1"/>
    <col min="10500" max="10500" width="12.7109375" style="559" customWidth="1"/>
    <col min="10501" max="10502" width="17.28515625" style="559" customWidth="1"/>
    <col min="10503" max="10504" width="11.42578125" style="559"/>
    <col min="10505" max="10505" width="12" style="559" bestFit="1" customWidth="1"/>
    <col min="10506" max="10752" width="11.42578125" style="559"/>
    <col min="10753" max="10753" width="31.140625" style="559" customWidth="1"/>
    <col min="10754" max="10754" width="14.28515625" style="559" customWidth="1"/>
    <col min="10755" max="10755" width="15" style="559" customWidth="1"/>
    <col min="10756" max="10756" width="12.7109375" style="559" customWidth="1"/>
    <col min="10757" max="10758" width="17.28515625" style="559" customWidth="1"/>
    <col min="10759" max="10760" width="11.42578125" style="559"/>
    <col min="10761" max="10761" width="12" style="559" bestFit="1" customWidth="1"/>
    <col min="10762" max="11008" width="11.42578125" style="559"/>
    <col min="11009" max="11009" width="31.140625" style="559" customWidth="1"/>
    <col min="11010" max="11010" width="14.28515625" style="559" customWidth="1"/>
    <col min="11011" max="11011" width="15" style="559" customWidth="1"/>
    <col min="11012" max="11012" width="12.7109375" style="559" customWidth="1"/>
    <col min="11013" max="11014" width="17.28515625" style="559" customWidth="1"/>
    <col min="11015" max="11016" width="11.42578125" style="559"/>
    <col min="11017" max="11017" width="12" style="559" bestFit="1" customWidth="1"/>
    <col min="11018" max="11264" width="11.42578125" style="559"/>
    <col min="11265" max="11265" width="31.140625" style="559" customWidth="1"/>
    <col min="11266" max="11266" width="14.28515625" style="559" customWidth="1"/>
    <col min="11267" max="11267" width="15" style="559" customWidth="1"/>
    <col min="11268" max="11268" width="12.7109375" style="559" customWidth="1"/>
    <col min="11269" max="11270" width="17.28515625" style="559" customWidth="1"/>
    <col min="11271" max="11272" width="11.42578125" style="559"/>
    <col min="11273" max="11273" width="12" style="559" bestFit="1" customWidth="1"/>
    <col min="11274" max="11520" width="11.42578125" style="559"/>
    <col min="11521" max="11521" width="31.140625" style="559" customWidth="1"/>
    <col min="11522" max="11522" width="14.28515625" style="559" customWidth="1"/>
    <col min="11523" max="11523" width="15" style="559" customWidth="1"/>
    <col min="11524" max="11524" width="12.7109375" style="559" customWidth="1"/>
    <col min="11525" max="11526" width="17.28515625" style="559" customWidth="1"/>
    <col min="11527" max="11528" width="11.42578125" style="559"/>
    <col min="11529" max="11529" width="12" style="559" bestFit="1" customWidth="1"/>
    <col min="11530" max="11776" width="11.42578125" style="559"/>
    <col min="11777" max="11777" width="31.140625" style="559" customWidth="1"/>
    <col min="11778" max="11778" width="14.28515625" style="559" customWidth="1"/>
    <col min="11779" max="11779" width="15" style="559" customWidth="1"/>
    <col min="11780" max="11780" width="12.7109375" style="559" customWidth="1"/>
    <col min="11781" max="11782" width="17.28515625" style="559" customWidth="1"/>
    <col min="11783" max="11784" width="11.42578125" style="559"/>
    <col min="11785" max="11785" width="12" style="559" bestFit="1" customWidth="1"/>
    <col min="11786" max="12032" width="11.42578125" style="559"/>
    <col min="12033" max="12033" width="31.140625" style="559" customWidth="1"/>
    <col min="12034" max="12034" width="14.28515625" style="559" customWidth="1"/>
    <col min="12035" max="12035" width="15" style="559" customWidth="1"/>
    <col min="12036" max="12036" width="12.7109375" style="559" customWidth="1"/>
    <col min="12037" max="12038" width="17.28515625" style="559" customWidth="1"/>
    <col min="12039" max="12040" width="11.42578125" style="559"/>
    <col min="12041" max="12041" width="12" style="559" bestFit="1" customWidth="1"/>
    <col min="12042" max="12288" width="11.42578125" style="559"/>
    <col min="12289" max="12289" width="31.140625" style="559" customWidth="1"/>
    <col min="12290" max="12290" width="14.28515625" style="559" customWidth="1"/>
    <col min="12291" max="12291" width="15" style="559" customWidth="1"/>
    <col min="12292" max="12292" width="12.7109375" style="559" customWidth="1"/>
    <col min="12293" max="12294" width="17.28515625" style="559" customWidth="1"/>
    <col min="12295" max="12296" width="11.42578125" style="559"/>
    <col min="12297" max="12297" width="12" style="559" bestFit="1" customWidth="1"/>
    <col min="12298" max="12544" width="11.42578125" style="559"/>
    <col min="12545" max="12545" width="31.140625" style="559" customWidth="1"/>
    <col min="12546" max="12546" width="14.28515625" style="559" customWidth="1"/>
    <col min="12547" max="12547" width="15" style="559" customWidth="1"/>
    <col min="12548" max="12548" width="12.7109375" style="559" customWidth="1"/>
    <col min="12549" max="12550" width="17.28515625" style="559" customWidth="1"/>
    <col min="12551" max="12552" width="11.42578125" style="559"/>
    <col min="12553" max="12553" width="12" style="559" bestFit="1" customWidth="1"/>
    <col min="12554" max="12800" width="11.42578125" style="559"/>
    <col min="12801" max="12801" width="31.140625" style="559" customWidth="1"/>
    <col min="12802" max="12802" width="14.28515625" style="559" customWidth="1"/>
    <col min="12803" max="12803" width="15" style="559" customWidth="1"/>
    <col min="12804" max="12804" width="12.7109375" style="559" customWidth="1"/>
    <col min="12805" max="12806" width="17.28515625" style="559" customWidth="1"/>
    <col min="12807" max="12808" width="11.42578125" style="559"/>
    <col min="12809" max="12809" width="12" style="559" bestFit="1" customWidth="1"/>
    <col min="12810" max="13056" width="11.42578125" style="559"/>
    <col min="13057" max="13057" width="31.140625" style="559" customWidth="1"/>
    <col min="13058" max="13058" width="14.28515625" style="559" customWidth="1"/>
    <col min="13059" max="13059" width="15" style="559" customWidth="1"/>
    <col min="13060" max="13060" width="12.7109375" style="559" customWidth="1"/>
    <col min="13061" max="13062" width="17.28515625" style="559" customWidth="1"/>
    <col min="13063" max="13064" width="11.42578125" style="559"/>
    <col min="13065" max="13065" width="12" style="559" bestFit="1" customWidth="1"/>
    <col min="13066" max="13312" width="11.42578125" style="559"/>
    <col min="13313" max="13313" width="31.140625" style="559" customWidth="1"/>
    <col min="13314" max="13314" width="14.28515625" style="559" customWidth="1"/>
    <col min="13315" max="13315" width="15" style="559" customWidth="1"/>
    <col min="13316" max="13316" width="12.7109375" style="559" customWidth="1"/>
    <col min="13317" max="13318" width="17.28515625" style="559" customWidth="1"/>
    <col min="13319" max="13320" width="11.42578125" style="559"/>
    <col min="13321" max="13321" width="12" style="559" bestFit="1" customWidth="1"/>
    <col min="13322" max="13568" width="11.42578125" style="559"/>
    <col min="13569" max="13569" width="31.140625" style="559" customWidth="1"/>
    <col min="13570" max="13570" width="14.28515625" style="559" customWidth="1"/>
    <col min="13571" max="13571" width="15" style="559" customWidth="1"/>
    <col min="13572" max="13572" width="12.7109375" style="559" customWidth="1"/>
    <col min="13573" max="13574" width="17.28515625" style="559" customWidth="1"/>
    <col min="13575" max="13576" width="11.42578125" style="559"/>
    <col min="13577" max="13577" width="12" style="559" bestFit="1" customWidth="1"/>
    <col min="13578" max="13824" width="11.42578125" style="559"/>
    <col min="13825" max="13825" width="31.140625" style="559" customWidth="1"/>
    <col min="13826" max="13826" width="14.28515625" style="559" customWidth="1"/>
    <col min="13827" max="13827" width="15" style="559" customWidth="1"/>
    <col min="13828" max="13828" width="12.7109375" style="559" customWidth="1"/>
    <col min="13829" max="13830" width="17.28515625" style="559" customWidth="1"/>
    <col min="13831" max="13832" width="11.42578125" style="559"/>
    <col min="13833" max="13833" width="12" style="559" bestFit="1" customWidth="1"/>
    <col min="13834" max="14080" width="11.42578125" style="559"/>
    <col min="14081" max="14081" width="31.140625" style="559" customWidth="1"/>
    <col min="14082" max="14082" width="14.28515625" style="559" customWidth="1"/>
    <col min="14083" max="14083" width="15" style="559" customWidth="1"/>
    <col min="14084" max="14084" width="12.7109375" style="559" customWidth="1"/>
    <col min="14085" max="14086" width="17.28515625" style="559" customWidth="1"/>
    <col min="14087" max="14088" width="11.42578125" style="559"/>
    <col min="14089" max="14089" width="12" style="559" bestFit="1" customWidth="1"/>
    <col min="14090" max="14336" width="11.42578125" style="559"/>
    <col min="14337" max="14337" width="31.140625" style="559" customWidth="1"/>
    <col min="14338" max="14338" width="14.28515625" style="559" customWidth="1"/>
    <col min="14339" max="14339" width="15" style="559" customWidth="1"/>
    <col min="14340" max="14340" width="12.7109375" style="559" customWidth="1"/>
    <col min="14341" max="14342" width="17.28515625" style="559" customWidth="1"/>
    <col min="14343" max="14344" width="11.42578125" style="559"/>
    <col min="14345" max="14345" width="12" style="559" bestFit="1" customWidth="1"/>
    <col min="14346" max="14592" width="11.42578125" style="559"/>
    <col min="14593" max="14593" width="31.140625" style="559" customWidth="1"/>
    <col min="14594" max="14594" width="14.28515625" style="559" customWidth="1"/>
    <col min="14595" max="14595" width="15" style="559" customWidth="1"/>
    <col min="14596" max="14596" width="12.7109375" style="559" customWidth="1"/>
    <col min="14597" max="14598" width="17.28515625" style="559" customWidth="1"/>
    <col min="14599" max="14600" width="11.42578125" style="559"/>
    <col min="14601" max="14601" width="12" style="559" bestFit="1" customWidth="1"/>
    <col min="14602" max="14848" width="11.42578125" style="559"/>
    <col min="14849" max="14849" width="31.140625" style="559" customWidth="1"/>
    <col min="14850" max="14850" width="14.28515625" style="559" customWidth="1"/>
    <col min="14851" max="14851" width="15" style="559" customWidth="1"/>
    <col min="14852" max="14852" width="12.7109375" style="559" customWidth="1"/>
    <col min="14853" max="14854" width="17.28515625" style="559" customWidth="1"/>
    <col min="14855" max="14856" width="11.42578125" style="559"/>
    <col min="14857" max="14857" width="12" style="559" bestFit="1" customWidth="1"/>
    <col min="14858" max="15104" width="11.42578125" style="559"/>
    <col min="15105" max="15105" width="31.140625" style="559" customWidth="1"/>
    <col min="15106" max="15106" width="14.28515625" style="559" customWidth="1"/>
    <col min="15107" max="15107" width="15" style="559" customWidth="1"/>
    <col min="15108" max="15108" width="12.7109375" style="559" customWidth="1"/>
    <col min="15109" max="15110" width="17.28515625" style="559" customWidth="1"/>
    <col min="15111" max="15112" width="11.42578125" style="559"/>
    <col min="15113" max="15113" width="12" style="559" bestFit="1" customWidth="1"/>
    <col min="15114" max="15360" width="11.42578125" style="559"/>
    <col min="15361" max="15361" width="31.140625" style="559" customWidth="1"/>
    <col min="15362" max="15362" width="14.28515625" style="559" customWidth="1"/>
    <col min="15363" max="15363" width="15" style="559" customWidth="1"/>
    <col min="15364" max="15364" width="12.7109375" style="559" customWidth="1"/>
    <col min="15365" max="15366" width="17.28515625" style="559" customWidth="1"/>
    <col min="15367" max="15368" width="11.42578125" style="559"/>
    <col min="15369" max="15369" width="12" style="559" bestFit="1" customWidth="1"/>
    <col min="15370" max="15616" width="11.42578125" style="559"/>
    <col min="15617" max="15617" width="31.140625" style="559" customWidth="1"/>
    <col min="15618" max="15618" width="14.28515625" style="559" customWidth="1"/>
    <col min="15619" max="15619" width="15" style="559" customWidth="1"/>
    <col min="15620" max="15620" width="12.7109375" style="559" customWidth="1"/>
    <col min="15621" max="15622" width="17.28515625" style="559" customWidth="1"/>
    <col min="15623" max="15624" width="11.42578125" style="559"/>
    <col min="15625" max="15625" width="12" style="559" bestFit="1" customWidth="1"/>
    <col min="15626" max="15872" width="11.42578125" style="559"/>
    <col min="15873" max="15873" width="31.140625" style="559" customWidth="1"/>
    <col min="15874" max="15874" width="14.28515625" style="559" customWidth="1"/>
    <col min="15875" max="15875" width="15" style="559" customWidth="1"/>
    <col min="15876" max="15876" width="12.7109375" style="559" customWidth="1"/>
    <col min="15877" max="15878" width="17.28515625" style="559" customWidth="1"/>
    <col min="15879" max="15880" width="11.42578125" style="559"/>
    <col min="15881" max="15881" width="12" style="559" bestFit="1" customWidth="1"/>
    <col min="15882" max="16128" width="11.42578125" style="559"/>
    <col min="16129" max="16129" width="31.140625" style="559" customWidth="1"/>
    <col min="16130" max="16130" width="14.28515625" style="559" customWidth="1"/>
    <col min="16131" max="16131" width="15" style="559" customWidth="1"/>
    <col min="16132" max="16132" width="12.7109375" style="559" customWidth="1"/>
    <col min="16133" max="16134" width="17.28515625" style="559" customWidth="1"/>
    <col min="16135" max="16136" width="11.42578125" style="559"/>
    <col min="16137" max="16137" width="12" style="559" bestFit="1" customWidth="1"/>
    <col min="16138" max="16384" width="11.42578125" style="559"/>
  </cols>
  <sheetData>
    <row r="2" spans="1:6" s="491" customFormat="1" ht="24.75" customHeight="1">
      <c r="C2" s="925" t="s">
        <v>872</v>
      </c>
      <c r="D2" s="925"/>
      <c r="E2" s="915"/>
      <c r="F2" s="915"/>
    </row>
    <row r="3" spans="1:6" s="491" customFormat="1" ht="22.5">
      <c r="A3" s="916" t="str">
        <f>'[1]Anexo F'!A4:E4</f>
        <v>BALANCE GENERAL</v>
      </c>
      <c r="B3" s="916"/>
      <c r="C3" s="916"/>
      <c r="D3" s="916"/>
      <c r="E3" s="916"/>
      <c r="F3" s="916"/>
    </row>
    <row r="4" spans="1:6" s="491" customFormat="1" ht="22.5">
      <c r="A4" s="916" t="s">
        <v>1122</v>
      </c>
      <c r="B4" s="916"/>
      <c r="C4" s="916"/>
      <c r="D4" s="916"/>
      <c r="E4" s="916"/>
      <c r="F4" s="916"/>
    </row>
    <row r="5" spans="1:6" s="491" customFormat="1" ht="20.25">
      <c r="A5" s="923" t="s">
        <v>576</v>
      </c>
      <c r="B5" s="923"/>
      <c r="C5" s="923"/>
      <c r="D5" s="923"/>
      <c r="E5" s="923"/>
      <c r="F5" s="923"/>
    </row>
    <row r="6" spans="1:6" s="491" customFormat="1"/>
    <row r="7" spans="1:6" s="491" customFormat="1" ht="22.5">
      <c r="A7" s="916" t="s">
        <v>873</v>
      </c>
      <c r="B7" s="916"/>
      <c r="C7" s="916"/>
      <c r="D7" s="916"/>
      <c r="E7" s="916"/>
      <c r="F7" s="916"/>
    </row>
    <row r="8" spans="1:6" s="491" customFormat="1"/>
    <row r="9" spans="1:6" s="491" customFormat="1">
      <c r="A9" s="518"/>
      <c r="B9" s="924" t="s">
        <v>874</v>
      </c>
      <c r="C9" s="924"/>
      <c r="D9" s="518"/>
      <c r="E9" s="924" t="s">
        <v>875</v>
      </c>
      <c r="F9" s="924"/>
    </row>
    <row r="10" spans="1:6" s="491" customFormat="1">
      <c r="A10" s="520"/>
      <c r="B10" s="518"/>
      <c r="C10" s="640"/>
      <c r="D10" s="520"/>
      <c r="E10" s="518" t="s">
        <v>876</v>
      </c>
      <c r="F10" s="518" t="s">
        <v>876</v>
      </c>
    </row>
    <row r="11" spans="1:6" s="491" customFormat="1">
      <c r="A11" s="520"/>
      <c r="B11" s="520"/>
      <c r="C11" s="641"/>
      <c r="D11" s="520" t="s">
        <v>877</v>
      </c>
      <c r="E11" s="520" t="s">
        <v>711</v>
      </c>
      <c r="F11" s="520" t="s">
        <v>711</v>
      </c>
    </row>
    <row r="12" spans="1:6" s="491" customFormat="1">
      <c r="A12" s="522" t="s">
        <v>848</v>
      </c>
      <c r="B12" s="522" t="s">
        <v>765</v>
      </c>
      <c r="C12" s="642" t="s">
        <v>878</v>
      </c>
      <c r="D12" s="522" t="s">
        <v>879</v>
      </c>
      <c r="E12" s="522" t="s">
        <v>849</v>
      </c>
      <c r="F12" s="522" t="s">
        <v>850</v>
      </c>
    </row>
    <row r="13" spans="1:6" s="491" customFormat="1">
      <c r="A13" s="498"/>
      <c r="B13" s="498"/>
      <c r="C13" s="498"/>
      <c r="D13" s="498"/>
      <c r="E13" s="498"/>
      <c r="F13" s="498"/>
    </row>
    <row r="14" spans="1:6" s="491" customFormat="1">
      <c r="A14" s="643" t="s">
        <v>880</v>
      </c>
      <c r="B14" s="500"/>
      <c r="C14" s="500"/>
      <c r="D14" s="500"/>
      <c r="E14" s="500"/>
      <c r="F14" s="500"/>
    </row>
    <row r="15" spans="1:6" s="491" customFormat="1" ht="6" customHeight="1">
      <c r="A15" s="500"/>
      <c r="B15" s="500"/>
      <c r="C15" s="619"/>
      <c r="D15" s="619"/>
      <c r="E15" s="619"/>
      <c r="F15" s="619"/>
    </row>
    <row r="16" spans="1:6" s="491" customFormat="1">
      <c r="A16" s="525" t="s">
        <v>881</v>
      </c>
      <c r="B16" s="500"/>
      <c r="C16" s="619"/>
      <c r="D16" s="619"/>
      <c r="E16" s="619"/>
      <c r="F16" s="619"/>
    </row>
    <row r="17" spans="1:6">
      <c r="A17" s="644"/>
      <c r="B17" s="645"/>
      <c r="C17" s="646"/>
      <c r="D17" s="646"/>
      <c r="E17" s="646"/>
      <c r="F17" s="619"/>
    </row>
    <row r="18" spans="1:6">
      <c r="A18" s="500" t="s">
        <v>882</v>
      </c>
      <c r="B18" s="647" t="s">
        <v>883</v>
      </c>
      <c r="C18" s="648">
        <f>E18/D18</f>
        <v>0</v>
      </c>
      <c r="D18" s="649">
        <v>6793.79</v>
      </c>
      <c r="E18" s="619">
        <v>0</v>
      </c>
      <c r="F18" s="619">
        <v>0</v>
      </c>
    </row>
    <row r="19" spans="1:6">
      <c r="A19" s="650" t="s">
        <v>884</v>
      </c>
      <c r="B19" s="647" t="s">
        <v>883</v>
      </c>
      <c r="C19" s="648">
        <f>E19/D19</f>
        <v>411077.60999383259</v>
      </c>
      <c r="D19" s="649">
        <v>6793.79</v>
      </c>
      <c r="E19" s="619">
        <f>49956504+2717071007+25747445</f>
        <v>2792774956</v>
      </c>
      <c r="F19" s="619">
        <f>45466751+18656909+2153424444</f>
        <v>2217548104</v>
      </c>
    </row>
    <row r="20" spans="1:6">
      <c r="A20" s="650" t="s">
        <v>885</v>
      </c>
      <c r="B20" s="647" t="s">
        <v>883</v>
      </c>
      <c r="C20" s="648">
        <f>E20/D20</f>
        <v>0</v>
      </c>
      <c r="D20" s="649">
        <v>6793.79</v>
      </c>
      <c r="E20" s="619">
        <v>0</v>
      </c>
      <c r="F20" s="619">
        <v>0</v>
      </c>
    </row>
    <row r="21" spans="1:6">
      <c r="A21" s="650" t="s">
        <v>886</v>
      </c>
      <c r="B21" s="647" t="s">
        <v>883</v>
      </c>
      <c r="C21" s="648">
        <f>E21/D21</f>
        <v>16671.822355415756</v>
      </c>
      <c r="D21" s="649">
        <v>6793.79</v>
      </c>
      <c r="E21" s="619">
        <v>113264860</v>
      </c>
      <c r="F21" s="619">
        <v>500744838</v>
      </c>
    </row>
    <row r="22" spans="1:6">
      <c r="A22" s="650" t="s">
        <v>887</v>
      </c>
      <c r="B22" s="647" t="s">
        <v>883</v>
      </c>
      <c r="C22" s="648">
        <f>E22/D22</f>
        <v>0</v>
      </c>
      <c r="D22" s="649">
        <v>6793.79</v>
      </c>
      <c r="E22" s="619">
        <v>0</v>
      </c>
      <c r="F22" s="619">
        <v>0</v>
      </c>
    </row>
    <row r="23" spans="1:6">
      <c r="A23" s="504"/>
      <c r="B23" s="651"/>
      <c r="C23" s="625"/>
      <c r="D23" s="625"/>
      <c r="E23" s="625"/>
      <c r="F23" s="625"/>
    </row>
    <row r="24" spans="1:6">
      <c r="A24" s="607" t="s">
        <v>888</v>
      </c>
      <c r="B24" s="652"/>
      <c r="C24" s="653">
        <f>SUM(C18:C23)</f>
        <v>427749.43234924832</v>
      </c>
      <c r="D24" s="653">
        <f>D22</f>
        <v>6793.79</v>
      </c>
      <c r="E24" s="654">
        <f>SUM(E18:E22)</f>
        <v>2906039816</v>
      </c>
      <c r="F24" s="654">
        <f>SUM(F18:F22)</f>
        <v>2718292942</v>
      </c>
    </row>
    <row r="25" spans="1:6">
      <c r="A25" s="498"/>
      <c r="B25" s="655"/>
      <c r="C25" s="499"/>
      <c r="D25" s="499"/>
      <c r="E25" s="499"/>
      <c r="F25" s="499"/>
    </row>
    <row r="26" spans="1:6">
      <c r="A26" s="525" t="s">
        <v>889</v>
      </c>
      <c r="B26" s="656"/>
      <c r="C26" s="619"/>
      <c r="D26" s="619"/>
      <c r="E26" s="657"/>
      <c r="F26" s="619">
        <v>0</v>
      </c>
    </row>
    <row r="27" spans="1:6">
      <c r="A27" s="500" t="s">
        <v>890</v>
      </c>
      <c r="B27" s="647" t="s">
        <v>883</v>
      </c>
      <c r="C27" s="619">
        <f>E27/D27</f>
        <v>0</v>
      </c>
      <c r="D27" s="649">
        <v>6793.79</v>
      </c>
      <c r="E27" s="619">
        <v>0</v>
      </c>
      <c r="F27" s="619">
        <v>0</v>
      </c>
    </row>
    <row r="28" spans="1:6">
      <c r="A28" s="500"/>
      <c r="B28" s="656"/>
      <c r="C28" s="619"/>
      <c r="D28" s="619"/>
      <c r="E28" s="619"/>
      <c r="F28" s="619"/>
    </row>
    <row r="29" spans="1:6">
      <c r="A29" s="607" t="s">
        <v>888</v>
      </c>
      <c r="B29" s="652"/>
      <c r="C29" s="653">
        <f>SUM(C27)</f>
        <v>0</v>
      </c>
      <c r="D29" s="658">
        <f>D27</f>
        <v>6793.79</v>
      </c>
      <c r="E29" s="654">
        <f>SUM(E27)</f>
        <v>0</v>
      </c>
      <c r="F29" s="654">
        <f>SUM(F27)</f>
        <v>0</v>
      </c>
    </row>
    <row r="30" spans="1:6">
      <c r="A30" s="659"/>
      <c r="B30" s="660"/>
      <c r="C30" s="661"/>
      <c r="D30" s="828"/>
      <c r="E30" s="661"/>
      <c r="F30" s="661"/>
    </row>
    <row r="31" spans="1:6">
      <c r="A31" s="507" t="s">
        <v>131</v>
      </c>
      <c r="B31" s="662"/>
      <c r="C31" s="663">
        <f>C24+C29</f>
        <v>427749.43234924832</v>
      </c>
      <c r="D31" s="663">
        <f>D29</f>
        <v>6793.79</v>
      </c>
      <c r="E31" s="664">
        <f>E24+E29</f>
        <v>2906039816</v>
      </c>
      <c r="F31" s="664">
        <f>F24+F29</f>
        <v>2718292942</v>
      </c>
    </row>
    <row r="32" spans="1:6">
      <c r="A32" s="498"/>
      <c r="B32" s="655"/>
      <c r="C32" s="499"/>
      <c r="D32" s="499"/>
      <c r="E32" s="499"/>
      <c r="F32" s="665"/>
    </row>
    <row r="33" spans="1:9">
      <c r="A33" s="643" t="s">
        <v>891</v>
      </c>
      <c r="B33" s="656"/>
      <c r="C33" s="619"/>
      <c r="D33" s="619"/>
      <c r="E33" s="619"/>
      <c r="F33" s="646"/>
    </row>
    <row r="34" spans="1:9">
      <c r="A34" s="500"/>
      <c r="B34" s="656"/>
      <c r="C34" s="619"/>
      <c r="D34" s="619"/>
      <c r="E34" s="619"/>
      <c r="F34" s="646"/>
    </row>
    <row r="35" spans="1:9">
      <c r="A35" s="525" t="s">
        <v>892</v>
      </c>
      <c r="B35" s="656"/>
      <c r="C35" s="619"/>
      <c r="D35" s="619"/>
      <c r="E35" s="619"/>
      <c r="F35" s="646"/>
    </row>
    <row r="36" spans="1:9">
      <c r="A36" s="500" t="s">
        <v>893</v>
      </c>
      <c r="B36" s="656" t="s">
        <v>883</v>
      </c>
      <c r="C36" s="648">
        <f>E36/D36</f>
        <v>0</v>
      </c>
      <c r="D36" s="649">
        <v>6820.47</v>
      </c>
      <c r="E36" s="619">
        <v>0</v>
      </c>
      <c r="F36" s="619">
        <v>0</v>
      </c>
    </row>
    <row r="37" spans="1:9">
      <c r="A37" s="650" t="s">
        <v>894</v>
      </c>
      <c r="B37" s="647" t="s">
        <v>883</v>
      </c>
      <c r="C37" s="648">
        <f t="shared" ref="C37:C43" si="0">E37/D37</f>
        <v>0</v>
      </c>
      <c r="D37" s="649">
        <v>6820.47</v>
      </c>
      <c r="E37" s="619">
        <v>0</v>
      </c>
      <c r="F37" s="619">
        <v>0</v>
      </c>
    </row>
    <row r="38" spans="1:9">
      <c r="A38" s="650" t="s">
        <v>895</v>
      </c>
      <c r="B38" s="647" t="s">
        <v>883</v>
      </c>
      <c r="C38" s="648">
        <f t="shared" si="0"/>
        <v>114785.82003879498</v>
      </c>
      <c r="D38" s="649">
        <v>6820.47</v>
      </c>
      <c r="E38" s="619">
        <v>782893242</v>
      </c>
      <c r="F38" s="619">
        <v>351761086</v>
      </c>
    </row>
    <row r="39" spans="1:9">
      <c r="A39" s="650" t="s">
        <v>896</v>
      </c>
      <c r="B39" s="647" t="s">
        <v>883</v>
      </c>
      <c r="C39" s="648">
        <f t="shared" si="0"/>
        <v>0</v>
      </c>
      <c r="D39" s="649">
        <v>6820.47</v>
      </c>
      <c r="E39" s="619">
        <v>0</v>
      </c>
      <c r="F39" s="619">
        <v>0</v>
      </c>
    </row>
    <row r="40" spans="1:9">
      <c r="A40" s="650" t="s">
        <v>897</v>
      </c>
      <c r="B40" s="647" t="s">
        <v>883</v>
      </c>
      <c r="C40" s="648">
        <f t="shared" si="0"/>
        <v>1001.909985675474</v>
      </c>
      <c r="D40" s="649">
        <v>6820.47</v>
      </c>
      <c r="E40" s="619">
        <v>6833497</v>
      </c>
      <c r="F40" s="619">
        <v>6418131</v>
      </c>
    </row>
    <row r="41" spans="1:9">
      <c r="A41" s="650" t="s">
        <v>898</v>
      </c>
      <c r="B41" s="647" t="s">
        <v>883</v>
      </c>
      <c r="C41" s="648">
        <f t="shared" si="0"/>
        <v>0</v>
      </c>
      <c r="D41" s="649">
        <v>6820.47</v>
      </c>
      <c r="E41" s="619">
        <v>0</v>
      </c>
      <c r="F41" s="619">
        <v>0</v>
      </c>
    </row>
    <row r="42" spans="1:9">
      <c r="A42" s="650" t="s">
        <v>899</v>
      </c>
      <c r="B42" s="647" t="s">
        <v>883</v>
      </c>
      <c r="C42" s="648">
        <f t="shared" si="0"/>
        <v>0</v>
      </c>
      <c r="D42" s="649">
        <v>6820.47</v>
      </c>
      <c r="E42" s="619">
        <v>0</v>
      </c>
      <c r="F42" s="619">
        <v>0</v>
      </c>
    </row>
    <row r="43" spans="1:9">
      <c r="A43" s="666" t="s">
        <v>900</v>
      </c>
      <c r="B43" s="667" t="s">
        <v>883</v>
      </c>
      <c r="C43" s="648">
        <f t="shared" si="0"/>
        <v>56938.999804998777</v>
      </c>
      <c r="D43" s="649">
        <v>6820.47</v>
      </c>
      <c r="E43" s="625">
        <v>388350740</v>
      </c>
      <c r="F43" s="625">
        <v>523505635</v>
      </c>
      <c r="I43" s="572"/>
    </row>
    <row r="44" spans="1:9">
      <c r="A44" s="668" t="s">
        <v>888</v>
      </c>
      <c r="B44" s="669"/>
      <c r="C44" s="653">
        <f>SUM(C36:C43)</f>
        <v>172726.72982946923</v>
      </c>
      <c r="D44" s="653">
        <f>D42</f>
        <v>6820.47</v>
      </c>
      <c r="E44" s="654">
        <f>SUM(E36:E43)</f>
        <v>1178077479</v>
      </c>
      <c r="F44" s="654">
        <f>SUM(F36:F43)</f>
        <v>881684852</v>
      </c>
    </row>
    <row r="45" spans="1:9">
      <c r="A45" s="670"/>
      <c r="B45" s="671"/>
      <c r="C45" s="672"/>
      <c r="D45" s="499"/>
      <c r="E45" s="499"/>
      <c r="F45" s="499"/>
    </row>
    <row r="46" spans="1:9">
      <c r="A46" s="509" t="s">
        <v>901</v>
      </c>
      <c r="B46" s="647"/>
      <c r="C46" s="648"/>
      <c r="D46" s="619"/>
      <c r="E46" s="619"/>
      <c r="F46" s="619"/>
    </row>
    <row r="47" spans="1:9">
      <c r="A47" s="509"/>
      <c r="B47" s="647"/>
      <c r="C47" s="648"/>
      <c r="D47" s="619"/>
      <c r="E47" s="619"/>
      <c r="F47" s="619"/>
    </row>
    <row r="48" spans="1:9">
      <c r="A48" s="650" t="s">
        <v>898</v>
      </c>
      <c r="B48" s="647" t="s">
        <v>883</v>
      </c>
      <c r="C48" s="648">
        <f>E48/D48</f>
        <v>0</v>
      </c>
      <c r="D48" s="649">
        <v>6820.47</v>
      </c>
      <c r="E48" s="619">
        <v>0</v>
      </c>
      <c r="F48" s="619">
        <v>0</v>
      </c>
    </row>
    <row r="49" spans="1:6">
      <c r="A49" s="650" t="s">
        <v>899</v>
      </c>
      <c r="B49" s="647" t="s">
        <v>883</v>
      </c>
      <c r="C49" s="648">
        <f>E49/D49</f>
        <v>0</v>
      </c>
      <c r="D49" s="649">
        <v>6820.47</v>
      </c>
      <c r="E49" s="619">
        <v>0</v>
      </c>
      <c r="F49" s="619">
        <v>0</v>
      </c>
    </row>
    <row r="50" spans="1:6">
      <c r="A50" s="650" t="s">
        <v>900</v>
      </c>
      <c r="B50" s="647" t="s">
        <v>883</v>
      </c>
      <c r="C50" s="648">
        <f>E50/D50</f>
        <v>17212.000052782285</v>
      </c>
      <c r="D50" s="649">
        <v>6820.47</v>
      </c>
      <c r="E50" s="619">
        <v>117393930</v>
      </c>
      <c r="F50" s="619">
        <f>103823535+16485829+87498846+59460542+33634809</f>
        <v>300903561</v>
      </c>
    </row>
    <row r="51" spans="1:6">
      <c r="A51" s="673" t="s">
        <v>71</v>
      </c>
      <c r="B51" s="674" t="s">
        <v>883</v>
      </c>
      <c r="C51" s="648">
        <f>E51/D51</f>
        <v>0</v>
      </c>
      <c r="D51" s="649">
        <v>6820.47</v>
      </c>
      <c r="E51" s="675">
        <v>0</v>
      </c>
      <c r="F51" s="675">
        <v>0</v>
      </c>
    </row>
    <row r="52" spans="1:6">
      <c r="A52" s="607" t="s">
        <v>888</v>
      </c>
      <c r="B52" s="607"/>
      <c r="C52" s="653">
        <f>SUM(C48:C51)</f>
        <v>17212.000052782285</v>
      </c>
      <c r="D52" s="653"/>
      <c r="E52" s="654">
        <f>SUM(E48:E51)</f>
        <v>117393930</v>
      </c>
      <c r="F52" s="654">
        <f>SUM(F48:F51)</f>
        <v>300903561</v>
      </c>
    </row>
    <row r="53" spans="1:6">
      <c r="A53" s="659"/>
      <c r="B53" s="659"/>
      <c r="C53" s="676"/>
      <c r="D53" s="661"/>
      <c r="E53" s="661"/>
      <c r="F53" s="661"/>
    </row>
    <row r="54" spans="1:6">
      <c r="A54" s="507" t="s">
        <v>131</v>
      </c>
      <c r="B54" s="677"/>
      <c r="C54" s="663">
        <f>C44+C52</f>
        <v>189938.72988225153</v>
      </c>
      <c r="D54" s="663">
        <f>D48</f>
        <v>6820.47</v>
      </c>
      <c r="E54" s="664">
        <f>E44+E52</f>
        <v>1295471409</v>
      </c>
      <c r="F54" s="664">
        <f>F44+F52</f>
        <v>1182588413</v>
      </c>
    </row>
    <row r="56" spans="1:6" ht="25.5" customHeight="1"/>
    <row r="57" spans="1:6" s="491" customFormat="1" ht="30.75" customHeight="1"/>
    <row r="58" spans="1:6" s="491" customFormat="1"/>
    <row r="59" spans="1:6" s="827" customFormat="1" ht="15">
      <c r="A59" s="514" t="s">
        <v>720</v>
      </c>
      <c r="B59" s="515"/>
      <c r="C59" s="826"/>
      <c r="D59" s="907" t="s">
        <v>721</v>
      </c>
      <c r="E59" s="907"/>
      <c r="F59" s="907"/>
    </row>
    <row r="60" spans="1:6" s="491" customFormat="1">
      <c r="A60" s="530" t="s">
        <v>746</v>
      </c>
      <c r="B60" s="531"/>
      <c r="C60" s="532"/>
      <c r="D60" s="920" t="s">
        <v>608</v>
      </c>
      <c r="E60" s="920"/>
      <c r="F60" s="920"/>
    </row>
    <row r="61" spans="1:6" s="491" customFormat="1" ht="32.25" customHeight="1"/>
    <row r="62" spans="1:6" s="491" customFormat="1" ht="29.25" customHeight="1"/>
    <row r="63" spans="1:6" s="491" customFormat="1"/>
    <row r="64" spans="1:6" s="491" customFormat="1"/>
    <row r="65" spans="1:6" s="827" customFormat="1" ht="15">
      <c r="A65" s="907" t="str">
        <f>'[1]Anexo F'!A56</f>
        <v>Dr. Raul Fernando Vargas</v>
      </c>
      <c r="B65" s="907"/>
      <c r="D65" s="908" t="s">
        <v>1016</v>
      </c>
      <c r="E65" s="908"/>
      <c r="F65" s="908"/>
    </row>
    <row r="66" spans="1:6" s="827" customFormat="1" ht="15">
      <c r="A66" s="907" t="s">
        <v>748</v>
      </c>
      <c r="B66" s="907"/>
      <c r="D66" s="908" t="s">
        <v>698</v>
      </c>
      <c r="E66" s="908"/>
      <c r="F66" s="908"/>
    </row>
    <row r="67" spans="1:6" s="491" customFormat="1"/>
    <row r="68" spans="1:6" s="491" customFormat="1"/>
  </sheetData>
  <mergeCells count="14">
    <mergeCell ref="A65:B65"/>
    <mergeCell ref="A66:B66"/>
    <mergeCell ref="E2:F2"/>
    <mergeCell ref="A3:F3"/>
    <mergeCell ref="A4:F4"/>
    <mergeCell ref="A5:F5"/>
    <mergeCell ref="A7:F7"/>
    <mergeCell ref="B9:C9"/>
    <mergeCell ref="E9:F9"/>
    <mergeCell ref="C2:D2"/>
    <mergeCell ref="D59:F59"/>
    <mergeCell ref="D60:F60"/>
    <mergeCell ref="D65:F65"/>
    <mergeCell ref="D66:F66"/>
  </mergeCells>
  <printOptions horizontalCentered="1"/>
  <pageMargins left="0.78740157480314965" right="0.78740157480314965" top="1.9685039370078741" bottom="0.98425196850393704" header="0" footer="0"/>
  <pageSetup paperSize="5" scale="75" firstPageNumber="0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workbookViewId="0">
      <pane ySplit="6" topLeftCell="A7" activePane="bottomLeft" state="frozen"/>
      <selection pane="bottomLeft" activeCell="A81" sqref="A81:B81"/>
    </sheetView>
  </sheetViews>
  <sheetFormatPr baseColWidth="10" defaultRowHeight="12.75"/>
  <cols>
    <col min="1" max="1" width="29.85546875" style="559" customWidth="1"/>
    <col min="2" max="2" width="13.85546875" style="559" customWidth="1"/>
    <col min="3" max="3" width="12.7109375" style="559" bestFit="1" customWidth="1"/>
    <col min="4" max="4" width="13.7109375" style="559" bestFit="1" customWidth="1"/>
    <col min="5" max="6" width="12.5703125" style="559" customWidth="1"/>
    <col min="7" max="7" width="14.28515625" style="559" customWidth="1"/>
    <col min="8" max="8" width="14.7109375" style="559" customWidth="1"/>
    <col min="9" max="9" width="11.42578125" style="559"/>
    <col min="10" max="10" width="13.28515625" style="691" bestFit="1" customWidth="1"/>
    <col min="11" max="11" width="16.28515625" style="692" bestFit="1" customWidth="1"/>
    <col min="12" max="256" width="11.42578125" style="559"/>
    <col min="257" max="257" width="29.85546875" style="559" customWidth="1"/>
    <col min="258" max="258" width="13.85546875" style="559" customWidth="1"/>
    <col min="259" max="259" width="12.7109375" style="559" bestFit="1" customWidth="1"/>
    <col min="260" max="260" width="13.7109375" style="559" bestFit="1" customWidth="1"/>
    <col min="261" max="262" width="12.5703125" style="559" customWidth="1"/>
    <col min="263" max="263" width="14.28515625" style="559" customWidth="1"/>
    <col min="264" max="264" width="14.7109375" style="559" customWidth="1"/>
    <col min="265" max="265" width="11.42578125" style="559"/>
    <col min="266" max="266" width="13.28515625" style="559" bestFit="1" customWidth="1"/>
    <col min="267" max="267" width="16.28515625" style="559" bestFit="1" customWidth="1"/>
    <col min="268" max="512" width="11.42578125" style="559"/>
    <col min="513" max="513" width="29.85546875" style="559" customWidth="1"/>
    <col min="514" max="514" width="13.85546875" style="559" customWidth="1"/>
    <col min="515" max="515" width="12.7109375" style="559" bestFit="1" customWidth="1"/>
    <col min="516" max="516" width="13.7109375" style="559" bestFit="1" customWidth="1"/>
    <col min="517" max="518" width="12.5703125" style="559" customWidth="1"/>
    <col min="519" max="519" width="14.28515625" style="559" customWidth="1"/>
    <col min="520" max="520" width="14.7109375" style="559" customWidth="1"/>
    <col min="521" max="521" width="11.42578125" style="559"/>
    <col min="522" max="522" width="13.28515625" style="559" bestFit="1" customWidth="1"/>
    <col min="523" max="523" width="16.28515625" style="559" bestFit="1" customWidth="1"/>
    <col min="524" max="768" width="11.42578125" style="559"/>
    <col min="769" max="769" width="29.85546875" style="559" customWidth="1"/>
    <col min="770" max="770" width="13.85546875" style="559" customWidth="1"/>
    <col min="771" max="771" width="12.7109375" style="559" bestFit="1" customWidth="1"/>
    <col min="772" max="772" width="13.7109375" style="559" bestFit="1" customWidth="1"/>
    <col min="773" max="774" width="12.5703125" style="559" customWidth="1"/>
    <col min="775" max="775" width="14.28515625" style="559" customWidth="1"/>
    <col min="776" max="776" width="14.7109375" style="559" customWidth="1"/>
    <col min="777" max="777" width="11.42578125" style="559"/>
    <col min="778" max="778" width="13.28515625" style="559" bestFit="1" customWidth="1"/>
    <col min="779" max="779" width="16.28515625" style="559" bestFit="1" customWidth="1"/>
    <col min="780" max="1024" width="11.42578125" style="559"/>
    <col min="1025" max="1025" width="29.85546875" style="559" customWidth="1"/>
    <col min="1026" max="1026" width="13.85546875" style="559" customWidth="1"/>
    <col min="1027" max="1027" width="12.7109375" style="559" bestFit="1" customWidth="1"/>
    <col min="1028" max="1028" width="13.7109375" style="559" bestFit="1" customWidth="1"/>
    <col min="1029" max="1030" width="12.5703125" style="559" customWidth="1"/>
    <col min="1031" max="1031" width="14.28515625" style="559" customWidth="1"/>
    <col min="1032" max="1032" width="14.7109375" style="559" customWidth="1"/>
    <col min="1033" max="1033" width="11.42578125" style="559"/>
    <col min="1034" max="1034" width="13.28515625" style="559" bestFit="1" customWidth="1"/>
    <col min="1035" max="1035" width="16.28515625" style="559" bestFit="1" customWidth="1"/>
    <col min="1036" max="1280" width="11.42578125" style="559"/>
    <col min="1281" max="1281" width="29.85546875" style="559" customWidth="1"/>
    <col min="1282" max="1282" width="13.85546875" style="559" customWidth="1"/>
    <col min="1283" max="1283" width="12.7109375" style="559" bestFit="1" customWidth="1"/>
    <col min="1284" max="1284" width="13.7109375" style="559" bestFit="1" customWidth="1"/>
    <col min="1285" max="1286" width="12.5703125" style="559" customWidth="1"/>
    <col min="1287" max="1287" width="14.28515625" style="559" customWidth="1"/>
    <col min="1288" max="1288" width="14.7109375" style="559" customWidth="1"/>
    <col min="1289" max="1289" width="11.42578125" style="559"/>
    <col min="1290" max="1290" width="13.28515625" style="559" bestFit="1" customWidth="1"/>
    <col min="1291" max="1291" width="16.28515625" style="559" bestFit="1" customWidth="1"/>
    <col min="1292" max="1536" width="11.42578125" style="559"/>
    <col min="1537" max="1537" width="29.85546875" style="559" customWidth="1"/>
    <col min="1538" max="1538" width="13.85546875" style="559" customWidth="1"/>
    <col min="1539" max="1539" width="12.7109375" style="559" bestFit="1" customWidth="1"/>
    <col min="1540" max="1540" width="13.7109375" style="559" bestFit="1" customWidth="1"/>
    <col min="1541" max="1542" width="12.5703125" style="559" customWidth="1"/>
    <col min="1543" max="1543" width="14.28515625" style="559" customWidth="1"/>
    <col min="1544" max="1544" width="14.7109375" style="559" customWidth="1"/>
    <col min="1545" max="1545" width="11.42578125" style="559"/>
    <col min="1546" max="1546" width="13.28515625" style="559" bestFit="1" customWidth="1"/>
    <col min="1547" max="1547" width="16.28515625" style="559" bestFit="1" customWidth="1"/>
    <col min="1548" max="1792" width="11.42578125" style="559"/>
    <col min="1793" max="1793" width="29.85546875" style="559" customWidth="1"/>
    <col min="1794" max="1794" width="13.85546875" style="559" customWidth="1"/>
    <col min="1795" max="1795" width="12.7109375" style="559" bestFit="1" customWidth="1"/>
    <col min="1796" max="1796" width="13.7109375" style="559" bestFit="1" customWidth="1"/>
    <col min="1797" max="1798" width="12.5703125" style="559" customWidth="1"/>
    <col min="1799" max="1799" width="14.28515625" style="559" customWidth="1"/>
    <col min="1800" max="1800" width="14.7109375" style="559" customWidth="1"/>
    <col min="1801" max="1801" width="11.42578125" style="559"/>
    <col min="1802" max="1802" width="13.28515625" style="559" bestFit="1" customWidth="1"/>
    <col min="1803" max="1803" width="16.28515625" style="559" bestFit="1" customWidth="1"/>
    <col min="1804" max="2048" width="11.42578125" style="559"/>
    <col min="2049" max="2049" width="29.85546875" style="559" customWidth="1"/>
    <col min="2050" max="2050" width="13.85546875" style="559" customWidth="1"/>
    <col min="2051" max="2051" width="12.7109375" style="559" bestFit="1" customWidth="1"/>
    <col min="2052" max="2052" width="13.7109375" style="559" bestFit="1" customWidth="1"/>
    <col min="2053" max="2054" width="12.5703125" style="559" customWidth="1"/>
    <col min="2055" max="2055" width="14.28515625" style="559" customWidth="1"/>
    <col min="2056" max="2056" width="14.7109375" style="559" customWidth="1"/>
    <col min="2057" max="2057" width="11.42578125" style="559"/>
    <col min="2058" max="2058" width="13.28515625" style="559" bestFit="1" customWidth="1"/>
    <col min="2059" max="2059" width="16.28515625" style="559" bestFit="1" customWidth="1"/>
    <col min="2060" max="2304" width="11.42578125" style="559"/>
    <col min="2305" max="2305" width="29.85546875" style="559" customWidth="1"/>
    <col min="2306" max="2306" width="13.85546875" style="559" customWidth="1"/>
    <col min="2307" max="2307" width="12.7109375" style="559" bestFit="1" customWidth="1"/>
    <col min="2308" max="2308" width="13.7109375" style="559" bestFit="1" customWidth="1"/>
    <col min="2309" max="2310" width="12.5703125" style="559" customWidth="1"/>
    <col min="2311" max="2311" width="14.28515625" style="559" customWidth="1"/>
    <col min="2312" max="2312" width="14.7109375" style="559" customWidth="1"/>
    <col min="2313" max="2313" width="11.42578125" style="559"/>
    <col min="2314" max="2314" width="13.28515625" style="559" bestFit="1" customWidth="1"/>
    <col min="2315" max="2315" width="16.28515625" style="559" bestFit="1" customWidth="1"/>
    <col min="2316" max="2560" width="11.42578125" style="559"/>
    <col min="2561" max="2561" width="29.85546875" style="559" customWidth="1"/>
    <col min="2562" max="2562" width="13.85546875" style="559" customWidth="1"/>
    <col min="2563" max="2563" width="12.7109375" style="559" bestFit="1" customWidth="1"/>
    <col min="2564" max="2564" width="13.7109375" style="559" bestFit="1" customWidth="1"/>
    <col min="2565" max="2566" width="12.5703125" style="559" customWidth="1"/>
    <col min="2567" max="2567" width="14.28515625" style="559" customWidth="1"/>
    <col min="2568" max="2568" width="14.7109375" style="559" customWidth="1"/>
    <col min="2569" max="2569" width="11.42578125" style="559"/>
    <col min="2570" max="2570" width="13.28515625" style="559" bestFit="1" customWidth="1"/>
    <col min="2571" max="2571" width="16.28515625" style="559" bestFit="1" customWidth="1"/>
    <col min="2572" max="2816" width="11.42578125" style="559"/>
    <col min="2817" max="2817" width="29.85546875" style="559" customWidth="1"/>
    <col min="2818" max="2818" width="13.85546875" style="559" customWidth="1"/>
    <col min="2819" max="2819" width="12.7109375" style="559" bestFit="1" customWidth="1"/>
    <col min="2820" max="2820" width="13.7109375" style="559" bestFit="1" customWidth="1"/>
    <col min="2821" max="2822" width="12.5703125" style="559" customWidth="1"/>
    <col min="2823" max="2823" width="14.28515625" style="559" customWidth="1"/>
    <col min="2824" max="2824" width="14.7109375" style="559" customWidth="1"/>
    <col min="2825" max="2825" width="11.42578125" style="559"/>
    <col min="2826" max="2826" width="13.28515625" style="559" bestFit="1" customWidth="1"/>
    <col min="2827" max="2827" width="16.28515625" style="559" bestFit="1" customWidth="1"/>
    <col min="2828" max="3072" width="11.42578125" style="559"/>
    <col min="3073" max="3073" width="29.85546875" style="559" customWidth="1"/>
    <col min="3074" max="3074" width="13.85546875" style="559" customWidth="1"/>
    <col min="3075" max="3075" width="12.7109375" style="559" bestFit="1" customWidth="1"/>
    <col min="3076" max="3076" width="13.7109375" style="559" bestFit="1" customWidth="1"/>
    <col min="3077" max="3078" width="12.5703125" style="559" customWidth="1"/>
    <col min="3079" max="3079" width="14.28515625" style="559" customWidth="1"/>
    <col min="3080" max="3080" width="14.7109375" style="559" customWidth="1"/>
    <col min="3081" max="3081" width="11.42578125" style="559"/>
    <col min="3082" max="3082" width="13.28515625" style="559" bestFit="1" customWidth="1"/>
    <col min="3083" max="3083" width="16.28515625" style="559" bestFit="1" customWidth="1"/>
    <col min="3084" max="3328" width="11.42578125" style="559"/>
    <col min="3329" max="3329" width="29.85546875" style="559" customWidth="1"/>
    <col min="3330" max="3330" width="13.85546875" style="559" customWidth="1"/>
    <col min="3331" max="3331" width="12.7109375" style="559" bestFit="1" customWidth="1"/>
    <col min="3332" max="3332" width="13.7109375" style="559" bestFit="1" customWidth="1"/>
    <col min="3333" max="3334" width="12.5703125" style="559" customWidth="1"/>
    <col min="3335" max="3335" width="14.28515625" style="559" customWidth="1"/>
    <col min="3336" max="3336" width="14.7109375" style="559" customWidth="1"/>
    <col min="3337" max="3337" width="11.42578125" style="559"/>
    <col min="3338" max="3338" width="13.28515625" style="559" bestFit="1" customWidth="1"/>
    <col min="3339" max="3339" width="16.28515625" style="559" bestFit="1" customWidth="1"/>
    <col min="3340" max="3584" width="11.42578125" style="559"/>
    <col min="3585" max="3585" width="29.85546875" style="559" customWidth="1"/>
    <col min="3586" max="3586" width="13.85546875" style="559" customWidth="1"/>
    <col min="3587" max="3587" width="12.7109375" style="559" bestFit="1" customWidth="1"/>
    <col min="3588" max="3588" width="13.7109375" style="559" bestFit="1" customWidth="1"/>
    <col min="3589" max="3590" width="12.5703125" style="559" customWidth="1"/>
    <col min="3591" max="3591" width="14.28515625" style="559" customWidth="1"/>
    <col min="3592" max="3592" width="14.7109375" style="559" customWidth="1"/>
    <col min="3593" max="3593" width="11.42578125" style="559"/>
    <col min="3594" max="3594" width="13.28515625" style="559" bestFit="1" customWidth="1"/>
    <col min="3595" max="3595" width="16.28515625" style="559" bestFit="1" customWidth="1"/>
    <col min="3596" max="3840" width="11.42578125" style="559"/>
    <col min="3841" max="3841" width="29.85546875" style="559" customWidth="1"/>
    <col min="3842" max="3842" width="13.85546875" style="559" customWidth="1"/>
    <col min="3843" max="3843" width="12.7109375" style="559" bestFit="1" customWidth="1"/>
    <col min="3844" max="3844" width="13.7109375" style="559" bestFit="1" customWidth="1"/>
    <col min="3845" max="3846" width="12.5703125" style="559" customWidth="1"/>
    <col min="3847" max="3847" width="14.28515625" style="559" customWidth="1"/>
    <col min="3848" max="3848" width="14.7109375" style="559" customWidth="1"/>
    <col min="3849" max="3849" width="11.42578125" style="559"/>
    <col min="3850" max="3850" width="13.28515625" style="559" bestFit="1" customWidth="1"/>
    <col min="3851" max="3851" width="16.28515625" style="559" bestFit="1" customWidth="1"/>
    <col min="3852" max="4096" width="11.42578125" style="559"/>
    <col min="4097" max="4097" width="29.85546875" style="559" customWidth="1"/>
    <col min="4098" max="4098" width="13.85546875" style="559" customWidth="1"/>
    <col min="4099" max="4099" width="12.7109375" style="559" bestFit="1" customWidth="1"/>
    <col min="4100" max="4100" width="13.7109375" style="559" bestFit="1" customWidth="1"/>
    <col min="4101" max="4102" width="12.5703125" style="559" customWidth="1"/>
    <col min="4103" max="4103" width="14.28515625" style="559" customWidth="1"/>
    <col min="4104" max="4104" width="14.7109375" style="559" customWidth="1"/>
    <col min="4105" max="4105" width="11.42578125" style="559"/>
    <col min="4106" max="4106" width="13.28515625" style="559" bestFit="1" customWidth="1"/>
    <col min="4107" max="4107" width="16.28515625" style="559" bestFit="1" customWidth="1"/>
    <col min="4108" max="4352" width="11.42578125" style="559"/>
    <col min="4353" max="4353" width="29.85546875" style="559" customWidth="1"/>
    <col min="4354" max="4354" width="13.85546875" style="559" customWidth="1"/>
    <col min="4355" max="4355" width="12.7109375" style="559" bestFit="1" customWidth="1"/>
    <col min="4356" max="4356" width="13.7109375" style="559" bestFit="1" customWidth="1"/>
    <col min="4357" max="4358" width="12.5703125" style="559" customWidth="1"/>
    <col min="4359" max="4359" width="14.28515625" style="559" customWidth="1"/>
    <col min="4360" max="4360" width="14.7109375" style="559" customWidth="1"/>
    <col min="4361" max="4361" width="11.42578125" style="559"/>
    <col min="4362" max="4362" width="13.28515625" style="559" bestFit="1" customWidth="1"/>
    <col min="4363" max="4363" width="16.28515625" style="559" bestFit="1" customWidth="1"/>
    <col min="4364" max="4608" width="11.42578125" style="559"/>
    <col min="4609" max="4609" width="29.85546875" style="559" customWidth="1"/>
    <col min="4610" max="4610" width="13.85546875" style="559" customWidth="1"/>
    <col min="4611" max="4611" width="12.7109375" style="559" bestFit="1" customWidth="1"/>
    <col min="4612" max="4612" width="13.7109375" style="559" bestFit="1" customWidth="1"/>
    <col min="4613" max="4614" width="12.5703125" style="559" customWidth="1"/>
    <col min="4615" max="4615" width="14.28515625" style="559" customWidth="1"/>
    <col min="4616" max="4616" width="14.7109375" style="559" customWidth="1"/>
    <col min="4617" max="4617" width="11.42578125" style="559"/>
    <col min="4618" max="4618" width="13.28515625" style="559" bestFit="1" customWidth="1"/>
    <col min="4619" max="4619" width="16.28515625" style="559" bestFit="1" customWidth="1"/>
    <col min="4620" max="4864" width="11.42578125" style="559"/>
    <col min="4865" max="4865" width="29.85546875" style="559" customWidth="1"/>
    <col min="4866" max="4866" width="13.85546875" style="559" customWidth="1"/>
    <col min="4867" max="4867" width="12.7109375" style="559" bestFit="1" customWidth="1"/>
    <col min="4868" max="4868" width="13.7109375" style="559" bestFit="1" customWidth="1"/>
    <col min="4869" max="4870" width="12.5703125" style="559" customWidth="1"/>
    <col min="4871" max="4871" width="14.28515625" style="559" customWidth="1"/>
    <col min="4872" max="4872" width="14.7109375" style="559" customWidth="1"/>
    <col min="4873" max="4873" width="11.42578125" style="559"/>
    <col min="4874" max="4874" width="13.28515625" style="559" bestFit="1" customWidth="1"/>
    <col min="4875" max="4875" width="16.28515625" style="559" bestFit="1" customWidth="1"/>
    <col min="4876" max="5120" width="11.42578125" style="559"/>
    <col min="5121" max="5121" width="29.85546875" style="559" customWidth="1"/>
    <col min="5122" max="5122" width="13.85546875" style="559" customWidth="1"/>
    <col min="5123" max="5123" width="12.7109375" style="559" bestFit="1" customWidth="1"/>
    <col min="5124" max="5124" width="13.7109375" style="559" bestFit="1" customWidth="1"/>
    <col min="5125" max="5126" width="12.5703125" style="559" customWidth="1"/>
    <col min="5127" max="5127" width="14.28515625" style="559" customWidth="1"/>
    <col min="5128" max="5128" width="14.7109375" style="559" customWidth="1"/>
    <col min="5129" max="5129" width="11.42578125" style="559"/>
    <col min="5130" max="5130" width="13.28515625" style="559" bestFit="1" customWidth="1"/>
    <col min="5131" max="5131" width="16.28515625" style="559" bestFit="1" customWidth="1"/>
    <col min="5132" max="5376" width="11.42578125" style="559"/>
    <col min="5377" max="5377" width="29.85546875" style="559" customWidth="1"/>
    <col min="5378" max="5378" width="13.85546875" style="559" customWidth="1"/>
    <col min="5379" max="5379" width="12.7109375" style="559" bestFit="1" customWidth="1"/>
    <col min="5380" max="5380" width="13.7109375" style="559" bestFit="1" customWidth="1"/>
    <col min="5381" max="5382" width="12.5703125" style="559" customWidth="1"/>
    <col min="5383" max="5383" width="14.28515625" style="559" customWidth="1"/>
    <col min="5384" max="5384" width="14.7109375" style="559" customWidth="1"/>
    <col min="5385" max="5385" width="11.42578125" style="559"/>
    <col min="5386" max="5386" width="13.28515625" style="559" bestFit="1" customWidth="1"/>
    <col min="5387" max="5387" width="16.28515625" style="559" bestFit="1" customWidth="1"/>
    <col min="5388" max="5632" width="11.42578125" style="559"/>
    <col min="5633" max="5633" width="29.85546875" style="559" customWidth="1"/>
    <col min="5634" max="5634" width="13.85546875" style="559" customWidth="1"/>
    <col min="5635" max="5635" width="12.7109375" style="559" bestFit="1" customWidth="1"/>
    <col min="5636" max="5636" width="13.7109375" style="559" bestFit="1" customWidth="1"/>
    <col min="5637" max="5638" width="12.5703125" style="559" customWidth="1"/>
    <col min="5639" max="5639" width="14.28515625" style="559" customWidth="1"/>
    <col min="5640" max="5640" width="14.7109375" style="559" customWidth="1"/>
    <col min="5641" max="5641" width="11.42578125" style="559"/>
    <col min="5642" max="5642" width="13.28515625" style="559" bestFit="1" customWidth="1"/>
    <col min="5643" max="5643" width="16.28515625" style="559" bestFit="1" customWidth="1"/>
    <col min="5644" max="5888" width="11.42578125" style="559"/>
    <col min="5889" max="5889" width="29.85546875" style="559" customWidth="1"/>
    <col min="5890" max="5890" width="13.85546875" style="559" customWidth="1"/>
    <col min="5891" max="5891" width="12.7109375" style="559" bestFit="1" customWidth="1"/>
    <col min="5892" max="5892" width="13.7109375" style="559" bestFit="1" customWidth="1"/>
    <col min="5893" max="5894" width="12.5703125" style="559" customWidth="1"/>
    <col min="5895" max="5895" width="14.28515625" style="559" customWidth="1"/>
    <col min="5896" max="5896" width="14.7109375" style="559" customWidth="1"/>
    <col min="5897" max="5897" width="11.42578125" style="559"/>
    <col min="5898" max="5898" width="13.28515625" style="559" bestFit="1" customWidth="1"/>
    <col min="5899" max="5899" width="16.28515625" style="559" bestFit="1" customWidth="1"/>
    <col min="5900" max="6144" width="11.42578125" style="559"/>
    <col min="6145" max="6145" width="29.85546875" style="559" customWidth="1"/>
    <col min="6146" max="6146" width="13.85546875" style="559" customWidth="1"/>
    <col min="6147" max="6147" width="12.7109375" style="559" bestFit="1" customWidth="1"/>
    <col min="6148" max="6148" width="13.7109375" style="559" bestFit="1" customWidth="1"/>
    <col min="6149" max="6150" width="12.5703125" style="559" customWidth="1"/>
    <col min="6151" max="6151" width="14.28515625" style="559" customWidth="1"/>
    <col min="6152" max="6152" width="14.7109375" style="559" customWidth="1"/>
    <col min="6153" max="6153" width="11.42578125" style="559"/>
    <col min="6154" max="6154" width="13.28515625" style="559" bestFit="1" customWidth="1"/>
    <col min="6155" max="6155" width="16.28515625" style="559" bestFit="1" customWidth="1"/>
    <col min="6156" max="6400" width="11.42578125" style="559"/>
    <col min="6401" max="6401" width="29.85546875" style="559" customWidth="1"/>
    <col min="6402" max="6402" width="13.85546875" style="559" customWidth="1"/>
    <col min="6403" max="6403" width="12.7109375" style="559" bestFit="1" customWidth="1"/>
    <col min="6404" max="6404" width="13.7109375" style="559" bestFit="1" customWidth="1"/>
    <col min="6405" max="6406" width="12.5703125" style="559" customWidth="1"/>
    <col min="6407" max="6407" width="14.28515625" style="559" customWidth="1"/>
    <col min="6408" max="6408" width="14.7109375" style="559" customWidth="1"/>
    <col min="6409" max="6409" width="11.42578125" style="559"/>
    <col min="6410" max="6410" width="13.28515625" style="559" bestFit="1" customWidth="1"/>
    <col min="6411" max="6411" width="16.28515625" style="559" bestFit="1" customWidth="1"/>
    <col min="6412" max="6656" width="11.42578125" style="559"/>
    <col min="6657" max="6657" width="29.85546875" style="559" customWidth="1"/>
    <col min="6658" max="6658" width="13.85546875" style="559" customWidth="1"/>
    <col min="6659" max="6659" width="12.7109375" style="559" bestFit="1" customWidth="1"/>
    <col min="6660" max="6660" width="13.7109375" style="559" bestFit="1" customWidth="1"/>
    <col min="6661" max="6662" width="12.5703125" style="559" customWidth="1"/>
    <col min="6663" max="6663" width="14.28515625" style="559" customWidth="1"/>
    <col min="6664" max="6664" width="14.7109375" style="559" customWidth="1"/>
    <col min="6665" max="6665" width="11.42578125" style="559"/>
    <col min="6666" max="6666" width="13.28515625" style="559" bestFit="1" customWidth="1"/>
    <col min="6667" max="6667" width="16.28515625" style="559" bestFit="1" customWidth="1"/>
    <col min="6668" max="6912" width="11.42578125" style="559"/>
    <col min="6913" max="6913" width="29.85546875" style="559" customWidth="1"/>
    <col min="6914" max="6914" width="13.85546875" style="559" customWidth="1"/>
    <col min="6915" max="6915" width="12.7109375" style="559" bestFit="1" customWidth="1"/>
    <col min="6916" max="6916" width="13.7109375" style="559" bestFit="1" customWidth="1"/>
    <col min="6917" max="6918" width="12.5703125" style="559" customWidth="1"/>
    <col min="6919" max="6919" width="14.28515625" style="559" customWidth="1"/>
    <col min="6920" max="6920" width="14.7109375" style="559" customWidth="1"/>
    <col min="6921" max="6921" width="11.42578125" style="559"/>
    <col min="6922" max="6922" width="13.28515625" style="559" bestFit="1" customWidth="1"/>
    <col min="6923" max="6923" width="16.28515625" style="559" bestFit="1" customWidth="1"/>
    <col min="6924" max="7168" width="11.42578125" style="559"/>
    <col min="7169" max="7169" width="29.85546875" style="559" customWidth="1"/>
    <col min="7170" max="7170" width="13.85546875" style="559" customWidth="1"/>
    <col min="7171" max="7171" width="12.7109375" style="559" bestFit="1" customWidth="1"/>
    <col min="7172" max="7172" width="13.7109375" style="559" bestFit="1" customWidth="1"/>
    <col min="7173" max="7174" width="12.5703125" style="559" customWidth="1"/>
    <col min="7175" max="7175" width="14.28515625" style="559" customWidth="1"/>
    <col min="7176" max="7176" width="14.7109375" style="559" customWidth="1"/>
    <col min="7177" max="7177" width="11.42578125" style="559"/>
    <col min="7178" max="7178" width="13.28515625" style="559" bestFit="1" customWidth="1"/>
    <col min="7179" max="7179" width="16.28515625" style="559" bestFit="1" customWidth="1"/>
    <col min="7180" max="7424" width="11.42578125" style="559"/>
    <col min="7425" max="7425" width="29.85546875" style="559" customWidth="1"/>
    <col min="7426" max="7426" width="13.85546875" style="559" customWidth="1"/>
    <col min="7427" max="7427" width="12.7109375" style="559" bestFit="1" customWidth="1"/>
    <col min="7428" max="7428" width="13.7109375" style="559" bestFit="1" customWidth="1"/>
    <col min="7429" max="7430" width="12.5703125" style="559" customWidth="1"/>
    <col min="7431" max="7431" width="14.28515625" style="559" customWidth="1"/>
    <col min="7432" max="7432" width="14.7109375" style="559" customWidth="1"/>
    <col min="7433" max="7433" width="11.42578125" style="559"/>
    <col min="7434" max="7434" width="13.28515625" style="559" bestFit="1" customWidth="1"/>
    <col min="7435" max="7435" width="16.28515625" style="559" bestFit="1" customWidth="1"/>
    <col min="7436" max="7680" width="11.42578125" style="559"/>
    <col min="7681" max="7681" width="29.85546875" style="559" customWidth="1"/>
    <col min="7682" max="7682" width="13.85546875" style="559" customWidth="1"/>
    <col min="7683" max="7683" width="12.7109375" style="559" bestFit="1" customWidth="1"/>
    <col min="7684" max="7684" width="13.7109375" style="559" bestFit="1" customWidth="1"/>
    <col min="7685" max="7686" width="12.5703125" style="559" customWidth="1"/>
    <col min="7687" max="7687" width="14.28515625" style="559" customWidth="1"/>
    <col min="7688" max="7688" width="14.7109375" style="559" customWidth="1"/>
    <col min="7689" max="7689" width="11.42578125" style="559"/>
    <col min="7690" max="7690" width="13.28515625" style="559" bestFit="1" customWidth="1"/>
    <col min="7691" max="7691" width="16.28515625" style="559" bestFit="1" customWidth="1"/>
    <col min="7692" max="7936" width="11.42578125" style="559"/>
    <col min="7937" max="7937" width="29.85546875" style="559" customWidth="1"/>
    <col min="7938" max="7938" width="13.85546875" style="559" customWidth="1"/>
    <col min="7939" max="7939" width="12.7109375" style="559" bestFit="1" customWidth="1"/>
    <col min="7940" max="7940" width="13.7109375" style="559" bestFit="1" customWidth="1"/>
    <col min="7941" max="7942" width="12.5703125" style="559" customWidth="1"/>
    <col min="7943" max="7943" width="14.28515625" style="559" customWidth="1"/>
    <col min="7944" max="7944" width="14.7109375" style="559" customWidth="1"/>
    <col min="7945" max="7945" width="11.42578125" style="559"/>
    <col min="7946" max="7946" width="13.28515625" style="559" bestFit="1" customWidth="1"/>
    <col min="7947" max="7947" width="16.28515625" style="559" bestFit="1" customWidth="1"/>
    <col min="7948" max="8192" width="11.42578125" style="559"/>
    <col min="8193" max="8193" width="29.85546875" style="559" customWidth="1"/>
    <col min="8194" max="8194" width="13.85546875" style="559" customWidth="1"/>
    <col min="8195" max="8195" width="12.7109375" style="559" bestFit="1" customWidth="1"/>
    <col min="8196" max="8196" width="13.7109375" style="559" bestFit="1" customWidth="1"/>
    <col min="8197" max="8198" width="12.5703125" style="559" customWidth="1"/>
    <col min="8199" max="8199" width="14.28515625" style="559" customWidth="1"/>
    <col min="8200" max="8200" width="14.7109375" style="559" customWidth="1"/>
    <col min="8201" max="8201" width="11.42578125" style="559"/>
    <col min="8202" max="8202" width="13.28515625" style="559" bestFit="1" customWidth="1"/>
    <col min="8203" max="8203" width="16.28515625" style="559" bestFit="1" customWidth="1"/>
    <col min="8204" max="8448" width="11.42578125" style="559"/>
    <col min="8449" max="8449" width="29.85546875" style="559" customWidth="1"/>
    <col min="8450" max="8450" width="13.85546875" style="559" customWidth="1"/>
    <col min="8451" max="8451" width="12.7109375" style="559" bestFit="1" customWidth="1"/>
    <col min="8452" max="8452" width="13.7109375" style="559" bestFit="1" customWidth="1"/>
    <col min="8453" max="8454" width="12.5703125" style="559" customWidth="1"/>
    <col min="8455" max="8455" width="14.28515625" style="559" customWidth="1"/>
    <col min="8456" max="8456" width="14.7109375" style="559" customWidth="1"/>
    <col min="8457" max="8457" width="11.42578125" style="559"/>
    <col min="8458" max="8458" width="13.28515625" style="559" bestFit="1" customWidth="1"/>
    <col min="8459" max="8459" width="16.28515625" style="559" bestFit="1" customWidth="1"/>
    <col min="8460" max="8704" width="11.42578125" style="559"/>
    <col min="8705" max="8705" width="29.85546875" style="559" customWidth="1"/>
    <col min="8706" max="8706" width="13.85546875" style="559" customWidth="1"/>
    <col min="8707" max="8707" width="12.7109375" style="559" bestFit="1" customWidth="1"/>
    <col min="8708" max="8708" width="13.7109375" style="559" bestFit="1" customWidth="1"/>
    <col min="8709" max="8710" width="12.5703125" style="559" customWidth="1"/>
    <col min="8711" max="8711" width="14.28515625" style="559" customWidth="1"/>
    <col min="8712" max="8712" width="14.7109375" style="559" customWidth="1"/>
    <col min="8713" max="8713" width="11.42578125" style="559"/>
    <col min="8714" max="8714" width="13.28515625" style="559" bestFit="1" customWidth="1"/>
    <col min="8715" max="8715" width="16.28515625" style="559" bestFit="1" customWidth="1"/>
    <col min="8716" max="8960" width="11.42578125" style="559"/>
    <col min="8961" max="8961" width="29.85546875" style="559" customWidth="1"/>
    <col min="8962" max="8962" width="13.85546875" style="559" customWidth="1"/>
    <col min="8963" max="8963" width="12.7109375" style="559" bestFit="1" customWidth="1"/>
    <col min="8964" max="8964" width="13.7109375" style="559" bestFit="1" customWidth="1"/>
    <col min="8965" max="8966" width="12.5703125" style="559" customWidth="1"/>
    <col min="8967" max="8967" width="14.28515625" style="559" customWidth="1"/>
    <col min="8968" max="8968" width="14.7109375" style="559" customWidth="1"/>
    <col min="8969" max="8969" width="11.42578125" style="559"/>
    <col min="8970" max="8970" width="13.28515625" style="559" bestFit="1" customWidth="1"/>
    <col min="8971" max="8971" width="16.28515625" style="559" bestFit="1" customWidth="1"/>
    <col min="8972" max="9216" width="11.42578125" style="559"/>
    <col min="9217" max="9217" width="29.85546875" style="559" customWidth="1"/>
    <col min="9218" max="9218" width="13.85546875" style="559" customWidth="1"/>
    <col min="9219" max="9219" width="12.7109375" style="559" bestFit="1" customWidth="1"/>
    <col min="9220" max="9220" width="13.7109375" style="559" bestFit="1" customWidth="1"/>
    <col min="9221" max="9222" width="12.5703125" style="559" customWidth="1"/>
    <col min="9223" max="9223" width="14.28515625" style="559" customWidth="1"/>
    <col min="9224" max="9224" width="14.7109375" style="559" customWidth="1"/>
    <col min="9225" max="9225" width="11.42578125" style="559"/>
    <col min="9226" max="9226" width="13.28515625" style="559" bestFit="1" customWidth="1"/>
    <col min="9227" max="9227" width="16.28515625" style="559" bestFit="1" customWidth="1"/>
    <col min="9228" max="9472" width="11.42578125" style="559"/>
    <col min="9473" max="9473" width="29.85546875" style="559" customWidth="1"/>
    <col min="9474" max="9474" width="13.85546875" style="559" customWidth="1"/>
    <col min="9475" max="9475" width="12.7109375" style="559" bestFit="1" customWidth="1"/>
    <col min="9476" max="9476" width="13.7109375" style="559" bestFit="1" customWidth="1"/>
    <col min="9477" max="9478" width="12.5703125" style="559" customWidth="1"/>
    <col min="9479" max="9479" width="14.28515625" style="559" customWidth="1"/>
    <col min="9480" max="9480" width="14.7109375" style="559" customWidth="1"/>
    <col min="9481" max="9481" width="11.42578125" style="559"/>
    <col min="9482" max="9482" width="13.28515625" style="559" bestFit="1" customWidth="1"/>
    <col min="9483" max="9483" width="16.28515625" style="559" bestFit="1" customWidth="1"/>
    <col min="9484" max="9728" width="11.42578125" style="559"/>
    <col min="9729" max="9729" width="29.85546875" style="559" customWidth="1"/>
    <col min="9730" max="9730" width="13.85546875" style="559" customWidth="1"/>
    <col min="9731" max="9731" width="12.7109375" style="559" bestFit="1" customWidth="1"/>
    <col min="9732" max="9732" width="13.7109375" style="559" bestFit="1" customWidth="1"/>
    <col min="9733" max="9734" width="12.5703125" style="559" customWidth="1"/>
    <col min="9735" max="9735" width="14.28515625" style="559" customWidth="1"/>
    <col min="9736" max="9736" width="14.7109375" style="559" customWidth="1"/>
    <col min="9737" max="9737" width="11.42578125" style="559"/>
    <col min="9738" max="9738" width="13.28515625" style="559" bestFit="1" customWidth="1"/>
    <col min="9739" max="9739" width="16.28515625" style="559" bestFit="1" customWidth="1"/>
    <col min="9740" max="9984" width="11.42578125" style="559"/>
    <col min="9985" max="9985" width="29.85546875" style="559" customWidth="1"/>
    <col min="9986" max="9986" width="13.85546875" style="559" customWidth="1"/>
    <col min="9987" max="9987" width="12.7109375" style="559" bestFit="1" customWidth="1"/>
    <col min="9988" max="9988" width="13.7109375" style="559" bestFit="1" customWidth="1"/>
    <col min="9989" max="9990" width="12.5703125" style="559" customWidth="1"/>
    <col min="9991" max="9991" width="14.28515625" style="559" customWidth="1"/>
    <col min="9992" max="9992" width="14.7109375" style="559" customWidth="1"/>
    <col min="9993" max="9993" width="11.42578125" style="559"/>
    <col min="9994" max="9994" width="13.28515625" style="559" bestFit="1" customWidth="1"/>
    <col min="9995" max="9995" width="16.28515625" style="559" bestFit="1" customWidth="1"/>
    <col min="9996" max="10240" width="11.42578125" style="559"/>
    <col min="10241" max="10241" width="29.85546875" style="559" customWidth="1"/>
    <col min="10242" max="10242" width="13.85546875" style="559" customWidth="1"/>
    <col min="10243" max="10243" width="12.7109375" style="559" bestFit="1" customWidth="1"/>
    <col min="10244" max="10244" width="13.7109375" style="559" bestFit="1" customWidth="1"/>
    <col min="10245" max="10246" width="12.5703125" style="559" customWidth="1"/>
    <col min="10247" max="10247" width="14.28515625" style="559" customWidth="1"/>
    <col min="10248" max="10248" width="14.7109375" style="559" customWidth="1"/>
    <col min="10249" max="10249" width="11.42578125" style="559"/>
    <col min="10250" max="10250" width="13.28515625" style="559" bestFit="1" customWidth="1"/>
    <col min="10251" max="10251" width="16.28515625" style="559" bestFit="1" customWidth="1"/>
    <col min="10252" max="10496" width="11.42578125" style="559"/>
    <col min="10497" max="10497" width="29.85546875" style="559" customWidth="1"/>
    <col min="10498" max="10498" width="13.85546875" style="559" customWidth="1"/>
    <col min="10499" max="10499" width="12.7109375" style="559" bestFit="1" customWidth="1"/>
    <col min="10500" max="10500" width="13.7109375" style="559" bestFit="1" customWidth="1"/>
    <col min="10501" max="10502" width="12.5703125" style="559" customWidth="1"/>
    <col min="10503" max="10503" width="14.28515625" style="559" customWidth="1"/>
    <col min="10504" max="10504" width="14.7109375" style="559" customWidth="1"/>
    <col min="10505" max="10505" width="11.42578125" style="559"/>
    <col min="10506" max="10506" width="13.28515625" style="559" bestFit="1" customWidth="1"/>
    <col min="10507" max="10507" width="16.28515625" style="559" bestFit="1" customWidth="1"/>
    <col min="10508" max="10752" width="11.42578125" style="559"/>
    <col min="10753" max="10753" width="29.85546875" style="559" customWidth="1"/>
    <col min="10754" max="10754" width="13.85546875" style="559" customWidth="1"/>
    <col min="10755" max="10755" width="12.7109375" style="559" bestFit="1" customWidth="1"/>
    <col min="10756" max="10756" width="13.7109375" style="559" bestFit="1" customWidth="1"/>
    <col min="10757" max="10758" width="12.5703125" style="559" customWidth="1"/>
    <col min="10759" max="10759" width="14.28515625" style="559" customWidth="1"/>
    <col min="10760" max="10760" width="14.7109375" style="559" customWidth="1"/>
    <col min="10761" max="10761" width="11.42578125" style="559"/>
    <col min="10762" max="10762" width="13.28515625" style="559" bestFit="1" customWidth="1"/>
    <col min="10763" max="10763" width="16.28515625" style="559" bestFit="1" customWidth="1"/>
    <col min="10764" max="11008" width="11.42578125" style="559"/>
    <col min="11009" max="11009" width="29.85546875" style="559" customWidth="1"/>
    <col min="11010" max="11010" width="13.85546875" style="559" customWidth="1"/>
    <col min="11011" max="11011" width="12.7109375" style="559" bestFit="1" customWidth="1"/>
    <col min="11012" max="11012" width="13.7109375" style="559" bestFit="1" customWidth="1"/>
    <col min="11013" max="11014" width="12.5703125" style="559" customWidth="1"/>
    <col min="11015" max="11015" width="14.28515625" style="559" customWidth="1"/>
    <col min="11016" max="11016" width="14.7109375" style="559" customWidth="1"/>
    <col min="11017" max="11017" width="11.42578125" style="559"/>
    <col min="11018" max="11018" width="13.28515625" style="559" bestFit="1" customWidth="1"/>
    <col min="11019" max="11019" width="16.28515625" style="559" bestFit="1" customWidth="1"/>
    <col min="11020" max="11264" width="11.42578125" style="559"/>
    <col min="11265" max="11265" width="29.85546875" style="559" customWidth="1"/>
    <col min="11266" max="11266" width="13.85546875" style="559" customWidth="1"/>
    <col min="11267" max="11267" width="12.7109375" style="559" bestFit="1" customWidth="1"/>
    <col min="11268" max="11268" width="13.7109375" style="559" bestFit="1" customWidth="1"/>
    <col min="11269" max="11270" width="12.5703125" style="559" customWidth="1"/>
    <col min="11271" max="11271" width="14.28515625" style="559" customWidth="1"/>
    <col min="11272" max="11272" width="14.7109375" style="559" customWidth="1"/>
    <col min="11273" max="11273" width="11.42578125" style="559"/>
    <col min="11274" max="11274" width="13.28515625" style="559" bestFit="1" customWidth="1"/>
    <col min="11275" max="11275" width="16.28515625" style="559" bestFit="1" customWidth="1"/>
    <col min="11276" max="11520" width="11.42578125" style="559"/>
    <col min="11521" max="11521" width="29.85546875" style="559" customWidth="1"/>
    <col min="11522" max="11522" width="13.85546875" style="559" customWidth="1"/>
    <col min="11523" max="11523" width="12.7109375" style="559" bestFit="1" customWidth="1"/>
    <col min="11524" max="11524" width="13.7109375" style="559" bestFit="1" customWidth="1"/>
    <col min="11525" max="11526" width="12.5703125" style="559" customWidth="1"/>
    <col min="11527" max="11527" width="14.28515625" style="559" customWidth="1"/>
    <col min="11528" max="11528" width="14.7109375" style="559" customWidth="1"/>
    <col min="11529" max="11529" width="11.42578125" style="559"/>
    <col min="11530" max="11530" width="13.28515625" style="559" bestFit="1" customWidth="1"/>
    <col min="11531" max="11531" width="16.28515625" style="559" bestFit="1" customWidth="1"/>
    <col min="11532" max="11776" width="11.42578125" style="559"/>
    <col min="11777" max="11777" width="29.85546875" style="559" customWidth="1"/>
    <col min="11778" max="11778" width="13.85546875" style="559" customWidth="1"/>
    <col min="11779" max="11779" width="12.7109375" style="559" bestFit="1" customWidth="1"/>
    <col min="11780" max="11780" width="13.7109375" style="559" bestFit="1" customWidth="1"/>
    <col min="11781" max="11782" width="12.5703125" style="559" customWidth="1"/>
    <col min="11783" max="11783" width="14.28515625" style="559" customWidth="1"/>
    <col min="11784" max="11784" width="14.7109375" style="559" customWidth="1"/>
    <col min="11785" max="11785" width="11.42578125" style="559"/>
    <col min="11786" max="11786" width="13.28515625" style="559" bestFit="1" customWidth="1"/>
    <col min="11787" max="11787" width="16.28515625" style="559" bestFit="1" customWidth="1"/>
    <col min="11788" max="12032" width="11.42578125" style="559"/>
    <col min="12033" max="12033" width="29.85546875" style="559" customWidth="1"/>
    <col min="12034" max="12034" width="13.85546875" style="559" customWidth="1"/>
    <col min="12035" max="12035" width="12.7109375" style="559" bestFit="1" customWidth="1"/>
    <col min="12036" max="12036" width="13.7109375" style="559" bestFit="1" customWidth="1"/>
    <col min="12037" max="12038" width="12.5703125" style="559" customWidth="1"/>
    <col min="12039" max="12039" width="14.28515625" style="559" customWidth="1"/>
    <col min="12040" max="12040" width="14.7109375" style="559" customWidth="1"/>
    <col min="12041" max="12041" width="11.42578125" style="559"/>
    <col min="12042" max="12042" width="13.28515625" style="559" bestFit="1" customWidth="1"/>
    <col min="12043" max="12043" width="16.28515625" style="559" bestFit="1" customWidth="1"/>
    <col min="12044" max="12288" width="11.42578125" style="559"/>
    <col min="12289" max="12289" width="29.85546875" style="559" customWidth="1"/>
    <col min="12290" max="12290" width="13.85546875" style="559" customWidth="1"/>
    <col min="12291" max="12291" width="12.7109375" style="559" bestFit="1" customWidth="1"/>
    <col min="12292" max="12292" width="13.7109375" style="559" bestFit="1" customWidth="1"/>
    <col min="12293" max="12294" width="12.5703125" style="559" customWidth="1"/>
    <col min="12295" max="12295" width="14.28515625" style="559" customWidth="1"/>
    <col min="12296" max="12296" width="14.7109375" style="559" customWidth="1"/>
    <col min="12297" max="12297" width="11.42578125" style="559"/>
    <col min="12298" max="12298" width="13.28515625" style="559" bestFit="1" customWidth="1"/>
    <col min="12299" max="12299" width="16.28515625" style="559" bestFit="1" customWidth="1"/>
    <col min="12300" max="12544" width="11.42578125" style="559"/>
    <col min="12545" max="12545" width="29.85546875" style="559" customWidth="1"/>
    <col min="12546" max="12546" width="13.85546875" style="559" customWidth="1"/>
    <col min="12547" max="12547" width="12.7109375" style="559" bestFit="1" customWidth="1"/>
    <col min="12548" max="12548" width="13.7109375" style="559" bestFit="1" customWidth="1"/>
    <col min="12549" max="12550" width="12.5703125" style="559" customWidth="1"/>
    <col min="12551" max="12551" width="14.28515625" style="559" customWidth="1"/>
    <col min="12552" max="12552" width="14.7109375" style="559" customWidth="1"/>
    <col min="12553" max="12553" width="11.42578125" style="559"/>
    <col min="12554" max="12554" width="13.28515625" style="559" bestFit="1" customWidth="1"/>
    <col min="12555" max="12555" width="16.28515625" style="559" bestFit="1" customWidth="1"/>
    <col min="12556" max="12800" width="11.42578125" style="559"/>
    <col min="12801" max="12801" width="29.85546875" style="559" customWidth="1"/>
    <col min="12802" max="12802" width="13.85546875" style="559" customWidth="1"/>
    <col min="12803" max="12803" width="12.7109375" style="559" bestFit="1" customWidth="1"/>
    <col min="12804" max="12804" width="13.7109375" style="559" bestFit="1" customWidth="1"/>
    <col min="12805" max="12806" width="12.5703125" style="559" customWidth="1"/>
    <col min="12807" max="12807" width="14.28515625" style="559" customWidth="1"/>
    <col min="12808" max="12808" width="14.7109375" style="559" customWidth="1"/>
    <col min="12809" max="12809" width="11.42578125" style="559"/>
    <col min="12810" max="12810" width="13.28515625" style="559" bestFit="1" customWidth="1"/>
    <col min="12811" max="12811" width="16.28515625" style="559" bestFit="1" customWidth="1"/>
    <col min="12812" max="13056" width="11.42578125" style="559"/>
    <col min="13057" max="13057" width="29.85546875" style="559" customWidth="1"/>
    <col min="13058" max="13058" width="13.85546875" style="559" customWidth="1"/>
    <col min="13059" max="13059" width="12.7109375" style="559" bestFit="1" customWidth="1"/>
    <col min="13060" max="13060" width="13.7109375" style="559" bestFit="1" customWidth="1"/>
    <col min="13061" max="13062" width="12.5703125" style="559" customWidth="1"/>
    <col min="13063" max="13063" width="14.28515625" style="559" customWidth="1"/>
    <col min="13064" max="13064" width="14.7109375" style="559" customWidth="1"/>
    <col min="13065" max="13065" width="11.42578125" style="559"/>
    <col min="13066" max="13066" width="13.28515625" style="559" bestFit="1" customWidth="1"/>
    <col min="13067" max="13067" width="16.28515625" style="559" bestFit="1" customWidth="1"/>
    <col min="13068" max="13312" width="11.42578125" style="559"/>
    <col min="13313" max="13313" width="29.85546875" style="559" customWidth="1"/>
    <col min="13314" max="13314" width="13.85546875" style="559" customWidth="1"/>
    <col min="13315" max="13315" width="12.7109375" style="559" bestFit="1" customWidth="1"/>
    <col min="13316" max="13316" width="13.7109375" style="559" bestFit="1" customWidth="1"/>
    <col min="13317" max="13318" width="12.5703125" style="559" customWidth="1"/>
    <col min="13319" max="13319" width="14.28515625" style="559" customWidth="1"/>
    <col min="13320" max="13320" width="14.7109375" style="559" customWidth="1"/>
    <col min="13321" max="13321" width="11.42578125" style="559"/>
    <col min="13322" max="13322" width="13.28515625" style="559" bestFit="1" customWidth="1"/>
    <col min="13323" max="13323" width="16.28515625" style="559" bestFit="1" customWidth="1"/>
    <col min="13324" max="13568" width="11.42578125" style="559"/>
    <col min="13569" max="13569" width="29.85546875" style="559" customWidth="1"/>
    <col min="13570" max="13570" width="13.85546875" style="559" customWidth="1"/>
    <col min="13571" max="13571" width="12.7109375" style="559" bestFit="1" customWidth="1"/>
    <col min="13572" max="13572" width="13.7109375" style="559" bestFit="1" customWidth="1"/>
    <col min="13573" max="13574" width="12.5703125" style="559" customWidth="1"/>
    <col min="13575" max="13575" width="14.28515625" style="559" customWidth="1"/>
    <col min="13576" max="13576" width="14.7109375" style="559" customWidth="1"/>
    <col min="13577" max="13577" width="11.42578125" style="559"/>
    <col min="13578" max="13578" width="13.28515625" style="559" bestFit="1" customWidth="1"/>
    <col min="13579" max="13579" width="16.28515625" style="559" bestFit="1" customWidth="1"/>
    <col min="13580" max="13824" width="11.42578125" style="559"/>
    <col min="13825" max="13825" width="29.85546875" style="559" customWidth="1"/>
    <col min="13826" max="13826" width="13.85546875" style="559" customWidth="1"/>
    <col min="13827" max="13827" width="12.7109375" style="559" bestFit="1" customWidth="1"/>
    <col min="13828" max="13828" width="13.7109375" style="559" bestFit="1" customWidth="1"/>
    <col min="13829" max="13830" width="12.5703125" style="559" customWidth="1"/>
    <col min="13831" max="13831" width="14.28515625" style="559" customWidth="1"/>
    <col min="13832" max="13832" width="14.7109375" style="559" customWidth="1"/>
    <col min="13833" max="13833" width="11.42578125" style="559"/>
    <col min="13834" max="13834" width="13.28515625" style="559" bestFit="1" customWidth="1"/>
    <col min="13835" max="13835" width="16.28515625" style="559" bestFit="1" customWidth="1"/>
    <col min="13836" max="14080" width="11.42578125" style="559"/>
    <col min="14081" max="14081" width="29.85546875" style="559" customWidth="1"/>
    <col min="14082" max="14082" width="13.85546875" style="559" customWidth="1"/>
    <col min="14083" max="14083" width="12.7109375" style="559" bestFit="1" customWidth="1"/>
    <col min="14084" max="14084" width="13.7109375" style="559" bestFit="1" customWidth="1"/>
    <col min="14085" max="14086" width="12.5703125" style="559" customWidth="1"/>
    <col min="14087" max="14087" width="14.28515625" style="559" customWidth="1"/>
    <col min="14088" max="14088" width="14.7109375" style="559" customWidth="1"/>
    <col min="14089" max="14089" width="11.42578125" style="559"/>
    <col min="14090" max="14090" width="13.28515625" style="559" bestFit="1" customWidth="1"/>
    <col min="14091" max="14091" width="16.28515625" style="559" bestFit="1" customWidth="1"/>
    <col min="14092" max="14336" width="11.42578125" style="559"/>
    <col min="14337" max="14337" width="29.85546875" style="559" customWidth="1"/>
    <col min="14338" max="14338" width="13.85546875" style="559" customWidth="1"/>
    <col min="14339" max="14339" width="12.7109375" style="559" bestFit="1" customWidth="1"/>
    <col min="14340" max="14340" width="13.7109375" style="559" bestFit="1" customWidth="1"/>
    <col min="14341" max="14342" width="12.5703125" style="559" customWidth="1"/>
    <col min="14343" max="14343" width="14.28515625" style="559" customWidth="1"/>
    <col min="14344" max="14344" width="14.7109375" style="559" customWidth="1"/>
    <col min="14345" max="14345" width="11.42578125" style="559"/>
    <col min="14346" max="14346" width="13.28515625" style="559" bestFit="1" customWidth="1"/>
    <col min="14347" max="14347" width="16.28515625" style="559" bestFit="1" customWidth="1"/>
    <col min="14348" max="14592" width="11.42578125" style="559"/>
    <col min="14593" max="14593" width="29.85546875" style="559" customWidth="1"/>
    <col min="14594" max="14594" width="13.85546875" style="559" customWidth="1"/>
    <col min="14595" max="14595" width="12.7109375" style="559" bestFit="1" customWidth="1"/>
    <col min="14596" max="14596" width="13.7109375" style="559" bestFit="1" customWidth="1"/>
    <col min="14597" max="14598" width="12.5703125" style="559" customWidth="1"/>
    <col min="14599" max="14599" width="14.28515625" style="559" customWidth="1"/>
    <col min="14600" max="14600" width="14.7109375" style="559" customWidth="1"/>
    <col min="14601" max="14601" width="11.42578125" style="559"/>
    <col min="14602" max="14602" width="13.28515625" style="559" bestFit="1" customWidth="1"/>
    <col min="14603" max="14603" width="16.28515625" style="559" bestFit="1" customWidth="1"/>
    <col min="14604" max="14848" width="11.42578125" style="559"/>
    <col min="14849" max="14849" width="29.85546875" style="559" customWidth="1"/>
    <col min="14850" max="14850" width="13.85546875" style="559" customWidth="1"/>
    <col min="14851" max="14851" width="12.7109375" style="559" bestFit="1" customWidth="1"/>
    <col min="14852" max="14852" width="13.7109375" style="559" bestFit="1" customWidth="1"/>
    <col min="14853" max="14854" width="12.5703125" style="559" customWidth="1"/>
    <col min="14855" max="14855" width="14.28515625" style="559" customWidth="1"/>
    <col min="14856" max="14856" width="14.7109375" style="559" customWidth="1"/>
    <col min="14857" max="14857" width="11.42578125" style="559"/>
    <col min="14858" max="14858" width="13.28515625" style="559" bestFit="1" customWidth="1"/>
    <col min="14859" max="14859" width="16.28515625" style="559" bestFit="1" customWidth="1"/>
    <col min="14860" max="15104" width="11.42578125" style="559"/>
    <col min="15105" max="15105" width="29.85546875" style="559" customWidth="1"/>
    <col min="15106" max="15106" width="13.85546875" style="559" customWidth="1"/>
    <col min="15107" max="15107" width="12.7109375" style="559" bestFit="1" customWidth="1"/>
    <col min="15108" max="15108" width="13.7109375" style="559" bestFit="1" customWidth="1"/>
    <col min="15109" max="15110" width="12.5703125" style="559" customWidth="1"/>
    <col min="15111" max="15111" width="14.28515625" style="559" customWidth="1"/>
    <col min="15112" max="15112" width="14.7109375" style="559" customWidth="1"/>
    <col min="15113" max="15113" width="11.42578125" style="559"/>
    <col min="15114" max="15114" width="13.28515625" style="559" bestFit="1" customWidth="1"/>
    <col min="15115" max="15115" width="16.28515625" style="559" bestFit="1" customWidth="1"/>
    <col min="15116" max="15360" width="11.42578125" style="559"/>
    <col min="15361" max="15361" width="29.85546875" style="559" customWidth="1"/>
    <col min="15362" max="15362" width="13.85546875" style="559" customWidth="1"/>
    <col min="15363" max="15363" width="12.7109375" style="559" bestFit="1" customWidth="1"/>
    <col min="15364" max="15364" width="13.7109375" style="559" bestFit="1" customWidth="1"/>
    <col min="15365" max="15366" width="12.5703125" style="559" customWidth="1"/>
    <col min="15367" max="15367" width="14.28515625" style="559" customWidth="1"/>
    <col min="15368" max="15368" width="14.7109375" style="559" customWidth="1"/>
    <col min="15369" max="15369" width="11.42578125" style="559"/>
    <col min="15370" max="15370" width="13.28515625" style="559" bestFit="1" customWidth="1"/>
    <col min="15371" max="15371" width="16.28515625" style="559" bestFit="1" customWidth="1"/>
    <col min="15372" max="15616" width="11.42578125" style="559"/>
    <col min="15617" max="15617" width="29.85546875" style="559" customWidth="1"/>
    <col min="15618" max="15618" width="13.85546875" style="559" customWidth="1"/>
    <col min="15619" max="15619" width="12.7109375" style="559" bestFit="1" customWidth="1"/>
    <col min="15620" max="15620" width="13.7109375" style="559" bestFit="1" customWidth="1"/>
    <col min="15621" max="15622" width="12.5703125" style="559" customWidth="1"/>
    <col min="15623" max="15623" width="14.28515625" style="559" customWidth="1"/>
    <col min="15624" max="15624" width="14.7109375" style="559" customWidth="1"/>
    <col min="15625" max="15625" width="11.42578125" style="559"/>
    <col min="15626" max="15626" width="13.28515625" style="559" bestFit="1" customWidth="1"/>
    <col min="15627" max="15627" width="16.28515625" style="559" bestFit="1" customWidth="1"/>
    <col min="15628" max="15872" width="11.42578125" style="559"/>
    <col min="15873" max="15873" width="29.85546875" style="559" customWidth="1"/>
    <col min="15874" max="15874" width="13.85546875" style="559" customWidth="1"/>
    <col min="15875" max="15875" width="12.7109375" style="559" bestFit="1" customWidth="1"/>
    <col min="15876" max="15876" width="13.7109375" style="559" bestFit="1" customWidth="1"/>
    <col min="15877" max="15878" width="12.5703125" style="559" customWidth="1"/>
    <col min="15879" max="15879" width="14.28515625" style="559" customWidth="1"/>
    <col min="15880" max="15880" width="14.7109375" style="559" customWidth="1"/>
    <col min="15881" max="15881" width="11.42578125" style="559"/>
    <col min="15882" max="15882" width="13.28515625" style="559" bestFit="1" customWidth="1"/>
    <col min="15883" max="15883" width="16.28515625" style="559" bestFit="1" customWidth="1"/>
    <col min="15884" max="16128" width="11.42578125" style="559"/>
    <col min="16129" max="16129" width="29.85546875" style="559" customWidth="1"/>
    <col min="16130" max="16130" width="13.85546875" style="559" customWidth="1"/>
    <col min="16131" max="16131" width="12.7109375" style="559" bestFit="1" customWidth="1"/>
    <col min="16132" max="16132" width="13.7109375" style="559" bestFit="1" customWidth="1"/>
    <col min="16133" max="16134" width="12.5703125" style="559" customWidth="1"/>
    <col min="16135" max="16135" width="14.28515625" style="559" customWidth="1"/>
    <col min="16136" max="16136" width="14.7109375" style="559" customWidth="1"/>
    <col min="16137" max="16137" width="11.42578125" style="559"/>
    <col min="16138" max="16138" width="13.28515625" style="559" bestFit="1" customWidth="1"/>
    <col min="16139" max="16139" width="16.28515625" style="559" bestFit="1" customWidth="1"/>
    <col min="16140" max="16384" width="11.42578125" style="559"/>
  </cols>
  <sheetData>
    <row r="1" spans="1:11" s="491" customFormat="1" ht="22.5">
      <c r="C1" s="774" t="s">
        <v>902</v>
      </c>
      <c r="F1" s="678"/>
      <c r="G1" s="678"/>
      <c r="J1" s="597"/>
      <c r="K1" s="679"/>
    </row>
    <row r="2" spans="1:11" s="491" customFormat="1" ht="22.5">
      <c r="A2" s="916" t="str">
        <f>'[1]Anexo G'!A3:F3</f>
        <v>BALANCE GENERAL</v>
      </c>
      <c r="B2" s="916"/>
      <c r="C2" s="916"/>
      <c r="D2" s="916"/>
      <c r="E2" s="916"/>
      <c r="F2" s="916"/>
      <c r="G2" s="916"/>
      <c r="J2" s="597"/>
      <c r="K2" s="679"/>
    </row>
    <row r="3" spans="1:11" s="491" customFormat="1" ht="22.5">
      <c r="A3" s="916" t="s">
        <v>1122</v>
      </c>
      <c r="B3" s="916"/>
      <c r="C3" s="916"/>
      <c r="D3" s="916"/>
      <c r="E3" s="916"/>
      <c r="F3" s="916"/>
      <c r="G3" s="916"/>
      <c r="J3" s="597"/>
      <c r="K3" s="679"/>
    </row>
    <row r="4" spans="1:11" s="491" customFormat="1" ht="20.25">
      <c r="A4" s="923" t="s">
        <v>903</v>
      </c>
      <c r="B4" s="923"/>
      <c r="C4" s="923"/>
      <c r="D4" s="923"/>
      <c r="E4" s="923"/>
      <c r="F4" s="923"/>
      <c r="G4" s="923"/>
      <c r="J4" s="597"/>
      <c r="K4" s="679"/>
    </row>
    <row r="5" spans="1:11" s="491" customFormat="1" ht="22.5">
      <c r="A5" s="916" t="s">
        <v>904</v>
      </c>
      <c r="B5" s="916"/>
      <c r="C5" s="916"/>
      <c r="D5" s="916"/>
      <c r="E5" s="916"/>
      <c r="F5" s="916"/>
      <c r="G5" s="916"/>
      <c r="J5" s="597"/>
      <c r="K5" s="679"/>
    </row>
    <row r="6" spans="1:11" s="530" customFormat="1" ht="38.25">
      <c r="A6" s="680" t="s">
        <v>905</v>
      </c>
      <c r="B6" s="681" t="s">
        <v>906</v>
      </c>
      <c r="C6" s="681" t="s">
        <v>907</v>
      </c>
      <c r="D6" s="681" t="s">
        <v>908</v>
      </c>
      <c r="E6" s="681" t="s">
        <v>909</v>
      </c>
      <c r="F6" s="681" t="s">
        <v>370</v>
      </c>
      <c r="G6" s="682">
        <v>2020</v>
      </c>
      <c r="H6" s="682">
        <v>2019</v>
      </c>
      <c r="J6" s="683"/>
      <c r="K6" s="684"/>
    </row>
    <row r="7" spans="1:11">
      <c r="A7" s="685" t="s">
        <v>910</v>
      </c>
      <c r="B7" s="686">
        <v>1292999542</v>
      </c>
      <c r="C7" s="687">
        <v>2278584403</v>
      </c>
      <c r="D7" s="687">
        <v>2113735947</v>
      </c>
      <c r="E7" s="688">
        <v>0</v>
      </c>
      <c r="F7" s="689">
        <v>275352013</v>
      </c>
      <c r="G7" s="690">
        <f>SUM(B7:F7)</f>
        <v>5960671905</v>
      </c>
      <c r="H7" s="690">
        <v>5416387530</v>
      </c>
    </row>
    <row r="8" spans="1:11">
      <c r="A8" s="685" t="s">
        <v>911</v>
      </c>
      <c r="B8" s="693">
        <v>186202855</v>
      </c>
      <c r="C8" s="687">
        <v>350161244</v>
      </c>
      <c r="D8" s="687">
        <v>288160284</v>
      </c>
      <c r="E8" s="688">
        <v>0</v>
      </c>
      <c r="F8" s="689">
        <v>39955837</v>
      </c>
      <c r="G8" s="690">
        <f t="shared" ref="G8:G71" si="0">SUM(B8:F8)</f>
        <v>864480220</v>
      </c>
      <c r="H8" s="690">
        <v>790776749</v>
      </c>
    </row>
    <row r="9" spans="1:11">
      <c r="A9" s="694" t="s">
        <v>912</v>
      </c>
      <c r="B9" s="693">
        <v>21518392</v>
      </c>
      <c r="C9" s="687">
        <v>1156752</v>
      </c>
      <c r="D9" s="687">
        <v>12830159</v>
      </c>
      <c r="E9" s="688">
        <v>0</v>
      </c>
      <c r="F9" s="689">
        <v>7406722</v>
      </c>
      <c r="G9" s="690">
        <f t="shared" si="0"/>
        <v>42912025</v>
      </c>
      <c r="H9" s="690">
        <v>147437848</v>
      </c>
    </row>
    <row r="10" spans="1:11">
      <c r="A10" s="694" t="s">
        <v>913</v>
      </c>
      <c r="B10" s="693">
        <v>0</v>
      </c>
      <c r="C10" s="687">
        <v>173636367</v>
      </c>
      <c r="D10" s="687">
        <v>0</v>
      </c>
      <c r="E10" s="688">
        <v>0</v>
      </c>
      <c r="F10" s="689">
        <v>0</v>
      </c>
      <c r="G10" s="690">
        <f t="shared" si="0"/>
        <v>173636367</v>
      </c>
      <c r="H10" s="690">
        <v>264543506</v>
      </c>
    </row>
    <row r="11" spans="1:11">
      <c r="A11" s="694" t="s">
        <v>914</v>
      </c>
      <c r="B11" s="693">
        <v>9553677</v>
      </c>
      <c r="C11" s="687">
        <v>748686984</v>
      </c>
      <c r="D11" s="687">
        <v>29461421</v>
      </c>
      <c r="E11" s="688">
        <v>0</v>
      </c>
      <c r="F11" s="689">
        <v>0</v>
      </c>
      <c r="G11" s="690">
        <f t="shared" si="0"/>
        <v>787702082</v>
      </c>
      <c r="H11" s="690">
        <v>849126355</v>
      </c>
    </row>
    <row r="12" spans="1:11">
      <c r="A12" s="694" t="s">
        <v>915</v>
      </c>
      <c r="B12" s="693">
        <v>219538277</v>
      </c>
      <c r="C12" s="687">
        <v>857378385</v>
      </c>
      <c r="D12" s="687">
        <v>82724094</v>
      </c>
      <c r="E12" s="688">
        <v>0</v>
      </c>
      <c r="F12" s="689">
        <v>6080347</v>
      </c>
      <c r="G12" s="690">
        <f t="shared" si="0"/>
        <v>1165721103</v>
      </c>
      <c r="H12" s="690">
        <v>1399669412</v>
      </c>
    </row>
    <row r="13" spans="1:11">
      <c r="A13" s="694" t="s">
        <v>916</v>
      </c>
      <c r="B13" s="693">
        <v>42481614</v>
      </c>
      <c r="C13" s="687">
        <v>0</v>
      </c>
      <c r="D13" s="687">
        <v>0</v>
      </c>
      <c r="E13" s="688">
        <v>0</v>
      </c>
      <c r="F13" s="689">
        <v>0</v>
      </c>
      <c r="G13" s="690">
        <f t="shared" si="0"/>
        <v>42481614</v>
      </c>
      <c r="H13" s="690">
        <v>38148366</v>
      </c>
    </row>
    <row r="14" spans="1:11">
      <c r="A14" s="694" t="s">
        <v>917</v>
      </c>
      <c r="B14" s="693">
        <v>0</v>
      </c>
      <c r="C14" s="687">
        <v>213920833</v>
      </c>
      <c r="D14" s="687">
        <v>0</v>
      </c>
      <c r="E14" s="688">
        <v>0</v>
      </c>
      <c r="F14" s="689">
        <v>0</v>
      </c>
      <c r="G14" s="690">
        <f t="shared" si="0"/>
        <v>213920833</v>
      </c>
      <c r="H14" s="690">
        <v>48748831</v>
      </c>
    </row>
    <row r="15" spans="1:11">
      <c r="A15" s="694" t="s">
        <v>918</v>
      </c>
      <c r="B15" s="693">
        <v>0</v>
      </c>
      <c r="C15" s="687">
        <v>0</v>
      </c>
      <c r="D15" s="687">
        <v>282600879</v>
      </c>
      <c r="E15" s="688">
        <v>0</v>
      </c>
      <c r="F15" s="689">
        <v>0</v>
      </c>
      <c r="G15" s="690">
        <f t="shared" si="0"/>
        <v>282600879</v>
      </c>
      <c r="H15" s="690">
        <v>254782319</v>
      </c>
    </row>
    <row r="16" spans="1:11">
      <c r="A16" s="694" t="s">
        <v>919</v>
      </c>
      <c r="B16" s="693">
        <v>0</v>
      </c>
      <c r="C16" s="687">
        <v>41527739</v>
      </c>
      <c r="D16" s="687">
        <v>1324264702</v>
      </c>
      <c r="E16" s="688">
        <v>0</v>
      </c>
      <c r="F16" s="689">
        <v>0</v>
      </c>
      <c r="G16" s="690">
        <f t="shared" si="0"/>
        <v>1365792441</v>
      </c>
      <c r="H16" s="690">
        <v>1826034223</v>
      </c>
    </row>
    <row r="17" spans="1:8">
      <c r="A17" s="694" t="s">
        <v>920</v>
      </c>
      <c r="B17" s="693">
        <v>990200538</v>
      </c>
      <c r="C17" s="687">
        <v>1336208982</v>
      </c>
      <c r="D17" s="687">
        <v>433714346</v>
      </c>
      <c r="E17" s="688">
        <v>0</v>
      </c>
      <c r="F17" s="689">
        <v>874748106</v>
      </c>
      <c r="G17" s="690">
        <f t="shared" si="0"/>
        <v>3634871972</v>
      </c>
      <c r="H17" s="690">
        <v>3579038214</v>
      </c>
    </row>
    <row r="18" spans="1:8">
      <c r="A18" s="694" t="s">
        <v>921</v>
      </c>
      <c r="B18" s="695">
        <v>0</v>
      </c>
      <c r="C18" s="693">
        <v>0</v>
      </c>
      <c r="D18" s="688">
        <v>0</v>
      </c>
      <c r="E18" s="688">
        <v>0</v>
      </c>
      <c r="F18" s="688">
        <v>0</v>
      </c>
      <c r="G18" s="690">
        <f t="shared" si="0"/>
        <v>0</v>
      </c>
      <c r="H18" s="690">
        <v>26921411</v>
      </c>
    </row>
    <row r="19" spans="1:8">
      <c r="A19" s="694" t="s">
        <v>922</v>
      </c>
      <c r="B19" s="695">
        <v>110215414</v>
      </c>
      <c r="C19" s="693">
        <v>13927636</v>
      </c>
      <c r="D19" s="688">
        <v>237145663</v>
      </c>
      <c r="E19" s="688">
        <v>0</v>
      </c>
      <c r="F19" s="688">
        <v>25347711</v>
      </c>
      <c r="G19" s="690">
        <f t="shared" si="0"/>
        <v>386636424</v>
      </c>
      <c r="H19" s="690">
        <v>354604943</v>
      </c>
    </row>
    <row r="20" spans="1:8">
      <c r="A20" s="694" t="s">
        <v>923</v>
      </c>
      <c r="B20" s="695">
        <v>144632344</v>
      </c>
      <c r="C20" s="693">
        <v>53444537</v>
      </c>
      <c r="D20" s="688">
        <v>0</v>
      </c>
      <c r="E20" s="688">
        <v>0</v>
      </c>
      <c r="F20" s="688">
        <v>0</v>
      </c>
      <c r="G20" s="690">
        <f t="shared" si="0"/>
        <v>198076881</v>
      </c>
      <c r="H20" s="690">
        <v>167075847</v>
      </c>
    </row>
    <row r="21" spans="1:8">
      <c r="A21" s="694" t="s">
        <v>924</v>
      </c>
      <c r="B21" s="695">
        <v>10309093</v>
      </c>
      <c r="C21" s="693">
        <v>0</v>
      </c>
      <c r="D21" s="688">
        <v>0</v>
      </c>
      <c r="E21" s="688">
        <v>0</v>
      </c>
      <c r="F21" s="688">
        <v>0</v>
      </c>
      <c r="G21" s="690">
        <f t="shared" si="0"/>
        <v>10309093</v>
      </c>
      <c r="H21" s="690">
        <v>8685000</v>
      </c>
    </row>
    <row r="22" spans="1:8">
      <c r="A22" s="694" t="s">
        <v>925</v>
      </c>
      <c r="B22" s="695">
        <v>0</v>
      </c>
      <c r="C22" s="693">
        <v>9944964</v>
      </c>
      <c r="D22" s="688">
        <v>0</v>
      </c>
      <c r="E22" s="688">
        <v>0</v>
      </c>
      <c r="F22" s="688">
        <v>0</v>
      </c>
      <c r="G22" s="690">
        <f t="shared" si="0"/>
        <v>9944964</v>
      </c>
      <c r="H22" s="690">
        <v>7713311</v>
      </c>
    </row>
    <row r="23" spans="1:8">
      <c r="A23" s="694" t="s">
        <v>926</v>
      </c>
      <c r="B23" s="695">
        <v>1709603910</v>
      </c>
      <c r="C23" s="693">
        <v>139043384</v>
      </c>
      <c r="D23" s="688">
        <v>0</v>
      </c>
      <c r="E23" s="688">
        <v>0</v>
      </c>
      <c r="F23" s="688">
        <v>1391322654</v>
      </c>
      <c r="G23" s="690">
        <f t="shared" si="0"/>
        <v>3239969948</v>
      </c>
      <c r="H23" s="690">
        <v>2116685514</v>
      </c>
    </row>
    <row r="24" spans="1:8">
      <c r="A24" s="694" t="s">
        <v>927</v>
      </c>
      <c r="B24" s="695">
        <v>3090684</v>
      </c>
      <c r="C24" s="693">
        <v>112987</v>
      </c>
      <c r="D24" s="688">
        <v>17208828</v>
      </c>
      <c r="E24" s="688">
        <v>0</v>
      </c>
      <c r="F24" s="688">
        <v>4900871</v>
      </c>
      <c r="G24" s="690">
        <f t="shared" si="0"/>
        <v>25313370</v>
      </c>
      <c r="H24" s="690">
        <v>55513203</v>
      </c>
    </row>
    <row r="25" spans="1:8">
      <c r="A25" s="694" t="s">
        <v>928</v>
      </c>
      <c r="B25" s="695">
        <v>0</v>
      </c>
      <c r="C25" s="693">
        <v>0</v>
      </c>
      <c r="D25" s="688">
        <v>86875000</v>
      </c>
      <c r="E25" s="688">
        <v>0</v>
      </c>
      <c r="F25" s="688">
        <v>0</v>
      </c>
      <c r="G25" s="690">
        <f t="shared" si="0"/>
        <v>86875000</v>
      </c>
      <c r="H25" s="690">
        <v>83125000</v>
      </c>
    </row>
    <row r="26" spans="1:8">
      <c r="A26" s="694" t="s">
        <v>929</v>
      </c>
      <c r="B26" s="695">
        <v>0</v>
      </c>
      <c r="C26" s="693">
        <v>0</v>
      </c>
      <c r="D26" s="688">
        <v>585000000</v>
      </c>
      <c r="E26" s="688">
        <v>0</v>
      </c>
      <c r="F26" s="688">
        <v>0</v>
      </c>
      <c r="G26" s="690">
        <f t="shared" si="0"/>
        <v>585000000</v>
      </c>
      <c r="H26" s="690">
        <v>585000000</v>
      </c>
    </row>
    <row r="27" spans="1:8">
      <c r="A27" s="694" t="s">
        <v>930</v>
      </c>
      <c r="B27" s="695">
        <v>0</v>
      </c>
      <c r="C27" s="693">
        <v>0</v>
      </c>
      <c r="D27" s="688">
        <v>855478608</v>
      </c>
      <c r="E27" s="688">
        <v>0</v>
      </c>
      <c r="F27" s="688">
        <v>0</v>
      </c>
      <c r="G27" s="690">
        <f t="shared" si="0"/>
        <v>855478608</v>
      </c>
      <c r="H27" s="690">
        <v>862216612</v>
      </c>
    </row>
    <row r="28" spans="1:8">
      <c r="A28" s="694" t="s">
        <v>931</v>
      </c>
      <c r="B28" s="695">
        <v>0</v>
      </c>
      <c r="C28" s="693">
        <v>0</v>
      </c>
      <c r="D28" s="688">
        <v>869343</v>
      </c>
      <c r="E28" s="688">
        <v>0</v>
      </c>
      <c r="F28" s="688">
        <v>0</v>
      </c>
      <c r="G28" s="690">
        <f t="shared" si="0"/>
        <v>869343</v>
      </c>
      <c r="H28" s="690">
        <v>2711037</v>
      </c>
    </row>
    <row r="29" spans="1:8">
      <c r="A29" s="694" t="s">
        <v>932</v>
      </c>
      <c r="B29" s="695">
        <v>5298832</v>
      </c>
      <c r="C29" s="687">
        <v>6199380</v>
      </c>
      <c r="D29" s="687">
        <v>41486739</v>
      </c>
      <c r="E29" s="688">
        <v>0</v>
      </c>
      <c r="F29" s="687">
        <v>24911543</v>
      </c>
      <c r="G29" s="690">
        <f t="shared" si="0"/>
        <v>77896494</v>
      </c>
      <c r="H29" s="690">
        <v>80667750</v>
      </c>
    </row>
    <row r="30" spans="1:8">
      <c r="A30" s="694" t="s">
        <v>933</v>
      </c>
      <c r="B30" s="693">
        <v>0</v>
      </c>
      <c r="C30" s="687">
        <v>0</v>
      </c>
      <c r="D30" s="687">
        <v>614545</v>
      </c>
      <c r="E30" s="688">
        <v>0</v>
      </c>
      <c r="F30" s="693">
        <v>0</v>
      </c>
      <c r="G30" s="690">
        <f t="shared" si="0"/>
        <v>614545</v>
      </c>
      <c r="H30" s="690">
        <v>1908254</v>
      </c>
    </row>
    <row r="31" spans="1:8">
      <c r="A31" s="694" t="s">
        <v>934</v>
      </c>
      <c r="B31" s="693">
        <v>0</v>
      </c>
      <c r="C31" s="687">
        <v>0</v>
      </c>
      <c r="D31" s="687">
        <v>11581818</v>
      </c>
      <c r="E31" s="688">
        <v>0</v>
      </c>
      <c r="F31" s="693">
        <v>0</v>
      </c>
      <c r="G31" s="690">
        <f t="shared" si="0"/>
        <v>11581818</v>
      </c>
      <c r="H31" s="690">
        <v>16125455</v>
      </c>
    </row>
    <row r="32" spans="1:8">
      <c r="A32" s="694" t="s">
        <v>935</v>
      </c>
      <c r="B32" s="693">
        <v>0</v>
      </c>
      <c r="C32" s="687">
        <v>0</v>
      </c>
      <c r="D32" s="687">
        <v>0</v>
      </c>
      <c r="E32" s="688">
        <v>0</v>
      </c>
      <c r="F32" s="693">
        <v>0</v>
      </c>
      <c r="G32" s="690">
        <f t="shared" si="0"/>
        <v>0</v>
      </c>
      <c r="H32" s="690">
        <v>0</v>
      </c>
    </row>
    <row r="33" spans="1:8">
      <c r="A33" s="694" t="s">
        <v>936</v>
      </c>
      <c r="B33" s="693">
        <v>455236</v>
      </c>
      <c r="C33" s="687">
        <v>205007468</v>
      </c>
      <c r="D33" s="687">
        <v>4099098</v>
      </c>
      <c r="E33" s="688">
        <v>0</v>
      </c>
      <c r="F33" s="688">
        <v>0</v>
      </c>
      <c r="G33" s="690">
        <f t="shared" si="0"/>
        <v>209561802</v>
      </c>
      <c r="H33" s="690">
        <v>241155918</v>
      </c>
    </row>
    <row r="34" spans="1:8">
      <c r="A34" s="694" t="s">
        <v>937</v>
      </c>
      <c r="B34" s="693">
        <v>0</v>
      </c>
      <c r="C34" s="687">
        <v>0</v>
      </c>
      <c r="D34" s="687">
        <v>0</v>
      </c>
      <c r="E34" s="688">
        <v>0</v>
      </c>
      <c r="F34" s="696">
        <v>0</v>
      </c>
      <c r="G34" s="690">
        <f t="shared" si="0"/>
        <v>0</v>
      </c>
      <c r="H34" s="690">
        <v>1560182</v>
      </c>
    </row>
    <row r="35" spans="1:8">
      <c r="A35" s="694" t="s">
        <v>938</v>
      </c>
      <c r="B35" s="693">
        <v>3431819</v>
      </c>
      <c r="C35" s="687">
        <v>6689547</v>
      </c>
      <c r="D35" s="687">
        <v>183486179</v>
      </c>
      <c r="E35" s="688">
        <v>0</v>
      </c>
      <c r="F35" s="688">
        <v>18255865</v>
      </c>
      <c r="G35" s="690">
        <f t="shared" si="0"/>
        <v>211863410</v>
      </c>
      <c r="H35" s="690">
        <v>41572739</v>
      </c>
    </row>
    <row r="36" spans="1:8">
      <c r="A36" s="694" t="s">
        <v>939</v>
      </c>
      <c r="B36" s="693">
        <v>0</v>
      </c>
      <c r="C36" s="687">
        <v>0</v>
      </c>
      <c r="D36" s="687">
        <v>16310546</v>
      </c>
      <c r="E36" s="688">
        <v>0</v>
      </c>
      <c r="F36" s="693">
        <v>0</v>
      </c>
      <c r="G36" s="690">
        <f t="shared" si="0"/>
        <v>16310546</v>
      </c>
      <c r="H36" s="690">
        <v>23473927</v>
      </c>
    </row>
    <row r="37" spans="1:8">
      <c r="A37" s="694" t="s">
        <v>940</v>
      </c>
      <c r="B37" s="693">
        <v>0</v>
      </c>
      <c r="C37" s="688">
        <v>52261498</v>
      </c>
      <c r="D37" s="688">
        <v>4059996</v>
      </c>
      <c r="E37" s="688">
        <v>0</v>
      </c>
      <c r="F37" s="688">
        <v>0</v>
      </c>
      <c r="G37" s="690">
        <f t="shared" si="0"/>
        <v>56321494</v>
      </c>
      <c r="H37" s="690">
        <v>41017645</v>
      </c>
    </row>
    <row r="38" spans="1:8">
      <c r="A38" s="694" t="s">
        <v>941</v>
      </c>
      <c r="B38" s="693">
        <v>0</v>
      </c>
      <c r="C38" s="688">
        <v>0</v>
      </c>
      <c r="D38" s="688">
        <v>36141637</v>
      </c>
      <c r="E38" s="688">
        <v>0</v>
      </c>
      <c r="F38" s="688">
        <v>0</v>
      </c>
      <c r="G38" s="690">
        <f t="shared" si="0"/>
        <v>36141637</v>
      </c>
      <c r="H38" s="690">
        <v>2000000</v>
      </c>
    </row>
    <row r="39" spans="1:8">
      <c r="A39" s="694" t="s">
        <v>942</v>
      </c>
      <c r="B39" s="693">
        <v>0</v>
      </c>
      <c r="C39" s="688">
        <v>0</v>
      </c>
      <c r="D39" s="688">
        <v>2727272</v>
      </c>
      <c r="E39" s="688">
        <v>0</v>
      </c>
      <c r="F39" s="688">
        <v>2727272</v>
      </c>
      <c r="G39" s="690">
        <f t="shared" si="0"/>
        <v>5454544</v>
      </c>
      <c r="H39" s="690">
        <v>10454546</v>
      </c>
    </row>
    <row r="40" spans="1:8">
      <c r="A40" s="694" t="s">
        <v>943</v>
      </c>
      <c r="B40" s="693">
        <v>0</v>
      </c>
      <c r="C40" s="687">
        <v>0</v>
      </c>
      <c r="D40" s="688">
        <v>12619150</v>
      </c>
      <c r="E40" s="688">
        <v>0</v>
      </c>
      <c r="F40" s="688">
        <v>0</v>
      </c>
      <c r="G40" s="690">
        <f t="shared" si="0"/>
        <v>12619150</v>
      </c>
      <c r="H40" s="690">
        <v>12108676</v>
      </c>
    </row>
    <row r="41" spans="1:8">
      <c r="A41" s="694" t="s">
        <v>944</v>
      </c>
      <c r="B41" s="693">
        <v>0</v>
      </c>
      <c r="C41" s="687">
        <v>0</v>
      </c>
      <c r="D41" s="696">
        <v>560640558</v>
      </c>
      <c r="E41" s="688">
        <v>0</v>
      </c>
      <c r="F41" s="689">
        <v>205371758</v>
      </c>
      <c r="G41" s="690">
        <f t="shared" si="0"/>
        <v>766012316</v>
      </c>
      <c r="H41" s="690">
        <v>749802209</v>
      </c>
    </row>
    <row r="42" spans="1:8">
      <c r="A42" s="694" t="s">
        <v>945</v>
      </c>
      <c r="B42" s="693">
        <v>0</v>
      </c>
      <c r="C42" s="687">
        <v>335769817</v>
      </c>
      <c r="D42" s="696">
        <v>0</v>
      </c>
      <c r="E42" s="688">
        <v>0</v>
      </c>
      <c r="F42" s="689">
        <v>1156364</v>
      </c>
      <c r="G42" s="690">
        <f t="shared" si="0"/>
        <v>336926181</v>
      </c>
      <c r="H42" s="690">
        <v>30159091</v>
      </c>
    </row>
    <row r="43" spans="1:8">
      <c r="A43" s="694" t="s">
        <v>946</v>
      </c>
      <c r="B43" s="695">
        <v>750000</v>
      </c>
      <c r="C43" s="688">
        <v>12633858</v>
      </c>
      <c r="D43" s="693">
        <v>0</v>
      </c>
      <c r="E43" s="688">
        <v>0</v>
      </c>
      <c r="F43" s="688">
        <v>27297624</v>
      </c>
      <c r="G43" s="690">
        <f t="shared" si="0"/>
        <v>40681482</v>
      </c>
      <c r="H43" s="690">
        <v>38953005</v>
      </c>
    </row>
    <row r="44" spans="1:8">
      <c r="A44" s="694" t="s">
        <v>947</v>
      </c>
      <c r="B44" s="695">
        <v>560142</v>
      </c>
      <c r="C44" s="688">
        <v>23480</v>
      </c>
      <c r="D44" s="687">
        <v>666607</v>
      </c>
      <c r="E44" s="688">
        <v>0</v>
      </c>
      <c r="F44" s="688">
        <v>2221563</v>
      </c>
      <c r="G44" s="690">
        <f t="shared" si="0"/>
        <v>3471792</v>
      </c>
      <c r="H44" s="690">
        <v>3181599</v>
      </c>
    </row>
    <row r="45" spans="1:8">
      <c r="A45" s="694" t="s">
        <v>948</v>
      </c>
      <c r="B45" s="695">
        <v>1606961</v>
      </c>
      <c r="C45" s="688">
        <v>0</v>
      </c>
      <c r="D45" s="687">
        <v>137557</v>
      </c>
      <c r="E45" s="688">
        <v>0</v>
      </c>
      <c r="F45" s="688">
        <v>1772109</v>
      </c>
      <c r="G45" s="690">
        <f t="shared" si="0"/>
        <v>3516627</v>
      </c>
      <c r="H45" s="690">
        <v>8305876</v>
      </c>
    </row>
    <row r="46" spans="1:8">
      <c r="A46" s="694" t="s">
        <v>949</v>
      </c>
      <c r="B46" s="695">
        <v>62986343</v>
      </c>
      <c r="C46" s="688">
        <v>0</v>
      </c>
      <c r="D46" s="693">
        <v>1448718</v>
      </c>
      <c r="E46" s="688">
        <v>0</v>
      </c>
      <c r="F46" s="688">
        <v>0</v>
      </c>
      <c r="G46" s="690">
        <f t="shared" si="0"/>
        <v>64435061</v>
      </c>
      <c r="H46" s="690">
        <v>7165020</v>
      </c>
    </row>
    <row r="47" spans="1:8">
      <c r="A47" s="694" t="s">
        <v>950</v>
      </c>
      <c r="B47" s="695">
        <v>0</v>
      </c>
      <c r="C47" s="688"/>
      <c r="D47" s="695">
        <v>753000</v>
      </c>
      <c r="E47" s="688">
        <v>0</v>
      </c>
      <c r="F47" s="688">
        <v>0</v>
      </c>
      <c r="G47" s="690">
        <f t="shared" si="0"/>
        <v>753000</v>
      </c>
      <c r="H47" s="690">
        <v>24761605</v>
      </c>
    </row>
    <row r="48" spans="1:8">
      <c r="A48" s="694" t="s">
        <v>951</v>
      </c>
      <c r="B48" s="695">
        <v>0</v>
      </c>
      <c r="C48" s="688">
        <v>0</v>
      </c>
      <c r="D48" s="695">
        <v>0</v>
      </c>
      <c r="E48" s="688">
        <v>0</v>
      </c>
      <c r="F48" s="688">
        <v>0</v>
      </c>
      <c r="G48" s="690">
        <f t="shared" si="0"/>
        <v>0</v>
      </c>
      <c r="H48" s="690">
        <v>1865034</v>
      </c>
    </row>
    <row r="49" spans="1:8">
      <c r="A49" s="694" t="s">
        <v>952</v>
      </c>
      <c r="B49" s="695">
        <v>68809518</v>
      </c>
      <c r="C49" s="688">
        <v>2067406</v>
      </c>
      <c r="D49" s="695">
        <v>844479</v>
      </c>
      <c r="E49" s="688">
        <v>0</v>
      </c>
      <c r="F49" s="688">
        <v>687835</v>
      </c>
      <c r="G49" s="690">
        <f t="shared" si="0"/>
        <v>72409238</v>
      </c>
      <c r="H49" s="690">
        <v>84485891</v>
      </c>
    </row>
    <row r="50" spans="1:8">
      <c r="A50" s="694" t="s">
        <v>953</v>
      </c>
      <c r="B50" s="695">
        <v>0</v>
      </c>
      <c r="C50" s="688">
        <v>0</v>
      </c>
      <c r="D50" s="693">
        <v>115090910</v>
      </c>
      <c r="E50" s="688">
        <v>0</v>
      </c>
      <c r="F50" s="688">
        <v>0</v>
      </c>
      <c r="G50" s="690">
        <f t="shared" si="0"/>
        <v>115090910</v>
      </c>
      <c r="H50" s="690">
        <v>90272727</v>
      </c>
    </row>
    <row r="51" spans="1:8">
      <c r="A51" s="694" t="s">
        <v>954</v>
      </c>
      <c r="B51" s="695">
        <v>0</v>
      </c>
      <c r="C51" s="688">
        <v>31300001</v>
      </c>
      <c r="D51" s="693">
        <v>0</v>
      </c>
      <c r="E51" s="688">
        <v>0</v>
      </c>
      <c r="F51" s="688">
        <v>0</v>
      </c>
      <c r="G51" s="690">
        <f t="shared" si="0"/>
        <v>31300001</v>
      </c>
      <c r="H51" s="690">
        <v>29681818</v>
      </c>
    </row>
    <row r="52" spans="1:8">
      <c r="A52" s="694" t="s">
        <v>955</v>
      </c>
      <c r="B52" s="695">
        <v>0</v>
      </c>
      <c r="C52" s="688">
        <v>28150001</v>
      </c>
      <c r="D52" s="696">
        <v>0</v>
      </c>
      <c r="E52" s="688">
        <v>0</v>
      </c>
      <c r="F52" s="696">
        <v>0</v>
      </c>
      <c r="G52" s="690">
        <f t="shared" si="0"/>
        <v>28150001</v>
      </c>
      <c r="H52" s="690">
        <v>27686362</v>
      </c>
    </row>
    <row r="53" spans="1:8">
      <c r="A53" s="694" t="s">
        <v>956</v>
      </c>
      <c r="B53" s="695">
        <v>0</v>
      </c>
      <c r="C53" s="688">
        <v>0</v>
      </c>
      <c r="D53" s="696">
        <v>53076365</v>
      </c>
      <c r="E53" s="688">
        <v>0</v>
      </c>
      <c r="F53" s="688">
        <v>0</v>
      </c>
      <c r="G53" s="690">
        <f t="shared" si="0"/>
        <v>53076365</v>
      </c>
      <c r="H53" s="690">
        <v>74269166</v>
      </c>
    </row>
    <row r="54" spans="1:8">
      <c r="A54" s="694" t="s">
        <v>957</v>
      </c>
      <c r="B54" s="695">
        <v>2001816</v>
      </c>
      <c r="C54" s="688">
        <v>0</v>
      </c>
      <c r="D54" s="696">
        <v>0</v>
      </c>
      <c r="E54" s="688">
        <v>0</v>
      </c>
      <c r="F54" s="688">
        <v>0</v>
      </c>
      <c r="G54" s="690">
        <f t="shared" si="0"/>
        <v>2001816</v>
      </c>
      <c r="H54" s="690">
        <v>2001816</v>
      </c>
    </row>
    <row r="55" spans="1:8">
      <c r="A55" s="694" t="s">
        <v>958</v>
      </c>
      <c r="B55" s="695">
        <v>106164135</v>
      </c>
      <c r="C55" s="688">
        <v>0</v>
      </c>
      <c r="D55" s="695">
        <v>0</v>
      </c>
      <c r="E55" s="688">
        <v>0</v>
      </c>
      <c r="F55" s="688">
        <v>0</v>
      </c>
      <c r="G55" s="690">
        <f t="shared" si="0"/>
        <v>106164135</v>
      </c>
      <c r="H55" s="690">
        <v>151121521</v>
      </c>
    </row>
    <row r="56" spans="1:8">
      <c r="A56" s="694" t="s">
        <v>959</v>
      </c>
      <c r="B56" s="695">
        <v>0</v>
      </c>
      <c r="C56" s="688">
        <v>0</v>
      </c>
      <c r="D56" s="688">
        <v>0</v>
      </c>
      <c r="E56" s="688">
        <v>0</v>
      </c>
      <c r="F56" s="688">
        <v>0</v>
      </c>
      <c r="G56" s="690">
        <f t="shared" si="0"/>
        <v>0</v>
      </c>
      <c r="H56" s="690">
        <v>9676342</v>
      </c>
    </row>
    <row r="57" spans="1:8">
      <c r="A57" s="694" t="s">
        <v>960</v>
      </c>
      <c r="B57" s="695">
        <v>0</v>
      </c>
      <c r="C57" s="688">
        <v>0</v>
      </c>
      <c r="D57" s="688">
        <v>41956137</v>
      </c>
      <c r="E57" s="688">
        <v>0</v>
      </c>
      <c r="F57" s="688">
        <v>0</v>
      </c>
      <c r="G57" s="690">
        <f t="shared" si="0"/>
        <v>41956137</v>
      </c>
      <c r="H57" s="690">
        <v>42842805</v>
      </c>
    </row>
    <row r="58" spans="1:8">
      <c r="A58" s="694" t="s">
        <v>961</v>
      </c>
      <c r="B58" s="695">
        <v>0</v>
      </c>
      <c r="C58" s="688">
        <v>0</v>
      </c>
      <c r="D58" s="695">
        <v>0</v>
      </c>
      <c r="E58" s="688">
        <v>0</v>
      </c>
      <c r="F58" s="688">
        <v>0</v>
      </c>
      <c r="G58" s="690">
        <f t="shared" si="0"/>
        <v>0</v>
      </c>
      <c r="H58" s="690">
        <v>0</v>
      </c>
    </row>
    <row r="59" spans="1:8">
      <c r="A59" s="694" t="s">
        <v>962</v>
      </c>
      <c r="B59" s="695">
        <v>0</v>
      </c>
      <c r="C59" s="688">
        <v>0</v>
      </c>
      <c r="D59" s="695">
        <v>12000000</v>
      </c>
      <c r="E59" s="688">
        <v>0</v>
      </c>
      <c r="F59" s="688">
        <v>0</v>
      </c>
      <c r="G59" s="690">
        <f t="shared" si="0"/>
        <v>12000000</v>
      </c>
      <c r="H59" s="690">
        <v>12000000</v>
      </c>
    </row>
    <row r="60" spans="1:8">
      <c r="A60" s="694" t="s">
        <v>963</v>
      </c>
      <c r="B60" s="695">
        <v>0</v>
      </c>
      <c r="C60" s="688">
        <v>0</v>
      </c>
      <c r="D60" s="695">
        <v>7365204</v>
      </c>
      <c r="E60" s="688">
        <v>0</v>
      </c>
      <c r="F60" s="688">
        <v>0</v>
      </c>
      <c r="G60" s="690">
        <f t="shared" si="0"/>
        <v>7365204</v>
      </c>
      <c r="H60" s="690">
        <v>7365204</v>
      </c>
    </row>
    <row r="61" spans="1:8">
      <c r="A61" s="694" t="s">
        <v>964</v>
      </c>
      <c r="B61" s="695">
        <v>0</v>
      </c>
      <c r="C61" s="688">
        <v>0</v>
      </c>
      <c r="D61" s="695">
        <v>26806722</v>
      </c>
      <c r="E61" s="688">
        <v>0</v>
      </c>
      <c r="F61" s="688">
        <v>0</v>
      </c>
      <c r="G61" s="690">
        <f t="shared" si="0"/>
        <v>26806722</v>
      </c>
      <c r="H61" s="690">
        <v>21623818</v>
      </c>
    </row>
    <row r="62" spans="1:8">
      <c r="A62" s="694" t="s">
        <v>965</v>
      </c>
      <c r="B62" s="695">
        <v>0</v>
      </c>
      <c r="C62" s="688">
        <v>0</v>
      </c>
      <c r="D62" s="695">
        <v>1332000</v>
      </c>
      <c r="E62" s="688">
        <v>0</v>
      </c>
      <c r="F62" s="688">
        <v>0</v>
      </c>
      <c r="G62" s="690">
        <f t="shared" si="0"/>
        <v>1332000</v>
      </c>
      <c r="H62" s="690">
        <v>0</v>
      </c>
    </row>
    <row r="63" spans="1:8">
      <c r="A63" s="694" t="s">
        <v>966</v>
      </c>
      <c r="B63" s="695">
        <v>0</v>
      </c>
      <c r="C63" s="688">
        <v>0</v>
      </c>
      <c r="D63" s="695">
        <v>1831600</v>
      </c>
      <c r="E63" s="688">
        <v>0</v>
      </c>
      <c r="F63" s="688">
        <v>0</v>
      </c>
      <c r="G63" s="690">
        <f t="shared" si="0"/>
        <v>1831600</v>
      </c>
      <c r="H63" s="690">
        <v>4443432</v>
      </c>
    </row>
    <row r="64" spans="1:8">
      <c r="A64" s="694" t="s">
        <v>967</v>
      </c>
      <c r="B64" s="695">
        <v>0</v>
      </c>
      <c r="C64" s="688">
        <v>0</v>
      </c>
      <c r="D64" s="695">
        <v>0</v>
      </c>
      <c r="E64" s="688">
        <v>424382141</v>
      </c>
      <c r="F64" s="688">
        <v>0</v>
      </c>
      <c r="G64" s="690">
        <f t="shared" si="0"/>
        <v>424382141</v>
      </c>
      <c r="H64" s="690">
        <v>8260000</v>
      </c>
    </row>
    <row r="65" spans="1:11">
      <c r="A65" s="694" t="s">
        <v>968</v>
      </c>
      <c r="B65" s="695">
        <v>0</v>
      </c>
      <c r="C65" s="688">
        <v>0</v>
      </c>
      <c r="D65" s="695">
        <v>56669303</v>
      </c>
      <c r="E65" s="688">
        <v>0</v>
      </c>
      <c r="F65" s="688">
        <v>0</v>
      </c>
      <c r="G65" s="690">
        <f t="shared" si="0"/>
        <v>56669303</v>
      </c>
      <c r="H65" s="690">
        <v>0</v>
      </c>
    </row>
    <row r="66" spans="1:11">
      <c r="A66" s="694" t="s">
        <v>969</v>
      </c>
      <c r="B66" s="695">
        <v>0</v>
      </c>
      <c r="C66" s="688">
        <v>0</v>
      </c>
      <c r="D66" s="695">
        <v>0</v>
      </c>
      <c r="E66" s="688">
        <v>25361459</v>
      </c>
      <c r="F66" s="688">
        <v>0</v>
      </c>
      <c r="G66" s="690">
        <f t="shared" si="0"/>
        <v>25361459</v>
      </c>
      <c r="H66" s="690">
        <v>35427047</v>
      </c>
    </row>
    <row r="67" spans="1:11">
      <c r="A67" s="694" t="s">
        <v>970</v>
      </c>
      <c r="B67" s="695">
        <v>0</v>
      </c>
      <c r="C67" s="688">
        <v>0</v>
      </c>
      <c r="D67" s="695">
        <v>0</v>
      </c>
      <c r="E67" s="688">
        <v>0</v>
      </c>
      <c r="F67" s="688">
        <v>0</v>
      </c>
      <c r="G67" s="690">
        <f t="shared" si="0"/>
        <v>0</v>
      </c>
      <c r="H67" s="690">
        <v>768728948</v>
      </c>
    </row>
    <row r="68" spans="1:11">
      <c r="A68" s="694" t="s">
        <v>971</v>
      </c>
      <c r="B68" s="695">
        <v>0</v>
      </c>
      <c r="C68" s="688">
        <v>0</v>
      </c>
      <c r="D68" s="695">
        <v>0</v>
      </c>
      <c r="E68" s="688">
        <v>178260277</v>
      </c>
      <c r="F68" s="688">
        <v>0</v>
      </c>
      <c r="G68" s="690">
        <f t="shared" si="0"/>
        <v>178260277</v>
      </c>
      <c r="H68" s="690">
        <v>395100891</v>
      </c>
    </row>
    <row r="69" spans="1:11">
      <c r="A69" s="694" t="s">
        <v>972</v>
      </c>
      <c r="B69" s="695">
        <v>0</v>
      </c>
      <c r="C69" s="688">
        <v>0</v>
      </c>
      <c r="D69" s="695">
        <v>22037400</v>
      </c>
      <c r="E69" s="688">
        <v>0</v>
      </c>
      <c r="F69" s="688">
        <v>0</v>
      </c>
      <c r="G69" s="690">
        <f t="shared" si="0"/>
        <v>22037400</v>
      </c>
      <c r="H69" s="690">
        <v>67156500</v>
      </c>
    </row>
    <row r="70" spans="1:11">
      <c r="A70" s="694" t="s">
        <v>973</v>
      </c>
      <c r="B70" s="695">
        <v>78000000</v>
      </c>
      <c r="C70" s="688">
        <v>119774990</v>
      </c>
      <c r="D70" s="695">
        <v>0</v>
      </c>
      <c r="E70" s="688">
        <v>0</v>
      </c>
      <c r="F70" s="688">
        <v>0</v>
      </c>
      <c r="G70" s="690">
        <f t="shared" si="0"/>
        <v>197774990</v>
      </c>
      <c r="H70" s="690">
        <v>263904762</v>
      </c>
    </row>
    <row r="71" spans="1:11">
      <c r="A71" s="694" t="s">
        <v>974</v>
      </c>
      <c r="B71" s="695">
        <v>0</v>
      </c>
      <c r="C71" s="688">
        <v>0</v>
      </c>
      <c r="D71" s="695">
        <v>0</v>
      </c>
      <c r="E71" s="688">
        <v>286180803</v>
      </c>
      <c r="F71" s="688">
        <v>0</v>
      </c>
      <c r="G71" s="690">
        <f t="shared" si="0"/>
        <v>286180803</v>
      </c>
      <c r="H71" s="690">
        <v>320234727</v>
      </c>
    </row>
    <row r="72" spans="1:11">
      <c r="A72" s="685" t="s">
        <v>975</v>
      </c>
      <c r="B72" s="695">
        <v>0</v>
      </c>
      <c r="C72" s="688">
        <v>0</v>
      </c>
      <c r="D72" s="695">
        <v>0</v>
      </c>
      <c r="E72" s="688">
        <v>0</v>
      </c>
      <c r="F72" s="696">
        <v>0</v>
      </c>
      <c r="G72" s="690">
        <f>SUM(B72:F72)</f>
        <v>0</v>
      </c>
      <c r="H72" s="690">
        <v>0</v>
      </c>
    </row>
    <row r="73" spans="1:11">
      <c r="A73" s="697" t="s">
        <v>976</v>
      </c>
      <c r="B73" s="695">
        <v>0</v>
      </c>
      <c r="C73" s="688">
        <v>15288759</v>
      </c>
      <c r="D73" s="695">
        <v>0</v>
      </c>
      <c r="E73" s="688">
        <v>0</v>
      </c>
      <c r="F73" s="696">
        <v>0</v>
      </c>
      <c r="G73" s="690">
        <f>SUM(B73:F73)</f>
        <v>15288759</v>
      </c>
      <c r="H73" s="690">
        <v>2798685</v>
      </c>
    </row>
    <row r="74" spans="1:11" s="701" customFormat="1" ht="19.5" customHeight="1" thickBot="1">
      <c r="A74" s="698" t="s">
        <v>977</v>
      </c>
      <c r="B74" s="699">
        <f t="shared" ref="B74:F74" si="1">SUM(B7:B73)</f>
        <v>5070411142</v>
      </c>
      <c r="C74" s="699">
        <f t="shared" si="1"/>
        <v>7032901402</v>
      </c>
      <c r="D74" s="700">
        <f t="shared" si="1"/>
        <v>7565852814</v>
      </c>
      <c r="E74" s="699">
        <f t="shared" si="1"/>
        <v>914184680</v>
      </c>
      <c r="F74" s="699">
        <f t="shared" si="1"/>
        <v>2909516194</v>
      </c>
      <c r="G74" s="700">
        <f>SUM(G7:G73)</f>
        <v>23492866232</v>
      </c>
      <c r="H74" s="700">
        <f>SUM(H7:H73)</f>
        <v>22640266224</v>
      </c>
      <c r="J74" s="702"/>
      <c r="K74" s="703"/>
    </row>
    <row r="75" spans="1:11" s="701" customFormat="1" ht="19.5" customHeight="1" thickTop="1" thickBot="1">
      <c r="A75" s="704" t="s">
        <v>978</v>
      </c>
      <c r="B75" s="699">
        <v>3850550131</v>
      </c>
      <c r="C75" s="699">
        <v>6547114718</v>
      </c>
      <c r="D75" s="700">
        <v>7508896151</v>
      </c>
      <c r="E75" s="699">
        <v>1527751613</v>
      </c>
      <c r="F75" s="699">
        <v>3205953611</v>
      </c>
      <c r="G75" s="705">
        <f>SUM(B75:F75)</f>
        <v>22640266224</v>
      </c>
      <c r="J75" s="691"/>
      <c r="K75" s="703"/>
    </row>
    <row r="76" spans="1:11" ht="13.5" thickTop="1">
      <c r="K76" s="703"/>
    </row>
    <row r="77" spans="1:11" s="491" customFormat="1">
      <c r="C77" s="596"/>
      <c r="J77" s="597"/>
      <c r="K77" s="703"/>
    </row>
    <row r="78" spans="1:11" s="491" customFormat="1" ht="26.25" customHeight="1">
      <c r="C78" s="596"/>
      <c r="J78" s="597"/>
      <c r="K78" s="684"/>
    </row>
    <row r="79" spans="1:11" s="491" customFormat="1" ht="21" customHeight="1">
      <c r="C79" s="596"/>
      <c r="J79" s="597"/>
      <c r="K79" s="679"/>
    </row>
    <row r="80" spans="1:11" s="491" customFormat="1">
      <c r="G80" s="706"/>
      <c r="J80" s="683"/>
      <c r="K80" s="679"/>
    </row>
    <row r="81" spans="1:11" s="827" customFormat="1" ht="15">
      <c r="A81" s="907" t="s">
        <v>979</v>
      </c>
      <c r="B81" s="907"/>
      <c r="C81" s="515"/>
      <c r="E81" s="907" t="s">
        <v>721</v>
      </c>
      <c r="F81" s="907"/>
      <c r="G81" s="907"/>
      <c r="J81" s="829"/>
      <c r="K81" s="830"/>
    </row>
    <row r="82" spans="1:11" s="491" customFormat="1">
      <c r="A82" s="707" t="s">
        <v>980</v>
      </c>
      <c r="B82" s="530"/>
      <c r="C82" s="531"/>
      <c r="E82" s="920" t="s">
        <v>747</v>
      </c>
      <c r="F82" s="920"/>
      <c r="G82" s="920"/>
      <c r="J82" s="597"/>
      <c r="K82" s="679"/>
    </row>
    <row r="83" spans="1:11" s="491" customFormat="1" ht="19.5" customHeight="1">
      <c r="J83" s="597"/>
      <c r="K83" s="679"/>
    </row>
    <row r="84" spans="1:11" s="491" customFormat="1" ht="31.5" customHeight="1">
      <c r="J84" s="597"/>
      <c r="K84" s="679"/>
    </row>
    <row r="85" spans="1:11" s="491" customFormat="1">
      <c r="J85" s="597"/>
      <c r="K85" s="679"/>
    </row>
    <row r="86" spans="1:11" s="491" customFormat="1">
      <c r="J86" s="597"/>
      <c r="K86" s="679"/>
    </row>
    <row r="87" spans="1:11" s="827" customFormat="1" ht="15">
      <c r="A87" s="907" t="str">
        <f>'[1]Anexo G'!A65</f>
        <v>Dr. Raul Fernando Vargas</v>
      </c>
      <c r="B87" s="907"/>
      <c r="C87" s="515"/>
      <c r="E87" s="908" t="s">
        <v>1016</v>
      </c>
      <c r="F87" s="908"/>
      <c r="G87" s="908"/>
      <c r="J87" s="829"/>
      <c r="K87" s="830"/>
    </row>
    <row r="88" spans="1:11" s="491" customFormat="1">
      <c r="A88" s="530" t="s">
        <v>981</v>
      </c>
      <c r="B88" s="530"/>
      <c r="C88" s="531"/>
      <c r="E88" s="920" t="s">
        <v>612</v>
      </c>
      <c r="F88" s="920"/>
      <c r="G88" s="920"/>
      <c r="J88" s="597"/>
      <c r="K88" s="679"/>
    </row>
    <row r="89" spans="1:11" s="491" customFormat="1">
      <c r="J89" s="597"/>
      <c r="K89" s="679"/>
    </row>
    <row r="90" spans="1:11" s="491" customFormat="1">
      <c r="J90" s="597"/>
      <c r="K90" s="679"/>
    </row>
    <row r="91" spans="1:11" s="491" customFormat="1">
      <c r="J91" s="597"/>
      <c r="K91" s="679"/>
    </row>
    <row r="92" spans="1:11" s="491" customFormat="1">
      <c r="J92" s="597"/>
      <c r="K92" s="679"/>
    </row>
    <row r="93" spans="1:11" s="491" customFormat="1">
      <c r="J93" s="597"/>
      <c r="K93" s="679"/>
    </row>
    <row r="94" spans="1:11" s="491" customFormat="1">
      <c r="J94" s="597"/>
      <c r="K94" s="679"/>
    </row>
    <row r="95" spans="1:11" s="491" customFormat="1">
      <c r="J95" s="597"/>
      <c r="K95" s="679"/>
    </row>
    <row r="96" spans="1:11" s="491" customFormat="1">
      <c r="J96" s="597"/>
      <c r="K96" s="679"/>
    </row>
    <row r="97" spans="10:11" s="491" customFormat="1">
      <c r="J97" s="597"/>
      <c r="K97" s="679"/>
    </row>
    <row r="98" spans="10:11" s="491" customFormat="1">
      <c r="J98" s="597"/>
      <c r="K98" s="679"/>
    </row>
    <row r="99" spans="10:11" s="491" customFormat="1">
      <c r="J99" s="597"/>
      <c r="K99" s="679"/>
    </row>
    <row r="100" spans="10:11" s="491" customFormat="1">
      <c r="J100" s="597"/>
      <c r="K100" s="679"/>
    </row>
    <row r="101" spans="10:11" s="491" customFormat="1">
      <c r="J101" s="597"/>
      <c r="K101" s="679"/>
    </row>
    <row r="102" spans="10:11" s="491" customFormat="1">
      <c r="J102" s="597"/>
      <c r="K102" s="679"/>
    </row>
    <row r="103" spans="10:11" s="491" customFormat="1">
      <c r="J103" s="597"/>
      <c r="K103" s="679"/>
    </row>
    <row r="104" spans="10:11" s="491" customFormat="1">
      <c r="J104" s="597"/>
      <c r="K104" s="679"/>
    </row>
    <row r="105" spans="10:11" s="491" customFormat="1">
      <c r="J105" s="597"/>
      <c r="K105" s="679"/>
    </row>
    <row r="106" spans="10:11" s="491" customFormat="1">
      <c r="J106" s="597"/>
      <c r="K106" s="679"/>
    </row>
    <row r="107" spans="10:11" s="491" customFormat="1">
      <c r="J107" s="597"/>
      <c r="K107" s="679"/>
    </row>
    <row r="108" spans="10:11" s="491" customFormat="1">
      <c r="J108" s="597"/>
      <c r="K108" s="679"/>
    </row>
    <row r="109" spans="10:11" s="491" customFormat="1">
      <c r="J109" s="597"/>
      <c r="K109" s="679"/>
    </row>
    <row r="110" spans="10:11" s="491" customFormat="1">
      <c r="J110" s="597"/>
      <c r="K110" s="679"/>
    </row>
    <row r="111" spans="10:11" s="491" customFormat="1">
      <c r="J111" s="597"/>
      <c r="K111" s="679"/>
    </row>
    <row r="112" spans="10:11" s="491" customFormat="1">
      <c r="J112" s="597"/>
      <c r="K112" s="679"/>
    </row>
    <row r="113" spans="10:11" s="491" customFormat="1">
      <c r="J113" s="597"/>
      <c r="K113" s="679"/>
    </row>
    <row r="114" spans="10:11" s="491" customFormat="1">
      <c r="J114" s="597"/>
      <c r="K114" s="679"/>
    </row>
    <row r="115" spans="10:11" s="491" customFormat="1">
      <c r="J115" s="597"/>
      <c r="K115" s="679"/>
    </row>
    <row r="116" spans="10:11" s="491" customFormat="1">
      <c r="J116" s="597"/>
      <c r="K116" s="679"/>
    </row>
    <row r="117" spans="10:11" s="491" customFormat="1">
      <c r="J117" s="597"/>
      <c r="K117" s="679"/>
    </row>
    <row r="118" spans="10:11" s="491" customFormat="1">
      <c r="J118" s="597"/>
      <c r="K118" s="679"/>
    </row>
    <row r="119" spans="10:11" s="491" customFormat="1">
      <c r="J119" s="597"/>
      <c r="K119" s="679"/>
    </row>
    <row r="120" spans="10:11" s="491" customFormat="1">
      <c r="J120" s="597"/>
      <c r="K120" s="679"/>
    </row>
    <row r="121" spans="10:11" s="491" customFormat="1">
      <c r="J121" s="597"/>
      <c r="K121" s="679"/>
    </row>
    <row r="122" spans="10:11" s="491" customFormat="1">
      <c r="J122" s="597"/>
      <c r="K122" s="679"/>
    </row>
    <row r="123" spans="10:11" s="491" customFormat="1">
      <c r="J123" s="597"/>
      <c r="K123" s="679"/>
    </row>
    <row r="124" spans="10:11" s="491" customFormat="1">
      <c r="J124" s="597"/>
      <c r="K124" s="679"/>
    </row>
    <row r="125" spans="10:11" s="491" customFormat="1">
      <c r="J125" s="597"/>
      <c r="K125" s="679"/>
    </row>
    <row r="126" spans="10:11" s="491" customFormat="1">
      <c r="J126" s="597"/>
      <c r="K126" s="679"/>
    </row>
    <row r="127" spans="10:11" s="491" customFormat="1">
      <c r="J127" s="597"/>
      <c r="K127" s="679"/>
    </row>
    <row r="128" spans="10:11" s="491" customFormat="1">
      <c r="J128" s="597"/>
      <c r="K128" s="679"/>
    </row>
  </sheetData>
  <mergeCells count="10">
    <mergeCell ref="A2:G2"/>
    <mergeCell ref="A3:G3"/>
    <mergeCell ref="A4:G4"/>
    <mergeCell ref="A5:G5"/>
    <mergeCell ref="A81:B81"/>
    <mergeCell ref="A87:B87"/>
    <mergeCell ref="E87:G87"/>
    <mergeCell ref="E88:G88"/>
    <mergeCell ref="E81:G81"/>
    <mergeCell ref="E82:G82"/>
  </mergeCells>
  <printOptions horizontalCentered="1"/>
  <pageMargins left="0.78740157480314965" right="0.39370078740157483" top="1.1811023622047245" bottom="1.1811023622047245" header="0.11811023622047245" footer="0.11811023622047245"/>
  <pageSetup paperSize="5" scale="65" fitToHeight="0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C22" sqref="C22"/>
    </sheetView>
  </sheetViews>
  <sheetFormatPr baseColWidth="10" defaultRowHeight="12.75"/>
  <cols>
    <col min="1" max="1" width="5.28515625" style="708" customWidth="1"/>
    <col min="2" max="2" width="42.42578125" style="709" customWidth="1"/>
    <col min="3" max="4" width="20.7109375" style="709" customWidth="1"/>
    <col min="5" max="6" width="11.42578125" style="708"/>
    <col min="7" max="8" width="13.85546875" style="708" bestFit="1" customWidth="1"/>
    <col min="9" max="11" width="11.42578125" style="708"/>
    <col min="12" max="12" width="13.140625" style="708" bestFit="1" customWidth="1"/>
    <col min="13" max="13" width="13.7109375" style="708" bestFit="1" customWidth="1"/>
    <col min="14" max="14" width="16.5703125" style="708" bestFit="1" customWidth="1"/>
    <col min="15" max="15" width="12.5703125" style="708" customWidth="1"/>
    <col min="16" max="256" width="11.42578125" style="708"/>
    <col min="257" max="257" width="5.28515625" style="708" customWidth="1"/>
    <col min="258" max="258" width="42.42578125" style="708" customWidth="1"/>
    <col min="259" max="260" width="20.7109375" style="708" customWidth="1"/>
    <col min="261" max="262" width="11.42578125" style="708"/>
    <col min="263" max="264" width="13.85546875" style="708" bestFit="1" customWidth="1"/>
    <col min="265" max="267" width="11.42578125" style="708"/>
    <col min="268" max="268" width="13.140625" style="708" bestFit="1" customWidth="1"/>
    <col min="269" max="269" width="13.7109375" style="708" bestFit="1" customWidth="1"/>
    <col min="270" max="270" width="16.5703125" style="708" bestFit="1" customWidth="1"/>
    <col min="271" max="271" width="12.5703125" style="708" customWidth="1"/>
    <col min="272" max="512" width="11.42578125" style="708"/>
    <col min="513" max="513" width="5.28515625" style="708" customWidth="1"/>
    <col min="514" max="514" width="42.42578125" style="708" customWidth="1"/>
    <col min="515" max="516" width="20.7109375" style="708" customWidth="1"/>
    <col min="517" max="518" width="11.42578125" style="708"/>
    <col min="519" max="520" width="13.85546875" style="708" bestFit="1" customWidth="1"/>
    <col min="521" max="523" width="11.42578125" style="708"/>
    <col min="524" max="524" width="13.140625" style="708" bestFit="1" customWidth="1"/>
    <col min="525" max="525" width="13.7109375" style="708" bestFit="1" customWidth="1"/>
    <col min="526" max="526" width="16.5703125" style="708" bestFit="1" customWidth="1"/>
    <col min="527" max="527" width="12.5703125" style="708" customWidth="1"/>
    <col min="528" max="768" width="11.42578125" style="708"/>
    <col min="769" max="769" width="5.28515625" style="708" customWidth="1"/>
    <col min="770" max="770" width="42.42578125" style="708" customWidth="1"/>
    <col min="771" max="772" width="20.7109375" style="708" customWidth="1"/>
    <col min="773" max="774" width="11.42578125" style="708"/>
    <col min="775" max="776" width="13.85546875" style="708" bestFit="1" customWidth="1"/>
    <col min="777" max="779" width="11.42578125" style="708"/>
    <col min="780" max="780" width="13.140625" style="708" bestFit="1" customWidth="1"/>
    <col min="781" max="781" width="13.7109375" style="708" bestFit="1" customWidth="1"/>
    <col min="782" max="782" width="16.5703125" style="708" bestFit="1" customWidth="1"/>
    <col min="783" max="783" width="12.5703125" style="708" customWidth="1"/>
    <col min="784" max="1024" width="11.42578125" style="708"/>
    <col min="1025" max="1025" width="5.28515625" style="708" customWidth="1"/>
    <col min="1026" max="1026" width="42.42578125" style="708" customWidth="1"/>
    <col min="1027" max="1028" width="20.7109375" style="708" customWidth="1"/>
    <col min="1029" max="1030" width="11.42578125" style="708"/>
    <col min="1031" max="1032" width="13.85546875" style="708" bestFit="1" customWidth="1"/>
    <col min="1033" max="1035" width="11.42578125" style="708"/>
    <col min="1036" max="1036" width="13.140625" style="708" bestFit="1" customWidth="1"/>
    <col min="1037" max="1037" width="13.7109375" style="708" bestFit="1" customWidth="1"/>
    <col min="1038" max="1038" width="16.5703125" style="708" bestFit="1" customWidth="1"/>
    <col min="1039" max="1039" width="12.5703125" style="708" customWidth="1"/>
    <col min="1040" max="1280" width="11.42578125" style="708"/>
    <col min="1281" max="1281" width="5.28515625" style="708" customWidth="1"/>
    <col min="1282" max="1282" width="42.42578125" style="708" customWidth="1"/>
    <col min="1283" max="1284" width="20.7109375" style="708" customWidth="1"/>
    <col min="1285" max="1286" width="11.42578125" style="708"/>
    <col min="1287" max="1288" width="13.85546875" style="708" bestFit="1" customWidth="1"/>
    <col min="1289" max="1291" width="11.42578125" style="708"/>
    <col min="1292" max="1292" width="13.140625" style="708" bestFit="1" customWidth="1"/>
    <col min="1293" max="1293" width="13.7109375" style="708" bestFit="1" customWidth="1"/>
    <col min="1294" max="1294" width="16.5703125" style="708" bestFit="1" customWidth="1"/>
    <col min="1295" max="1295" width="12.5703125" style="708" customWidth="1"/>
    <col min="1296" max="1536" width="11.42578125" style="708"/>
    <col min="1537" max="1537" width="5.28515625" style="708" customWidth="1"/>
    <col min="1538" max="1538" width="42.42578125" style="708" customWidth="1"/>
    <col min="1539" max="1540" width="20.7109375" style="708" customWidth="1"/>
    <col min="1541" max="1542" width="11.42578125" style="708"/>
    <col min="1543" max="1544" width="13.85546875" style="708" bestFit="1" customWidth="1"/>
    <col min="1545" max="1547" width="11.42578125" style="708"/>
    <col min="1548" max="1548" width="13.140625" style="708" bestFit="1" customWidth="1"/>
    <col min="1549" max="1549" width="13.7109375" style="708" bestFit="1" customWidth="1"/>
    <col min="1550" max="1550" width="16.5703125" style="708" bestFit="1" customWidth="1"/>
    <col min="1551" max="1551" width="12.5703125" style="708" customWidth="1"/>
    <col min="1552" max="1792" width="11.42578125" style="708"/>
    <col min="1793" max="1793" width="5.28515625" style="708" customWidth="1"/>
    <col min="1794" max="1794" width="42.42578125" style="708" customWidth="1"/>
    <col min="1795" max="1796" width="20.7109375" style="708" customWidth="1"/>
    <col min="1797" max="1798" width="11.42578125" style="708"/>
    <col min="1799" max="1800" width="13.85546875" style="708" bestFit="1" customWidth="1"/>
    <col min="1801" max="1803" width="11.42578125" style="708"/>
    <col min="1804" max="1804" width="13.140625" style="708" bestFit="1" customWidth="1"/>
    <col min="1805" max="1805" width="13.7109375" style="708" bestFit="1" customWidth="1"/>
    <col min="1806" max="1806" width="16.5703125" style="708" bestFit="1" customWidth="1"/>
    <col min="1807" max="1807" width="12.5703125" style="708" customWidth="1"/>
    <col min="1808" max="2048" width="11.42578125" style="708"/>
    <col min="2049" max="2049" width="5.28515625" style="708" customWidth="1"/>
    <col min="2050" max="2050" width="42.42578125" style="708" customWidth="1"/>
    <col min="2051" max="2052" width="20.7109375" style="708" customWidth="1"/>
    <col min="2053" max="2054" width="11.42578125" style="708"/>
    <col min="2055" max="2056" width="13.85546875" style="708" bestFit="1" customWidth="1"/>
    <col min="2057" max="2059" width="11.42578125" style="708"/>
    <col min="2060" max="2060" width="13.140625" style="708" bestFit="1" customWidth="1"/>
    <col min="2061" max="2061" width="13.7109375" style="708" bestFit="1" customWidth="1"/>
    <col min="2062" max="2062" width="16.5703125" style="708" bestFit="1" customWidth="1"/>
    <col min="2063" max="2063" width="12.5703125" style="708" customWidth="1"/>
    <col min="2064" max="2304" width="11.42578125" style="708"/>
    <col min="2305" max="2305" width="5.28515625" style="708" customWidth="1"/>
    <col min="2306" max="2306" width="42.42578125" style="708" customWidth="1"/>
    <col min="2307" max="2308" width="20.7109375" style="708" customWidth="1"/>
    <col min="2309" max="2310" width="11.42578125" style="708"/>
    <col min="2311" max="2312" width="13.85546875" style="708" bestFit="1" customWidth="1"/>
    <col min="2313" max="2315" width="11.42578125" style="708"/>
    <col min="2316" max="2316" width="13.140625" style="708" bestFit="1" customWidth="1"/>
    <col min="2317" max="2317" width="13.7109375" style="708" bestFit="1" customWidth="1"/>
    <col min="2318" max="2318" width="16.5703125" style="708" bestFit="1" customWidth="1"/>
    <col min="2319" max="2319" width="12.5703125" style="708" customWidth="1"/>
    <col min="2320" max="2560" width="11.42578125" style="708"/>
    <col min="2561" max="2561" width="5.28515625" style="708" customWidth="1"/>
    <col min="2562" max="2562" width="42.42578125" style="708" customWidth="1"/>
    <col min="2563" max="2564" width="20.7109375" style="708" customWidth="1"/>
    <col min="2565" max="2566" width="11.42578125" style="708"/>
    <col min="2567" max="2568" width="13.85546875" style="708" bestFit="1" customWidth="1"/>
    <col min="2569" max="2571" width="11.42578125" style="708"/>
    <col min="2572" max="2572" width="13.140625" style="708" bestFit="1" customWidth="1"/>
    <col min="2573" max="2573" width="13.7109375" style="708" bestFit="1" customWidth="1"/>
    <col min="2574" max="2574" width="16.5703125" style="708" bestFit="1" customWidth="1"/>
    <col min="2575" max="2575" width="12.5703125" style="708" customWidth="1"/>
    <col min="2576" max="2816" width="11.42578125" style="708"/>
    <col min="2817" max="2817" width="5.28515625" style="708" customWidth="1"/>
    <col min="2818" max="2818" width="42.42578125" style="708" customWidth="1"/>
    <col min="2819" max="2820" width="20.7109375" style="708" customWidth="1"/>
    <col min="2821" max="2822" width="11.42578125" style="708"/>
    <col min="2823" max="2824" width="13.85546875" style="708" bestFit="1" customWidth="1"/>
    <col min="2825" max="2827" width="11.42578125" style="708"/>
    <col min="2828" max="2828" width="13.140625" style="708" bestFit="1" customWidth="1"/>
    <col min="2829" max="2829" width="13.7109375" style="708" bestFit="1" customWidth="1"/>
    <col min="2830" max="2830" width="16.5703125" style="708" bestFit="1" customWidth="1"/>
    <col min="2831" max="2831" width="12.5703125" style="708" customWidth="1"/>
    <col min="2832" max="3072" width="11.42578125" style="708"/>
    <col min="3073" max="3073" width="5.28515625" style="708" customWidth="1"/>
    <col min="3074" max="3074" width="42.42578125" style="708" customWidth="1"/>
    <col min="3075" max="3076" width="20.7109375" style="708" customWidth="1"/>
    <col min="3077" max="3078" width="11.42578125" style="708"/>
    <col min="3079" max="3080" width="13.85546875" style="708" bestFit="1" customWidth="1"/>
    <col min="3081" max="3083" width="11.42578125" style="708"/>
    <col min="3084" max="3084" width="13.140625" style="708" bestFit="1" customWidth="1"/>
    <col min="3085" max="3085" width="13.7109375" style="708" bestFit="1" customWidth="1"/>
    <col min="3086" max="3086" width="16.5703125" style="708" bestFit="1" customWidth="1"/>
    <col min="3087" max="3087" width="12.5703125" style="708" customWidth="1"/>
    <col min="3088" max="3328" width="11.42578125" style="708"/>
    <col min="3329" max="3329" width="5.28515625" style="708" customWidth="1"/>
    <col min="3330" max="3330" width="42.42578125" style="708" customWidth="1"/>
    <col min="3331" max="3332" width="20.7109375" style="708" customWidth="1"/>
    <col min="3333" max="3334" width="11.42578125" style="708"/>
    <col min="3335" max="3336" width="13.85546875" style="708" bestFit="1" customWidth="1"/>
    <col min="3337" max="3339" width="11.42578125" style="708"/>
    <col min="3340" max="3340" width="13.140625" style="708" bestFit="1" customWidth="1"/>
    <col min="3341" max="3341" width="13.7109375" style="708" bestFit="1" customWidth="1"/>
    <col min="3342" max="3342" width="16.5703125" style="708" bestFit="1" customWidth="1"/>
    <col min="3343" max="3343" width="12.5703125" style="708" customWidth="1"/>
    <col min="3344" max="3584" width="11.42578125" style="708"/>
    <col min="3585" max="3585" width="5.28515625" style="708" customWidth="1"/>
    <col min="3586" max="3586" width="42.42578125" style="708" customWidth="1"/>
    <col min="3587" max="3588" width="20.7109375" style="708" customWidth="1"/>
    <col min="3589" max="3590" width="11.42578125" style="708"/>
    <col min="3591" max="3592" width="13.85546875" style="708" bestFit="1" customWidth="1"/>
    <col min="3593" max="3595" width="11.42578125" style="708"/>
    <col min="3596" max="3596" width="13.140625" style="708" bestFit="1" customWidth="1"/>
    <col min="3597" max="3597" width="13.7109375" style="708" bestFit="1" customWidth="1"/>
    <col min="3598" max="3598" width="16.5703125" style="708" bestFit="1" customWidth="1"/>
    <col min="3599" max="3599" width="12.5703125" style="708" customWidth="1"/>
    <col min="3600" max="3840" width="11.42578125" style="708"/>
    <col min="3841" max="3841" width="5.28515625" style="708" customWidth="1"/>
    <col min="3842" max="3842" width="42.42578125" style="708" customWidth="1"/>
    <col min="3843" max="3844" width="20.7109375" style="708" customWidth="1"/>
    <col min="3845" max="3846" width="11.42578125" style="708"/>
    <col min="3847" max="3848" width="13.85546875" style="708" bestFit="1" customWidth="1"/>
    <col min="3849" max="3851" width="11.42578125" style="708"/>
    <col min="3852" max="3852" width="13.140625" style="708" bestFit="1" customWidth="1"/>
    <col min="3853" max="3853" width="13.7109375" style="708" bestFit="1" customWidth="1"/>
    <col min="3854" max="3854" width="16.5703125" style="708" bestFit="1" customWidth="1"/>
    <col min="3855" max="3855" width="12.5703125" style="708" customWidth="1"/>
    <col min="3856" max="4096" width="11.42578125" style="708"/>
    <col min="4097" max="4097" width="5.28515625" style="708" customWidth="1"/>
    <col min="4098" max="4098" width="42.42578125" style="708" customWidth="1"/>
    <col min="4099" max="4100" width="20.7109375" style="708" customWidth="1"/>
    <col min="4101" max="4102" width="11.42578125" style="708"/>
    <col min="4103" max="4104" width="13.85546875" style="708" bestFit="1" customWidth="1"/>
    <col min="4105" max="4107" width="11.42578125" style="708"/>
    <col min="4108" max="4108" width="13.140625" style="708" bestFit="1" customWidth="1"/>
    <col min="4109" max="4109" width="13.7109375" style="708" bestFit="1" customWidth="1"/>
    <col min="4110" max="4110" width="16.5703125" style="708" bestFit="1" customWidth="1"/>
    <col min="4111" max="4111" width="12.5703125" style="708" customWidth="1"/>
    <col min="4112" max="4352" width="11.42578125" style="708"/>
    <col min="4353" max="4353" width="5.28515625" style="708" customWidth="1"/>
    <col min="4354" max="4354" width="42.42578125" style="708" customWidth="1"/>
    <col min="4355" max="4356" width="20.7109375" style="708" customWidth="1"/>
    <col min="4357" max="4358" width="11.42578125" style="708"/>
    <col min="4359" max="4360" width="13.85546875" style="708" bestFit="1" customWidth="1"/>
    <col min="4361" max="4363" width="11.42578125" style="708"/>
    <col min="4364" max="4364" width="13.140625" style="708" bestFit="1" customWidth="1"/>
    <col min="4365" max="4365" width="13.7109375" style="708" bestFit="1" customWidth="1"/>
    <col min="4366" max="4366" width="16.5703125" style="708" bestFit="1" customWidth="1"/>
    <col min="4367" max="4367" width="12.5703125" style="708" customWidth="1"/>
    <col min="4368" max="4608" width="11.42578125" style="708"/>
    <col min="4609" max="4609" width="5.28515625" style="708" customWidth="1"/>
    <col min="4610" max="4610" width="42.42578125" style="708" customWidth="1"/>
    <col min="4611" max="4612" width="20.7109375" style="708" customWidth="1"/>
    <col min="4613" max="4614" width="11.42578125" style="708"/>
    <col min="4615" max="4616" width="13.85546875" style="708" bestFit="1" customWidth="1"/>
    <col min="4617" max="4619" width="11.42578125" style="708"/>
    <col min="4620" max="4620" width="13.140625" style="708" bestFit="1" customWidth="1"/>
    <col min="4621" max="4621" width="13.7109375" style="708" bestFit="1" customWidth="1"/>
    <col min="4622" max="4622" width="16.5703125" style="708" bestFit="1" customWidth="1"/>
    <col min="4623" max="4623" width="12.5703125" style="708" customWidth="1"/>
    <col min="4624" max="4864" width="11.42578125" style="708"/>
    <col min="4865" max="4865" width="5.28515625" style="708" customWidth="1"/>
    <col min="4866" max="4866" width="42.42578125" style="708" customWidth="1"/>
    <col min="4867" max="4868" width="20.7109375" style="708" customWidth="1"/>
    <col min="4869" max="4870" width="11.42578125" style="708"/>
    <col min="4871" max="4872" width="13.85546875" style="708" bestFit="1" customWidth="1"/>
    <col min="4873" max="4875" width="11.42578125" style="708"/>
    <col min="4876" max="4876" width="13.140625" style="708" bestFit="1" customWidth="1"/>
    <col min="4877" max="4877" width="13.7109375" style="708" bestFit="1" customWidth="1"/>
    <col min="4878" max="4878" width="16.5703125" style="708" bestFit="1" customWidth="1"/>
    <col min="4879" max="4879" width="12.5703125" style="708" customWidth="1"/>
    <col min="4880" max="5120" width="11.42578125" style="708"/>
    <col min="5121" max="5121" width="5.28515625" style="708" customWidth="1"/>
    <col min="5122" max="5122" width="42.42578125" style="708" customWidth="1"/>
    <col min="5123" max="5124" width="20.7109375" style="708" customWidth="1"/>
    <col min="5125" max="5126" width="11.42578125" style="708"/>
    <col min="5127" max="5128" width="13.85546875" style="708" bestFit="1" customWidth="1"/>
    <col min="5129" max="5131" width="11.42578125" style="708"/>
    <col min="5132" max="5132" width="13.140625" style="708" bestFit="1" customWidth="1"/>
    <col min="5133" max="5133" width="13.7109375" style="708" bestFit="1" customWidth="1"/>
    <col min="5134" max="5134" width="16.5703125" style="708" bestFit="1" customWidth="1"/>
    <col min="5135" max="5135" width="12.5703125" style="708" customWidth="1"/>
    <col min="5136" max="5376" width="11.42578125" style="708"/>
    <col min="5377" max="5377" width="5.28515625" style="708" customWidth="1"/>
    <col min="5378" max="5378" width="42.42578125" style="708" customWidth="1"/>
    <col min="5379" max="5380" width="20.7109375" style="708" customWidth="1"/>
    <col min="5381" max="5382" width="11.42578125" style="708"/>
    <col min="5383" max="5384" width="13.85546875" style="708" bestFit="1" customWidth="1"/>
    <col min="5385" max="5387" width="11.42578125" style="708"/>
    <col min="5388" max="5388" width="13.140625" style="708" bestFit="1" customWidth="1"/>
    <col min="5389" max="5389" width="13.7109375" style="708" bestFit="1" customWidth="1"/>
    <col min="5390" max="5390" width="16.5703125" style="708" bestFit="1" customWidth="1"/>
    <col min="5391" max="5391" width="12.5703125" style="708" customWidth="1"/>
    <col min="5392" max="5632" width="11.42578125" style="708"/>
    <col min="5633" max="5633" width="5.28515625" style="708" customWidth="1"/>
    <col min="5634" max="5634" width="42.42578125" style="708" customWidth="1"/>
    <col min="5635" max="5636" width="20.7109375" style="708" customWidth="1"/>
    <col min="5637" max="5638" width="11.42578125" style="708"/>
    <col min="5639" max="5640" width="13.85546875" style="708" bestFit="1" customWidth="1"/>
    <col min="5641" max="5643" width="11.42578125" style="708"/>
    <col min="5644" max="5644" width="13.140625" style="708" bestFit="1" customWidth="1"/>
    <col min="5645" max="5645" width="13.7109375" style="708" bestFit="1" customWidth="1"/>
    <col min="5646" max="5646" width="16.5703125" style="708" bestFit="1" customWidth="1"/>
    <col min="5647" max="5647" width="12.5703125" style="708" customWidth="1"/>
    <col min="5648" max="5888" width="11.42578125" style="708"/>
    <col min="5889" max="5889" width="5.28515625" style="708" customWidth="1"/>
    <col min="5890" max="5890" width="42.42578125" style="708" customWidth="1"/>
    <col min="5891" max="5892" width="20.7109375" style="708" customWidth="1"/>
    <col min="5893" max="5894" width="11.42578125" style="708"/>
    <col min="5895" max="5896" width="13.85546875" style="708" bestFit="1" customWidth="1"/>
    <col min="5897" max="5899" width="11.42578125" style="708"/>
    <col min="5900" max="5900" width="13.140625" style="708" bestFit="1" customWidth="1"/>
    <col min="5901" max="5901" width="13.7109375" style="708" bestFit="1" customWidth="1"/>
    <col min="5902" max="5902" width="16.5703125" style="708" bestFit="1" customWidth="1"/>
    <col min="5903" max="5903" width="12.5703125" style="708" customWidth="1"/>
    <col min="5904" max="6144" width="11.42578125" style="708"/>
    <col min="6145" max="6145" width="5.28515625" style="708" customWidth="1"/>
    <col min="6146" max="6146" width="42.42578125" style="708" customWidth="1"/>
    <col min="6147" max="6148" width="20.7109375" style="708" customWidth="1"/>
    <col min="6149" max="6150" width="11.42578125" style="708"/>
    <col min="6151" max="6152" width="13.85546875" style="708" bestFit="1" customWidth="1"/>
    <col min="6153" max="6155" width="11.42578125" style="708"/>
    <col min="6156" max="6156" width="13.140625" style="708" bestFit="1" customWidth="1"/>
    <col min="6157" max="6157" width="13.7109375" style="708" bestFit="1" customWidth="1"/>
    <col min="6158" max="6158" width="16.5703125" style="708" bestFit="1" customWidth="1"/>
    <col min="6159" max="6159" width="12.5703125" style="708" customWidth="1"/>
    <col min="6160" max="6400" width="11.42578125" style="708"/>
    <col min="6401" max="6401" width="5.28515625" style="708" customWidth="1"/>
    <col min="6402" max="6402" width="42.42578125" style="708" customWidth="1"/>
    <col min="6403" max="6404" width="20.7109375" style="708" customWidth="1"/>
    <col min="6405" max="6406" width="11.42578125" style="708"/>
    <col min="6407" max="6408" width="13.85546875" style="708" bestFit="1" customWidth="1"/>
    <col min="6409" max="6411" width="11.42578125" style="708"/>
    <col min="6412" max="6412" width="13.140625" style="708" bestFit="1" customWidth="1"/>
    <col min="6413" max="6413" width="13.7109375" style="708" bestFit="1" customWidth="1"/>
    <col min="6414" max="6414" width="16.5703125" style="708" bestFit="1" customWidth="1"/>
    <col min="6415" max="6415" width="12.5703125" style="708" customWidth="1"/>
    <col min="6416" max="6656" width="11.42578125" style="708"/>
    <col min="6657" max="6657" width="5.28515625" style="708" customWidth="1"/>
    <col min="6658" max="6658" width="42.42578125" style="708" customWidth="1"/>
    <col min="6659" max="6660" width="20.7109375" style="708" customWidth="1"/>
    <col min="6661" max="6662" width="11.42578125" style="708"/>
    <col min="6663" max="6664" width="13.85546875" style="708" bestFit="1" customWidth="1"/>
    <col min="6665" max="6667" width="11.42578125" style="708"/>
    <col min="6668" max="6668" width="13.140625" style="708" bestFit="1" customWidth="1"/>
    <col min="6669" max="6669" width="13.7109375" style="708" bestFit="1" customWidth="1"/>
    <col min="6670" max="6670" width="16.5703125" style="708" bestFit="1" customWidth="1"/>
    <col min="6671" max="6671" width="12.5703125" style="708" customWidth="1"/>
    <col min="6672" max="6912" width="11.42578125" style="708"/>
    <col min="6913" max="6913" width="5.28515625" style="708" customWidth="1"/>
    <col min="6914" max="6914" width="42.42578125" style="708" customWidth="1"/>
    <col min="6915" max="6916" width="20.7109375" style="708" customWidth="1"/>
    <col min="6917" max="6918" width="11.42578125" style="708"/>
    <col min="6919" max="6920" width="13.85546875" style="708" bestFit="1" customWidth="1"/>
    <col min="6921" max="6923" width="11.42578125" style="708"/>
    <col min="6924" max="6924" width="13.140625" style="708" bestFit="1" customWidth="1"/>
    <col min="6925" max="6925" width="13.7109375" style="708" bestFit="1" customWidth="1"/>
    <col min="6926" max="6926" width="16.5703125" style="708" bestFit="1" customWidth="1"/>
    <col min="6927" max="6927" width="12.5703125" style="708" customWidth="1"/>
    <col min="6928" max="7168" width="11.42578125" style="708"/>
    <col min="7169" max="7169" width="5.28515625" style="708" customWidth="1"/>
    <col min="7170" max="7170" width="42.42578125" style="708" customWidth="1"/>
    <col min="7171" max="7172" width="20.7109375" style="708" customWidth="1"/>
    <col min="7173" max="7174" width="11.42578125" style="708"/>
    <col min="7175" max="7176" width="13.85546875" style="708" bestFit="1" customWidth="1"/>
    <col min="7177" max="7179" width="11.42578125" style="708"/>
    <col min="7180" max="7180" width="13.140625" style="708" bestFit="1" customWidth="1"/>
    <col min="7181" max="7181" width="13.7109375" style="708" bestFit="1" customWidth="1"/>
    <col min="7182" max="7182" width="16.5703125" style="708" bestFit="1" customWidth="1"/>
    <col min="7183" max="7183" width="12.5703125" style="708" customWidth="1"/>
    <col min="7184" max="7424" width="11.42578125" style="708"/>
    <col min="7425" max="7425" width="5.28515625" style="708" customWidth="1"/>
    <col min="7426" max="7426" width="42.42578125" style="708" customWidth="1"/>
    <col min="7427" max="7428" width="20.7109375" style="708" customWidth="1"/>
    <col min="7429" max="7430" width="11.42578125" style="708"/>
    <col min="7431" max="7432" width="13.85546875" style="708" bestFit="1" customWidth="1"/>
    <col min="7433" max="7435" width="11.42578125" style="708"/>
    <col min="7436" max="7436" width="13.140625" style="708" bestFit="1" customWidth="1"/>
    <col min="7437" max="7437" width="13.7109375" style="708" bestFit="1" customWidth="1"/>
    <col min="7438" max="7438" width="16.5703125" style="708" bestFit="1" customWidth="1"/>
    <col min="7439" max="7439" width="12.5703125" style="708" customWidth="1"/>
    <col min="7440" max="7680" width="11.42578125" style="708"/>
    <col min="7681" max="7681" width="5.28515625" style="708" customWidth="1"/>
    <col min="7682" max="7682" width="42.42578125" style="708" customWidth="1"/>
    <col min="7683" max="7684" width="20.7109375" style="708" customWidth="1"/>
    <col min="7685" max="7686" width="11.42578125" style="708"/>
    <col min="7687" max="7688" width="13.85546875" style="708" bestFit="1" customWidth="1"/>
    <col min="7689" max="7691" width="11.42578125" style="708"/>
    <col min="7692" max="7692" width="13.140625" style="708" bestFit="1" customWidth="1"/>
    <col min="7693" max="7693" width="13.7109375" style="708" bestFit="1" customWidth="1"/>
    <col min="7694" max="7694" width="16.5703125" style="708" bestFit="1" customWidth="1"/>
    <col min="7695" max="7695" width="12.5703125" style="708" customWidth="1"/>
    <col min="7696" max="7936" width="11.42578125" style="708"/>
    <col min="7937" max="7937" width="5.28515625" style="708" customWidth="1"/>
    <col min="7938" max="7938" width="42.42578125" style="708" customWidth="1"/>
    <col min="7939" max="7940" width="20.7109375" style="708" customWidth="1"/>
    <col min="7941" max="7942" width="11.42578125" style="708"/>
    <col min="7943" max="7944" width="13.85546875" style="708" bestFit="1" customWidth="1"/>
    <col min="7945" max="7947" width="11.42578125" style="708"/>
    <col min="7948" max="7948" width="13.140625" style="708" bestFit="1" customWidth="1"/>
    <col min="7949" max="7949" width="13.7109375" style="708" bestFit="1" customWidth="1"/>
    <col min="7950" max="7950" width="16.5703125" style="708" bestFit="1" customWidth="1"/>
    <col min="7951" max="7951" width="12.5703125" style="708" customWidth="1"/>
    <col min="7952" max="8192" width="11.42578125" style="708"/>
    <col min="8193" max="8193" width="5.28515625" style="708" customWidth="1"/>
    <col min="8194" max="8194" width="42.42578125" style="708" customWidth="1"/>
    <col min="8195" max="8196" width="20.7109375" style="708" customWidth="1"/>
    <col min="8197" max="8198" width="11.42578125" style="708"/>
    <col min="8199" max="8200" width="13.85546875" style="708" bestFit="1" customWidth="1"/>
    <col min="8201" max="8203" width="11.42578125" style="708"/>
    <col min="8204" max="8204" width="13.140625" style="708" bestFit="1" customWidth="1"/>
    <col min="8205" max="8205" width="13.7109375" style="708" bestFit="1" customWidth="1"/>
    <col min="8206" max="8206" width="16.5703125" style="708" bestFit="1" customWidth="1"/>
    <col min="8207" max="8207" width="12.5703125" style="708" customWidth="1"/>
    <col min="8208" max="8448" width="11.42578125" style="708"/>
    <col min="8449" max="8449" width="5.28515625" style="708" customWidth="1"/>
    <col min="8450" max="8450" width="42.42578125" style="708" customWidth="1"/>
    <col min="8451" max="8452" width="20.7109375" style="708" customWidth="1"/>
    <col min="8453" max="8454" width="11.42578125" style="708"/>
    <col min="8455" max="8456" width="13.85546875" style="708" bestFit="1" customWidth="1"/>
    <col min="8457" max="8459" width="11.42578125" style="708"/>
    <col min="8460" max="8460" width="13.140625" style="708" bestFit="1" customWidth="1"/>
    <col min="8461" max="8461" width="13.7109375" style="708" bestFit="1" customWidth="1"/>
    <col min="8462" max="8462" width="16.5703125" style="708" bestFit="1" customWidth="1"/>
    <col min="8463" max="8463" width="12.5703125" style="708" customWidth="1"/>
    <col min="8464" max="8704" width="11.42578125" style="708"/>
    <col min="8705" max="8705" width="5.28515625" style="708" customWidth="1"/>
    <col min="8706" max="8706" width="42.42578125" style="708" customWidth="1"/>
    <col min="8707" max="8708" width="20.7109375" style="708" customWidth="1"/>
    <col min="8709" max="8710" width="11.42578125" style="708"/>
    <col min="8711" max="8712" width="13.85546875" style="708" bestFit="1" customWidth="1"/>
    <col min="8713" max="8715" width="11.42578125" style="708"/>
    <col min="8716" max="8716" width="13.140625" style="708" bestFit="1" customWidth="1"/>
    <col min="8717" max="8717" width="13.7109375" style="708" bestFit="1" customWidth="1"/>
    <col min="8718" max="8718" width="16.5703125" style="708" bestFit="1" customWidth="1"/>
    <col min="8719" max="8719" width="12.5703125" style="708" customWidth="1"/>
    <col min="8720" max="8960" width="11.42578125" style="708"/>
    <col min="8961" max="8961" width="5.28515625" style="708" customWidth="1"/>
    <col min="8962" max="8962" width="42.42578125" style="708" customWidth="1"/>
    <col min="8963" max="8964" width="20.7109375" style="708" customWidth="1"/>
    <col min="8965" max="8966" width="11.42578125" style="708"/>
    <col min="8967" max="8968" width="13.85546875" style="708" bestFit="1" customWidth="1"/>
    <col min="8969" max="8971" width="11.42578125" style="708"/>
    <col min="8972" max="8972" width="13.140625" style="708" bestFit="1" customWidth="1"/>
    <col min="8973" max="8973" width="13.7109375" style="708" bestFit="1" customWidth="1"/>
    <col min="8974" max="8974" width="16.5703125" style="708" bestFit="1" customWidth="1"/>
    <col min="8975" max="8975" width="12.5703125" style="708" customWidth="1"/>
    <col min="8976" max="9216" width="11.42578125" style="708"/>
    <col min="9217" max="9217" width="5.28515625" style="708" customWidth="1"/>
    <col min="9218" max="9218" width="42.42578125" style="708" customWidth="1"/>
    <col min="9219" max="9220" width="20.7109375" style="708" customWidth="1"/>
    <col min="9221" max="9222" width="11.42578125" style="708"/>
    <col min="9223" max="9224" width="13.85546875" style="708" bestFit="1" customWidth="1"/>
    <col min="9225" max="9227" width="11.42578125" style="708"/>
    <col min="9228" max="9228" width="13.140625" style="708" bestFit="1" customWidth="1"/>
    <col min="9229" max="9229" width="13.7109375" style="708" bestFit="1" customWidth="1"/>
    <col min="9230" max="9230" width="16.5703125" style="708" bestFit="1" customWidth="1"/>
    <col min="9231" max="9231" width="12.5703125" style="708" customWidth="1"/>
    <col min="9232" max="9472" width="11.42578125" style="708"/>
    <col min="9473" max="9473" width="5.28515625" style="708" customWidth="1"/>
    <col min="9474" max="9474" width="42.42578125" style="708" customWidth="1"/>
    <col min="9475" max="9476" width="20.7109375" style="708" customWidth="1"/>
    <col min="9477" max="9478" width="11.42578125" style="708"/>
    <col min="9479" max="9480" width="13.85546875" style="708" bestFit="1" customWidth="1"/>
    <col min="9481" max="9483" width="11.42578125" style="708"/>
    <col min="9484" max="9484" width="13.140625" style="708" bestFit="1" customWidth="1"/>
    <col min="9485" max="9485" width="13.7109375" style="708" bestFit="1" customWidth="1"/>
    <col min="9486" max="9486" width="16.5703125" style="708" bestFit="1" customWidth="1"/>
    <col min="9487" max="9487" width="12.5703125" style="708" customWidth="1"/>
    <col min="9488" max="9728" width="11.42578125" style="708"/>
    <col min="9729" max="9729" width="5.28515625" style="708" customWidth="1"/>
    <col min="9730" max="9730" width="42.42578125" style="708" customWidth="1"/>
    <col min="9731" max="9732" width="20.7109375" style="708" customWidth="1"/>
    <col min="9733" max="9734" width="11.42578125" style="708"/>
    <col min="9735" max="9736" width="13.85546875" style="708" bestFit="1" customWidth="1"/>
    <col min="9737" max="9739" width="11.42578125" style="708"/>
    <col min="9740" max="9740" width="13.140625" style="708" bestFit="1" customWidth="1"/>
    <col min="9741" max="9741" width="13.7109375" style="708" bestFit="1" customWidth="1"/>
    <col min="9742" max="9742" width="16.5703125" style="708" bestFit="1" customWidth="1"/>
    <col min="9743" max="9743" width="12.5703125" style="708" customWidth="1"/>
    <col min="9744" max="9984" width="11.42578125" style="708"/>
    <col min="9985" max="9985" width="5.28515625" style="708" customWidth="1"/>
    <col min="9986" max="9986" width="42.42578125" style="708" customWidth="1"/>
    <col min="9987" max="9988" width="20.7109375" style="708" customWidth="1"/>
    <col min="9989" max="9990" width="11.42578125" style="708"/>
    <col min="9991" max="9992" width="13.85546875" style="708" bestFit="1" customWidth="1"/>
    <col min="9993" max="9995" width="11.42578125" style="708"/>
    <col min="9996" max="9996" width="13.140625" style="708" bestFit="1" customWidth="1"/>
    <col min="9997" max="9997" width="13.7109375" style="708" bestFit="1" customWidth="1"/>
    <col min="9998" max="9998" width="16.5703125" style="708" bestFit="1" customWidth="1"/>
    <col min="9999" max="9999" width="12.5703125" style="708" customWidth="1"/>
    <col min="10000" max="10240" width="11.42578125" style="708"/>
    <col min="10241" max="10241" width="5.28515625" style="708" customWidth="1"/>
    <col min="10242" max="10242" width="42.42578125" style="708" customWidth="1"/>
    <col min="10243" max="10244" width="20.7109375" style="708" customWidth="1"/>
    <col min="10245" max="10246" width="11.42578125" style="708"/>
    <col min="10247" max="10248" width="13.85546875" style="708" bestFit="1" customWidth="1"/>
    <col min="10249" max="10251" width="11.42578125" style="708"/>
    <col min="10252" max="10252" width="13.140625" style="708" bestFit="1" customWidth="1"/>
    <col min="10253" max="10253" width="13.7109375" style="708" bestFit="1" customWidth="1"/>
    <col min="10254" max="10254" width="16.5703125" style="708" bestFit="1" customWidth="1"/>
    <col min="10255" max="10255" width="12.5703125" style="708" customWidth="1"/>
    <col min="10256" max="10496" width="11.42578125" style="708"/>
    <col min="10497" max="10497" width="5.28515625" style="708" customWidth="1"/>
    <col min="10498" max="10498" width="42.42578125" style="708" customWidth="1"/>
    <col min="10499" max="10500" width="20.7109375" style="708" customWidth="1"/>
    <col min="10501" max="10502" width="11.42578125" style="708"/>
    <col min="10503" max="10504" width="13.85546875" style="708" bestFit="1" customWidth="1"/>
    <col min="10505" max="10507" width="11.42578125" style="708"/>
    <col min="10508" max="10508" width="13.140625" style="708" bestFit="1" customWidth="1"/>
    <col min="10509" max="10509" width="13.7109375" style="708" bestFit="1" customWidth="1"/>
    <col min="10510" max="10510" width="16.5703125" style="708" bestFit="1" customWidth="1"/>
    <col min="10511" max="10511" width="12.5703125" style="708" customWidth="1"/>
    <col min="10512" max="10752" width="11.42578125" style="708"/>
    <col min="10753" max="10753" width="5.28515625" style="708" customWidth="1"/>
    <col min="10754" max="10754" width="42.42578125" style="708" customWidth="1"/>
    <col min="10755" max="10756" width="20.7109375" style="708" customWidth="1"/>
    <col min="10757" max="10758" width="11.42578125" style="708"/>
    <col min="10759" max="10760" width="13.85546875" style="708" bestFit="1" customWidth="1"/>
    <col min="10761" max="10763" width="11.42578125" style="708"/>
    <col min="10764" max="10764" width="13.140625" style="708" bestFit="1" customWidth="1"/>
    <col min="10765" max="10765" width="13.7109375" style="708" bestFit="1" customWidth="1"/>
    <col min="10766" max="10766" width="16.5703125" style="708" bestFit="1" customWidth="1"/>
    <col min="10767" max="10767" width="12.5703125" style="708" customWidth="1"/>
    <col min="10768" max="11008" width="11.42578125" style="708"/>
    <col min="11009" max="11009" width="5.28515625" style="708" customWidth="1"/>
    <col min="11010" max="11010" width="42.42578125" style="708" customWidth="1"/>
    <col min="11011" max="11012" width="20.7109375" style="708" customWidth="1"/>
    <col min="11013" max="11014" width="11.42578125" style="708"/>
    <col min="11015" max="11016" width="13.85546875" style="708" bestFit="1" customWidth="1"/>
    <col min="11017" max="11019" width="11.42578125" style="708"/>
    <col min="11020" max="11020" width="13.140625" style="708" bestFit="1" customWidth="1"/>
    <col min="11021" max="11021" width="13.7109375" style="708" bestFit="1" customWidth="1"/>
    <col min="11022" max="11022" width="16.5703125" style="708" bestFit="1" customWidth="1"/>
    <col min="11023" max="11023" width="12.5703125" style="708" customWidth="1"/>
    <col min="11024" max="11264" width="11.42578125" style="708"/>
    <col min="11265" max="11265" width="5.28515625" style="708" customWidth="1"/>
    <col min="11266" max="11266" width="42.42578125" style="708" customWidth="1"/>
    <col min="11267" max="11268" width="20.7109375" style="708" customWidth="1"/>
    <col min="11269" max="11270" width="11.42578125" style="708"/>
    <col min="11271" max="11272" width="13.85546875" style="708" bestFit="1" customWidth="1"/>
    <col min="11273" max="11275" width="11.42578125" style="708"/>
    <col min="11276" max="11276" width="13.140625" style="708" bestFit="1" customWidth="1"/>
    <col min="11277" max="11277" width="13.7109375" style="708" bestFit="1" customWidth="1"/>
    <col min="11278" max="11278" width="16.5703125" style="708" bestFit="1" customWidth="1"/>
    <col min="11279" max="11279" width="12.5703125" style="708" customWidth="1"/>
    <col min="11280" max="11520" width="11.42578125" style="708"/>
    <col min="11521" max="11521" width="5.28515625" style="708" customWidth="1"/>
    <col min="11522" max="11522" width="42.42578125" style="708" customWidth="1"/>
    <col min="11523" max="11524" width="20.7109375" style="708" customWidth="1"/>
    <col min="11525" max="11526" width="11.42578125" style="708"/>
    <col min="11527" max="11528" width="13.85546875" style="708" bestFit="1" customWidth="1"/>
    <col min="11529" max="11531" width="11.42578125" style="708"/>
    <col min="11532" max="11532" width="13.140625" style="708" bestFit="1" customWidth="1"/>
    <col min="11533" max="11533" width="13.7109375" style="708" bestFit="1" customWidth="1"/>
    <col min="11534" max="11534" width="16.5703125" style="708" bestFit="1" customWidth="1"/>
    <col min="11535" max="11535" width="12.5703125" style="708" customWidth="1"/>
    <col min="11536" max="11776" width="11.42578125" style="708"/>
    <col min="11777" max="11777" width="5.28515625" style="708" customWidth="1"/>
    <col min="11778" max="11778" width="42.42578125" style="708" customWidth="1"/>
    <col min="11779" max="11780" width="20.7109375" style="708" customWidth="1"/>
    <col min="11781" max="11782" width="11.42578125" style="708"/>
    <col min="11783" max="11784" width="13.85546875" style="708" bestFit="1" customWidth="1"/>
    <col min="11785" max="11787" width="11.42578125" style="708"/>
    <col min="11788" max="11788" width="13.140625" style="708" bestFit="1" customWidth="1"/>
    <col min="11789" max="11789" width="13.7109375" style="708" bestFit="1" customWidth="1"/>
    <col min="11790" max="11790" width="16.5703125" style="708" bestFit="1" customWidth="1"/>
    <col min="11791" max="11791" width="12.5703125" style="708" customWidth="1"/>
    <col min="11792" max="12032" width="11.42578125" style="708"/>
    <col min="12033" max="12033" width="5.28515625" style="708" customWidth="1"/>
    <col min="12034" max="12034" width="42.42578125" style="708" customWidth="1"/>
    <col min="12035" max="12036" width="20.7109375" style="708" customWidth="1"/>
    <col min="12037" max="12038" width="11.42578125" style="708"/>
    <col min="12039" max="12040" width="13.85546875" style="708" bestFit="1" customWidth="1"/>
    <col min="12041" max="12043" width="11.42578125" style="708"/>
    <col min="12044" max="12044" width="13.140625" style="708" bestFit="1" customWidth="1"/>
    <col min="12045" max="12045" width="13.7109375" style="708" bestFit="1" customWidth="1"/>
    <col min="12046" max="12046" width="16.5703125" style="708" bestFit="1" customWidth="1"/>
    <col min="12047" max="12047" width="12.5703125" style="708" customWidth="1"/>
    <col min="12048" max="12288" width="11.42578125" style="708"/>
    <col min="12289" max="12289" width="5.28515625" style="708" customWidth="1"/>
    <col min="12290" max="12290" width="42.42578125" style="708" customWidth="1"/>
    <col min="12291" max="12292" width="20.7109375" style="708" customWidth="1"/>
    <col min="12293" max="12294" width="11.42578125" style="708"/>
    <col min="12295" max="12296" width="13.85546875" style="708" bestFit="1" customWidth="1"/>
    <col min="12297" max="12299" width="11.42578125" style="708"/>
    <col min="12300" max="12300" width="13.140625" style="708" bestFit="1" customWidth="1"/>
    <col min="12301" max="12301" width="13.7109375" style="708" bestFit="1" customWidth="1"/>
    <col min="12302" max="12302" width="16.5703125" style="708" bestFit="1" customWidth="1"/>
    <col min="12303" max="12303" width="12.5703125" style="708" customWidth="1"/>
    <col min="12304" max="12544" width="11.42578125" style="708"/>
    <col min="12545" max="12545" width="5.28515625" style="708" customWidth="1"/>
    <col min="12546" max="12546" width="42.42578125" style="708" customWidth="1"/>
    <col min="12547" max="12548" width="20.7109375" style="708" customWidth="1"/>
    <col min="12549" max="12550" width="11.42578125" style="708"/>
    <col min="12551" max="12552" width="13.85546875" style="708" bestFit="1" customWidth="1"/>
    <col min="12553" max="12555" width="11.42578125" style="708"/>
    <col min="12556" max="12556" width="13.140625" style="708" bestFit="1" customWidth="1"/>
    <col min="12557" max="12557" width="13.7109375" style="708" bestFit="1" customWidth="1"/>
    <col min="12558" max="12558" width="16.5703125" style="708" bestFit="1" customWidth="1"/>
    <col min="12559" max="12559" width="12.5703125" style="708" customWidth="1"/>
    <col min="12560" max="12800" width="11.42578125" style="708"/>
    <col min="12801" max="12801" width="5.28515625" style="708" customWidth="1"/>
    <col min="12802" max="12802" width="42.42578125" style="708" customWidth="1"/>
    <col min="12803" max="12804" width="20.7109375" style="708" customWidth="1"/>
    <col min="12805" max="12806" width="11.42578125" style="708"/>
    <col min="12807" max="12808" width="13.85546875" style="708" bestFit="1" customWidth="1"/>
    <col min="12809" max="12811" width="11.42578125" style="708"/>
    <col min="12812" max="12812" width="13.140625" style="708" bestFit="1" customWidth="1"/>
    <col min="12813" max="12813" width="13.7109375" style="708" bestFit="1" customWidth="1"/>
    <col min="12814" max="12814" width="16.5703125" style="708" bestFit="1" customWidth="1"/>
    <col min="12815" max="12815" width="12.5703125" style="708" customWidth="1"/>
    <col min="12816" max="13056" width="11.42578125" style="708"/>
    <col min="13057" max="13057" width="5.28515625" style="708" customWidth="1"/>
    <col min="13058" max="13058" width="42.42578125" style="708" customWidth="1"/>
    <col min="13059" max="13060" width="20.7109375" style="708" customWidth="1"/>
    <col min="13061" max="13062" width="11.42578125" style="708"/>
    <col min="13063" max="13064" width="13.85546875" style="708" bestFit="1" customWidth="1"/>
    <col min="13065" max="13067" width="11.42578125" style="708"/>
    <col min="13068" max="13068" width="13.140625" style="708" bestFit="1" customWidth="1"/>
    <col min="13069" max="13069" width="13.7109375" style="708" bestFit="1" customWidth="1"/>
    <col min="13070" max="13070" width="16.5703125" style="708" bestFit="1" customWidth="1"/>
    <col min="13071" max="13071" width="12.5703125" style="708" customWidth="1"/>
    <col min="13072" max="13312" width="11.42578125" style="708"/>
    <col min="13313" max="13313" width="5.28515625" style="708" customWidth="1"/>
    <col min="13314" max="13314" width="42.42578125" style="708" customWidth="1"/>
    <col min="13315" max="13316" width="20.7109375" style="708" customWidth="1"/>
    <col min="13317" max="13318" width="11.42578125" style="708"/>
    <col min="13319" max="13320" width="13.85546875" style="708" bestFit="1" customWidth="1"/>
    <col min="13321" max="13323" width="11.42578125" style="708"/>
    <col min="13324" max="13324" width="13.140625" style="708" bestFit="1" customWidth="1"/>
    <col min="13325" max="13325" width="13.7109375" style="708" bestFit="1" customWidth="1"/>
    <col min="13326" max="13326" width="16.5703125" style="708" bestFit="1" customWidth="1"/>
    <col min="13327" max="13327" width="12.5703125" style="708" customWidth="1"/>
    <col min="13328" max="13568" width="11.42578125" style="708"/>
    <col min="13569" max="13569" width="5.28515625" style="708" customWidth="1"/>
    <col min="13570" max="13570" width="42.42578125" style="708" customWidth="1"/>
    <col min="13571" max="13572" width="20.7109375" style="708" customWidth="1"/>
    <col min="13573" max="13574" width="11.42578125" style="708"/>
    <col min="13575" max="13576" width="13.85546875" style="708" bestFit="1" customWidth="1"/>
    <col min="13577" max="13579" width="11.42578125" style="708"/>
    <col min="13580" max="13580" width="13.140625" style="708" bestFit="1" customWidth="1"/>
    <col min="13581" max="13581" width="13.7109375" style="708" bestFit="1" customWidth="1"/>
    <col min="13582" max="13582" width="16.5703125" style="708" bestFit="1" customWidth="1"/>
    <col min="13583" max="13583" width="12.5703125" style="708" customWidth="1"/>
    <col min="13584" max="13824" width="11.42578125" style="708"/>
    <col min="13825" max="13825" width="5.28515625" style="708" customWidth="1"/>
    <col min="13826" max="13826" width="42.42578125" style="708" customWidth="1"/>
    <col min="13827" max="13828" width="20.7109375" style="708" customWidth="1"/>
    <col min="13829" max="13830" width="11.42578125" style="708"/>
    <col min="13831" max="13832" width="13.85546875" style="708" bestFit="1" customWidth="1"/>
    <col min="13833" max="13835" width="11.42578125" style="708"/>
    <col min="13836" max="13836" width="13.140625" style="708" bestFit="1" customWidth="1"/>
    <col min="13837" max="13837" width="13.7109375" style="708" bestFit="1" customWidth="1"/>
    <col min="13838" max="13838" width="16.5703125" style="708" bestFit="1" customWidth="1"/>
    <col min="13839" max="13839" width="12.5703125" style="708" customWidth="1"/>
    <col min="13840" max="14080" width="11.42578125" style="708"/>
    <col min="14081" max="14081" width="5.28515625" style="708" customWidth="1"/>
    <col min="14082" max="14082" width="42.42578125" style="708" customWidth="1"/>
    <col min="14083" max="14084" width="20.7109375" style="708" customWidth="1"/>
    <col min="14085" max="14086" width="11.42578125" style="708"/>
    <col min="14087" max="14088" width="13.85546875" style="708" bestFit="1" customWidth="1"/>
    <col min="14089" max="14091" width="11.42578125" style="708"/>
    <col min="14092" max="14092" width="13.140625" style="708" bestFit="1" customWidth="1"/>
    <col min="14093" max="14093" width="13.7109375" style="708" bestFit="1" customWidth="1"/>
    <col min="14094" max="14094" width="16.5703125" style="708" bestFit="1" customWidth="1"/>
    <col min="14095" max="14095" width="12.5703125" style="708" customWidth="1"/>
    <col min="14096" max="14336" width="11.42578125" style="708"/>
    <col min="14337" max="14337" width="5.28515625" style="708" customWidth="1"/>
    <col min="14338" max="14338" width="42.42578125" style="708" customWidth="1"/>
    <col min="14339" max="14340" width="20.7109375" style="708" customWidth="1"/>
    <col min="14341" max="14342" width="11.42578125" style="708"/>
    <col min="14343" max="14344" width="13.85546875" style="708" bestFit="1" customWidth="1"/>
    <col min="14345" max="14347" width="11.42578125" style="708"/>
    <col min="14348" max="14348" width="13.140625" style="708" bestFit="1" customWidth="1"/>
    <col min="14349" max="14349" width="13.7109375" style="708" bestFit="1" customWidth="1"/>
    <col min="14350" max="14350" width="16.5703125" style="708" bestFit="1" customWidth="1"/>
    <col min="14351" max="14351" width="12.5703125" style="708" customWidth="1"/>
    <col min="14352" max="14592" width="11.42578125" style="708"/>
    <col min="14593" max="14593" width="5.28515625" style="708" customWidth="1"/>
    <col min="14594" max="14594" width="42.42578125" style="708" customWidth="1"/>
    <col min="14595" max="14596" width="20.7109375" style="708" customWidth="1"/>
    <col min="14597" max="14598" width="11.42578125" style="708"/>
    <col min="14599" max="14600" width="13.85546875" style="708" bestFit="1" customWidth="1"/>
    <col min="14601" max="14603" width="11.42578125" style="708"/>
    <col min="14604" max="14604" width="13.140625" style="708" bestFit="1" customWidth="1"/>
    <col min="14605" max="14605" width="13.7109375" style="708" bestFit="1" customWidth="1"/>
    <col min="14606" max="14606" width="16.5703125" style="708" bestFit="1" customWidth="1"/>
    <col min="14607" max="14607" width="12.5703125" style="708" customWidth="1"/>
    <col min="14608" max="14848" width="11.42578125" style="708"/>
    <col min="14849" max="14849" width="5.28515625" style="708" customWidth="1"/>
    <col min="14850" max="14850" width="42.42578125" style="708" customWidth="1"/>
    <col min="14851" max="14852" width="20.7109375" style="708" customWidth="1"/>
    <col min="14853" max="14854" width="11.42578125" style="708"/>
    <col min="14855" max="14856" width="13.85546875" style="708" bestFit="1" customWidth="1"/>
    <col min="14857" max="14859" width="11.42578125" style="708"/>
    <col min="14860" max="14860" width="13.140625" style="708" bestFit="1" customWidth="1"/>
    <col min="14861" max="14861" width="13.7109375" style="708" bestFit="1" customWidth="1"/>
    <col min="14862" max="14862" width="16.5703125" style="708" bestFit="1" customWidth="1"/>
    <col min="14863" max="14863" width="12.5703125" style="708" customWidth="1"/>
    <col min="14864" max="15104" width="11.42578125" style="708"/>
    <col min="15105" max="15105" width="5.28515625" style="708" customWidth="1"/>
    <col min="15106" max="15106" width="42.42578125" style="708" customWidth="1"/>
    <col min="15107" max="15108" width="20.7109375" style="708" customWidth="1"/>
    <col min="15109" max="15110" width="11.42578125" style="708"/>
    <col min="15111" max="15112" width="13.85546875" style="708" bestFit="1" customWidth="1"/>
    <col min="15113" max="15115" width="11.42578125" style="708"/>
    <col min="15116" max="15116" width="13.140625" style="708" bestFit="1" customWidth="1"/>
    <col min="15117" max="15117" width="13.7109375" style="708" bestFit="1" customWidth="1"/>
    <col min="15118" max="15118" width="16.5703125" style="708" bestFit="1" customWidth="1"/>
    <col min="15119" max="15119" width="12.5703125" style="708" customWidth="1"/>
    <col min="15120" max="15360" width="11.42578125" style="708"/>
    <col min="15361" max="15361" width="5.28515625" style="708" customWidth="1"/>
    <col min="15362" max="15362" width="42.42578125" style="708" customWidth="1"/>
    <col min="15363" max="15364" width="20.7109375" style="708" customWidth="1"/>
    <col min="15365" max="15366" width="11.42578125" style="708"/>
    <col min="15367" max="15368" width="13.85546875" style="708" bestFit="1" customWidth="1"/>
    <col min="15369" max="15371" width="11.42578125" style="708"/>
    <col min="15372" max="15372" width="13.140625" style="708" bestFit="1" customWidth="1"/>
    <col min="15373" max="15373" width="13.7109375" style="708" bestFit="1" customWidth="1"/>
    <col min="15374" max="15374" width="16.5703125" style="708" bestFit="1" customWidth="1"/>
    <col min="15375" max="15375" width="12.5703125" style="708" customWidth="1"/>
    <col min="15376" max="15616" width="11.42578125" style="708"/>
    <col min="15617" max="15617" width="5.28515625" style="708" customWidth="1"/>
    <col min="15618" max="15618" width="42.42578125" style="708" customWidth="1"/>
    <col min="15619" max="15620" width="20.7109375" style="708" customWidth="1"/>
    <col min="15621" max="15622" width="11.42578125" style="708"/>
    <col min="15623" max="15624" width="13.85546875" style="708" bestFit="1" customWidth="1"/>
    <col min="15625" max="15627" width="11.42578125" style="708"/>
    <col min="15628" max="15628" width="13.140625" style="708" bestFit="1" customWidth="1"/>
    <col min="15629" max="15629" width="13.7109375" style="708" bestFit="1" customWidth="1"/>
    <col min="15630" max="15630" width="16.5703125" style="708" bestFit="1" customWidth="1"/>
    <col min="15631" max="15631" width="12.5703125" style="708" customWidth="1"/>
    <col min="15632" max="15872" width="11.42578125" style="708"/>
    <col min="15873" max="15873" width="5.28515625" style="708" customWidth="1"/>
    <col min="15874" max="15874" width="42.42578125" style="708" customWidth="1"/>
    <col min="15875" max="15876" width="20.7109375" style="708" customWidth="1"/>
    <col min="15877" max="15878" width="11.42578125" style="708"/>
    <col min="15879" max="15880" width="13.85546875" style="708" bestFit="1" customWidth="1"/>
    <col min="15881" max="15883" width="11.42578125" style="708"/>
    <col min="15884" max="15884" width="13.140625" style="708" bestFit="1" customWidth="1"/>
    <col min="15885" max="15885" width="13.7109375" style="708" bestFit="1" customWidth="1"/>
    <col min="15886" max="15886" width="16.5703125" style="708" bestFit="1" customWidth="1"/>
    <col min="15887" max="15887" width="12.5703125" style="708" customWidth="1"/>
    <col min="15888" max="16128" width="11.42578125" style="708"/>
    <col min="16129" max="16129" width="5.28515625" style="708" customWidth="1"/>
    <col min="16130" max="16130" width="42.42578125" style="708" customWidth="1"/>
    <col min="16131" max="16132" width="20.7109375" style="708" customWidth="1"/>
    <col min="16133" max="16134" width="11.42578125" style="708"/>
    <col min="16135" max="16136" width="13.85546875" style="708" bestFit="1" customWidth="1"/>
    <col min="16137" max="16139" width="11.42578125" style="708"/>
    <col min="16140" max="16140" width="13.140625" style="708" bestFit="1" customWidth="1"/>
    <col min="16141" max="16141" width="13.7109375" style="708" bestFit="1" customWidth="1"/>
    <col min="16142" max="16142" width="16.5703125" style="708" bestFit="1" customWidth="1"/>
    <col min="16143" max="16143" width="12.5703125" style="708" customWidth="1"/>
    <col min="16144" max="16384" width="11.42578125" style="708"/>
  </cols>
  <sheetData>
    <row r="1" spans="1:6" ht="20.25">
      <c r="C1" s="710"/>
    </row>
    <row r="2" spans="1:6" ht="20.25">
      <c r="B2" s="926" t="s">
        <v>982</v>
      </c>
      <c r="C2" s="926"/>
      <c r="D2" s="926"/>
    </row>
    <row r="3" spans="1:6" ht="15.75">
      <c r="C3" s="711"/>
    </row>
    <row r="4" spans="1:6" ht="15.75">
      <c r="C4" s="711"/>
    </row>
    <row r="5" spans="1:6" ht="22.5">
      <c r="A5" s="927" t="s">
        <v>725</v>
      </c>
      <c r="B5" s="927"/>
      <c r="C5" s="927"/>
      <c r="D5" s="927"/>
      <c r="E5" s="792"/>
    </row>
    <row r="6" spans="1:6" ht="22.5">
      <c r="A6" s="927" t="s">
        <v>1122</v>
      </c>
      <c r="B6" s="927"/>
      <c r="C6" s="927"/>
      <c r="D6" s="927"/>
      <c r="E6" s="792"/>
    </row>
    <row r="7" spans="1:6" ht="15.75">
      <c r="C7" s="712"/>
    </row>
    <row r="8" spans="1:6" ht="22.5">
      <c r="A8" s="927" t="s">
        <v>983</v>
      </c>
      <c r="B8" s="927"/>
      <c r="C8" s="927"/>
      <c r="D8" s="927"/>
      <c r="E8" s="792"/>
    </row>
    <row r="9" spans="1:6" ht="16.5" thickBot="1">
      <c r="C9" s="712"/>
    </row>
    <row r="10" spans="1:6" ht="19.5" customHeight="1" thickBot="1">
      <c r="B10" s="713"/>
      <c r="C10" s="929" t="s">
        <v>984</v>
      </c>
      <c r="D10" s="930"/>
    </row>
    <row r="11" spans="1:6" ht="38.25" thickBot="1">
      <c r="B11" s="714" t="s">
        <v>985</v>
      </c>
      <c r="C11" s="715" t="s">
        <v>986</v>
      </c>
      <c r="D11" s="715" t="s">
        <v>978</v>
      </c>
    </row>
    <row r="12" spans="1:6" ht="15.75">
      <c r="B12" s="716"/>
      <c r="C12" s="717"/>
      <c r="D12" s="718"/>
    </row>
    <row r="13" spans="1:6" ht="15.75">
      <c r="B13" s="716" t="s">
        <v>987</v>
      </c>
      <c r="C13" s="719">
        <v>5943774</v>
      </c>
      <c r="D13" s="720">
        <v>6245774</v>
      </c>
      <c r="F13" s="721"/>
    </row>
    <row r="14" spans="1:6" ht="15.75">
      <c r="B14" s="716"/>
      <c r="C14" s="722"/>
      <c r="D14" s="723"/>
      <c r="F14" s="721"/>
    </row>
    <row r="15" spans="1:6" ht="15.75">
      <c r="B15" s="716" t="s">
        <v>988</v>
      </c>
      <c r="C15" s="724">
        <v>39828307</v>
      </c>
      <c r="D15" s="725">
        <v>41945733</v>
      </c>
      <c r="F15" s="721"/>
    </row>
    <row r="16" spans="1:6" ht="15.75">
      <c r="B16" s="716"/>
      <c r="C16" s="722"/>
      <c r="D16" s="723"/>
    </row>
    <row r="17" spans="2:7" ht="15.75">
      <c r="B17" s="716" t="s">
        <v>989</v>
      </c>
      <c r="C17" s="719">
        <v>18193091</v>
      </c>
      <c r="D17" s="720">
        <v>19816324</v>
      </c>
      <c r="F17" s="721"/>
    </row>
    <row r="18" spans="2:7" ht="15.75">
      <c r="B18" s="716"/>
      <c r="C18" s="722"/>
      <c r="D18" s="723"/>
    </row>
    <row r="19" spans="2:7" ht="31.5">
      <c r="B19" s="716" t="s">
        <v>990</v>
      </c>
      <c r="C19" s="726">
        <v>87872816</v>
      </c>
      <c r="D19" s="720">
        <v>96896585</v>
      </c>
      <c r="F19" s="721"/>
    </row>
    <row r="20" spans="2:7" ht="15.75">
      <c r="B20" s="727"/>
      <c r="C20" s="728"/>
      <c r="D20" s="729"/>
    </row>
    <row r="21" spans="2:7" s="733" customFormat="1" ht="15.75">
      <c r="B21" s="730" t="s">
        <v>991</v>
      </c>
      <c r="C21" s="731">
        <v>284</v>
      </c>
      <c r="D21" s="732">
        <v>268</v>
      </c>
    </row>
    <row r="22" spans="2:7" ht="15.75">
      <c r="B22" s="727"/>
      <c r="C22" s="728"/>
      <c r="D22" s="729"/>
    </row>
    <row r="23" spans="2:7" ht="15.75">
      <c r="B23" s="716" t="s">
        <v>992</v>
      </c>
      <c r="C23" s="719">
        <f>110215414+8637964+5710054+193636+3060068+466691+30704558</f>
        <v>158988385</v>
      </c>
      <c r="D23" s="720">
        <v>162959537</v>
      </c>
      <c r="G23" s="734"/>
    </row>
    <row r="24" spans="2:7" ht="15.75">
      <c r="B24" s="716"/>
      <c r="C24" s="722"/>
      <c r="D24" s="723"/>
    </row>
    <row r="25" spans="2:7" ht="15.75">
      <c r="B25" s="716" t="s">
        <v>993</v>
      </c>
      <c r="C25" s="722">
        <v>4</v>
      </c>
      <c r="D25" s="723">
        <v>4</v>
      </c>
    </row>
    <row r="26" spans="2:7" ht="15.75">
      <c r="B26" s="727"/>
      <c r="C26" s="728"/>
      <c r="D26" s="729"/>
    </row>
    <row r="27" spans="2:7" ht="15.75">
      <c r="B27" s="716" t="s">
        <v>994</v>
      </c>
      <c r="C27" s="722"/>
      <c r="D27" s="723"/>
    </row>
    <row r="28" spans="2:7" ht="15.75">
      <c r="B28" s="716"/>
      <c r="C28" s="735"/>
      <c r="D28" s="736"/>
    </row>
    <row r="29" spans="2:7" ht="16.5" thickBot="1">
      <c r="B29" s="737"/>
      <c r="C29" s="738"/>
      <c r="D29" s="739"/>
    </row>
    <row r="30" spans="2:7">
      <c r="B30" s="740"/>
      <c r="C30" s="741"/>
      <c r="D30" s="742"/>
    </row>
    <row r="31" spans="2:7">
      <c r="B31" s="931" t="s">
        <v>995</v>
      </c>
      <c r="C31" s="932"/>
      <c r="D31" s="933"/>
    </row>
    <row r="32" spans="2:7">
      <c r="B32" s="934"/>
      <c r="C32" s="932"/>
      <c r="D32" s="933"/>
    </row>
    <row r="33" spans="2:9">
      <c r="B33" s="740"/>
      <c r="C33" s="743"/>
      <c r="D33" s="742"/>
    </row>
    <row r="34" spans="2:9" ht="13.5" thickBot="1">
      <c r="B34" s="744"/>
      <c r="C34" s="745"/>
      <c r="D34" s="746"/>
    </row>
    <row r="35" spans="2:9">
      <c r="C35" s="747"/>
      <c r="D35" s="747"/>
      <c r="E35" s="748"/>
    </row>
    <row r="36" spans="2:9" ht="23.25" customHeight="1">
      <c r="C36" s="712"/>
    </row>
    <row r="37" spans="2:9" ht="30.75" customHeight="1">
      <c r="C37" s="712"/>
    </row>
    <row r="38" spans="2:9" ht="24.75" customHeight="1">
      <c r="C38" s="712"/>
    </row>
    <row r="39" spans="2:9" s="750" customFormat="1">
      <c r="B39" s="749" t="s">
        <v>720</v>
      </c>
      <c r="C39" s="928" t="s">
        <v>721</v>
      </c>
      <c r="D39" s="928"/>
      <c r="F39" s="751"/>
    </row>
    <row r="40" spans="2:9" s="750" customFormat="1">
      <c r="B40" s="749" t="s">
        <v>607</v>
      </c>
      <c r="C40" s="928" t="s">
        <v>996</v>
      </c>
      <c r="D40" s="928"/>
      <c r="I40" s="751"/>
    </row>
    <row r="41" spans="2:9" s="750" customFormat="1" ht="24" customHeight="1">
      <c r="C41" s="751"/>
    </row>
    <row r="42" spans="2:9" s="750" customFormat="1" ht="27.75" customHeight="1">
      <c r="C42" s="751"/>
    </row>
    <row r="43" spans="2:9" s="750" customFormat="1" ht="23.25" customHeight="1">
      <c r="C43" s="751"/>
    </row>
    <row r="44" spans="2:9" s="750" customFormat="1">
      <c r="C44" s="751"/>
    </row>
    <row r="45" spans="2:9" s="750" customFormat="1">
      <c r="B45" s="749" t="str">
        <f>'[1]Anexo G'!A65</f>
        <v>Dr. Raul Fernando Vargas</v>
      </c>
      <c r="C45" s="920" t="s">
        <v>1016</v>
      </c>
      <c r="D45" s="920"/>
      <c r="G45" s="751"/>
    </row>
    <row r="46" spans="2:9" s="750" customFormat="1">
      <c r="B46" s="749" t="s">
        <v>611</v>
      </c>
      <c r="C46" s="928" t="s">
        <v>698</v>
      </c>
      <c r="D46" s="928"/>
      <c r="I46" s="751"/>
    </row>
    <row r="47" spans="2:9" ht="15.75">
      <c r="C47" s="712"/>
    </row>
  </sheetData>
  <mergeCells count="10">
    <mergeCell ref="C45:D45"/>
    <mergeCell ref="C46:D46"/>
    <mergeCell ref="C10:D10"/>
    <mergeCell ref="B31:D32"/>
    <mergeCell ref="C39:D39"/>
    <mergeCell ref="B2:D2"/>
    <mergeCell ref="A5:D5"/>
    <mergeCell ref="A6:D6"/>
    <mergeCell ref="A8:D8"/>
    <mergeCell ref="C40:D40"/>
  </mergeCells>
  <printOptions horizontalCentered="1"/>
  <pageMargins left="0.98425196850393704" right="0.98425196850393704" top="1.9685039370078741" bottom="1.9685039370078741" header="0" footer="0"/>
  <pageSetup paperSize="5" scale="8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>
      <selection activeCell="F37" sqref="F37"/>
    </sheetView>
  </sheetViews>
  <sheetFormatPr baseColWidth="10" defaultRowHeight="12.75"/>
  <cols>
    <col min="1" max="1" width="15.42578125" style="708" customWidth="1"/>
    <col min="2" max="4" width="11.42578125" style="708"/>
    <col min="5" max="5" width="13.28515625" style="708" customWidth="1"/>
    <col min="6" max="9" width="6.7109375" style="708" customWidth="1"/>
    <col min="10" max="10" width="11.42578125" style="708"/>
    <col min="11" max="11" width="11.42578125" style="709"/>
    <col min="12" max="12" width="14.85546875" style="794" bestFit="1" customWidth="1"/>
    <col min="13" max="251" width="11.42578125" style="709"/>
    <col min="252" max="252" width="15.42578125" style="709" customWidth="1"/>
    <col min="253" max="255" width="11.42578125" style="709"/>
    <col min="256" max="256" width="13.28515625" style="709" customWidth="1"/>
    <col min="257" max="260" width="6.7109375" style="709" customWidth="1"/>
    <col min="261" max="264" width="11.42578125" style="709"/>
    <col min="265" max="265" width="14.7109375" style="709" bestFit="1" customWidth="1"/>
    <col min="266" max="507" width="11.42578125" style="709"/>
    <col min="508" max="508" width="15.42578125" style="709" customWidth="1"/>
    <col min="509" max="511" width="11.42578125" style="709"/>
    <col min="512" max="512" width="13.28515625" style="709" customWidth="1"/>
    <col min="513" max="516" width="6.7109375" style="709" customWidth="1"/>
    <col min="517" max="520" width="11.42578125" style="709"/>
    <col min="521" max="521" width="14.7109375" style="709" bestFit="1" customWidth="1"/>
    <col min="522" max="763" width="11.42578125" style="709"/>
    <col min="764" max="764" width="15.42578125" style="709" customWidth="1"/>
    <col min="765" max="767" width="11.42578125" style="709"/>
    <col min="768" max="768" width="13.28515625" style="709" customWidth="1"/>
    <col min="769" max="772" width="6.7109375" style="709" customWidth="1"/>
    <col min="773" max="776" width="11.42578125" style="709"/>
    <col min="777" max="777" width="14.7109375" style="709" bestFit="1" customWidth="1"/>
    <col min="778" max="1019" width="11.42578125" style="709"/>
    <col min="1020" max="1020" width="15.42578125" style="709" customWidth="1"/>
    <col min="1021" max="1023" width="11.42578125" style="709"/>
    <col min="1024" max="1024" width="13.28515625" style="709" customWidth="1"/>
    <col min="1025" max="1028" width="6.7109375" style="709" customWidth="1"/>
    <col min="1029" max="1032" width="11.42578125" style="709"/>
    <col min="1033" max="1033" width="14.7109375" style="709" bestFit="1" customWidth="1"/>
    <col min="1034" max="1275" width="11.42578125" style="709"/>
    <col min="1276" max="1276" width="15.42578125" style="709" customWidth="1"/>
    <col min="1277" max="1279" width="11.42578125" style="709"/>
    <col min="1280" max="1280" width="13.28515625" style="709" customWidth="1"/>
    <col min="1281" max="1284" width="6.7109375" style="709" customWidth="1"/>
    <col min="1285" max="1288" width="11.42578125" style="709"/>
    <col min="1289" max="1289" width="14.7109375" style="709" bestFit="1" customWidth="1"/>
    <col min="1290" max="1531" width="11.42578125" style="709"/>
    <col min="1532" max="1532" width="15.42578125" style="709" customWidth="1"/>
    <col min="1533" max="1535" width="11.42578125" style="709"/>
    <col min="1536" max="1536" width="13.28515625" style="709" customWidth="1"/>
    <col min="1537" max="1540" width="6.7109375" style="709" customWidth="1"/>
    <col min="1541" max="1544" width="11.42578125" style="709"/>
    <col min="1545" max="1545" width="14.7109375" style="709" bestFit="1" customWidth="1"/>
    <col min="1546" max="1787" width="11.42578125" style="709"/>
    <col min="1788" max="1788" width="15.42578125" style="709" customWidth="1"/>
    <col min="1789" max="1791" width="11.42578125" style="709"/>
    <col min="1792" max="1792" width="13.28515625" style="709" customWidth="1"/>
    <col min="1793" max="1796" width="6.7109375" style="709" customWidth="1"/>
    <col min="1797" max="1800" width="11.42578125" style="709"/>
    <col min="1801" max="1801" width="14.7109375" style="709" bestFit="1" customWidth="1"/>
    <col min="1802" max="2043" width="11.42578125" style="709"/>
    <col min="2044" max="2044" width="15.42578125" style="709" customWidth="1"/>
    <col min="2045" max="2047" width="11.42578125" style="709"/>
    <col min="2048" max="2048" width="13.28515625" style="709" customWidth="1"/>
    <col min="2049" max="2052" width="6.7109375" style="709" customWidth="1"/>
    <col min="2053" max="2056" width="11.42578125" style="709"/>
    <col min="2057" max="2057" width="14.7109375" style="709" bestFit="1" customWidth="1"/>
    <col min="2058" max="2299" width="11.42578125" style="709"/>
    <col min="2300" max="2300" width="15.42578125" style="709" customWidth="1"/>
    <col min="2301" max="2303" width="11.42578125" style="709"/>
    <col min="2304" max="2304" width="13.28515625" style="709" customWidth="1"/>
    <col min="2305" max="2308" width="6.7109375" style="709" customWidth="1"/>
    <col min="2309" max="2312" width="11.42578125" style="709"/>
    <col min="2313" max="2313" width="14.7109375" style="709" bestFit="1" customWidth="1"/>
    <col min="2314" max="2555" width="11.42578125" style="709"/>
    <col min="2556" max="2556" width="15.42578125" style="709" customWidth="1"/>
    <col min="2557" max="2559" width="11.42578125" style="709"/>
    <col min="2560" max="2560" width="13.28515625" style="709" customWidth="1"/>
    <col min="2561" max="2564" width="6.7109375" style="709" customWidth="1"/>
    <col min="2565" max="2568" width="11.42578125" style="709"/>
    <col min="2569" max="2569" width="14.7109375" style="709" bestFit="1" customWidth="1"/>
    <col min="2570" max="2811" width="11.42578125" style="709"/>
    <col min="2812" max="2812" width="15.42578125" style="709" customWidth="1"/>
    <col min="2813" max="2815" width="11.42578125" style="709"/>
    <col min="2816" max="2816" width="13.28515625" style="709" customWidth="1"/>
    <col min="2817" max="2820" width="6.7109375" style="709" customWidth="1"/>
    <col min="2821" max="2824" width="11.42578125" style="709"/>
    <col min="2825" max="2825" width="14.7109375" style="709" bestFit="1" customWidth="1"/>
    <col min="2826" max="3067" width="11.42578125" style="709"/>
    <col min="3068" max="3068" width="15.42578125" style="709" customWidth="1"/>
    <col min="3069" max="3071" width="11.42578125" style="709"/>
    <col min="3072" max="3072" width="13.28515625" style="709" customWidth="1"/>
    <col min="3073" max="3076" width="6.7109375" style="709" customWidth="1"/>
    <col min="3077" max="3080" width="11.42578125" style="709"/>
    <col min="3081" max="3081" width="14.7109375" style="709" bestFit="1" customWidth="1"/>
    <col min="3082" max="3323" width="11.42578125" style="709"/>
    <col min="3324" max="3324" width="15.42578125" style="709" customWidth="1"/>
    <col min="3325" max="3327" width="11.42578125" style="709"/>
    <col min="3328" max="3328" width="13.28515625" style="709" customWidth="1"/>
    <col min="3329" max="3332" width="6.7109375" style="709" customWidth="1"/>
    <col min="3333" max="3336" width="11.42578125" style="709"/>
    <col min="3337" max="3337" width="14.7109375" style="709" bestFit="1" customWidth="1"/>
    <col min="3338" max="3579" width="11.42578125" style="709"/>
    <col min="3580" max="3580" width="15.42578125" style="709" customWidth="1"/>
    <col min="3581" max="3583" width="11.42578125" style="709"/>
    <col min="3584" max="3584" width="13.28515625" style="709" customWidth="1"/>
    <col min="3585" max="3588" width="6.7109375" style="709" customWidth="1"/>
    <col min="3589" max="3592" width="11.42578125" style="709"/>
    <col min="3593" max="3593" width="14.7109375" style="709" bestFit="1" customWidth="1"/>
    <col min="3594" max="3835" width="11.42578125" style="709"/>
    <col min="3836" max="3836" width="15.42578125" style="709" customWidth="1"/>
    <col min="3837" max="3839" width="11.42578125" style="709"/>
    <col min="3840" max="3840" width="13.28515625" style="709" customWidth="1"/>
    <col min="3841" max="3844" width="6.7109375" style="709" customWidth="1"/>
    <col min="3845" max="3848" width="11.42578125" style="709"/>
    <col min="3849" max="3849" width="14.7109375" style="709" bestFit="1" customWidth="1"/>
    <col min="3850" max="4091" width="11.42578125" style="709"/>
    <col min="4092" max="4092" width="15.42578125" style="709" customWidth="1"/>
    <col min="4093" max="4095" width="11.42578125" style="709"/>
    <col min="4096" max="4096" width="13.28515625" style="709" customWidth="1"/>
    <col min="4097" max="4100" width="6.7109375" style="709" customWidth="1"/>
    <col min="4101" max="4104" width="11.42578125" style="709"/>
    <col min="4105" max="4105" width="14.7109375" style="709" bestFit="1" customWidth="1"/>
    <col min="4106" max="4347" width="11.42578125" style="709"/>
    <col min="4348" max="4348" width="15.42578125" style="709" customWidth="1"/>
    <col min="4349" max="4351" width="11.42578125" style="709"/>
    <col min="4352" max="4352" width="13.28515625" style="709" customWidth="1"/>
    <col min="4353" max="4356" width="6.7109375" style="709" customWidth="1"/>
    <col min="4357" max="4360" width="11.42578125" style="709"/>
    <col min="4361" max="4361" width="14.7109375" style="709" bestFit="1" customWidth="1"/>
    <col min="4362" max="4603" width="11.42578125" style="709"/>
    <col min="4604" max="4604" width="15.42578125" style="709" customWidth="1"/>
    <col min="4605" max="4607" width="11.42578125" style="709"/>
    <col min="4608" max="4608" width="13.28515625" style="709" customWidth="1"/>
    <col min="4609" max="4612" width="6.7109375" style="709" customWidth="1"/>
    <col min="4613" max="4616" width="11.42578125" style="709"/>
    <col min="4617" max="4617" width="14.7109375" style="709" bestFit="1" customWidth="1"/>
    <col min="4618" max="4859" width="11.42578125" style="709"/>
    <col min="4860" max="4860" width="15.42578125" style="709" customWidth="1"/>
    <col min="4861" max="4863" width="11.42578125" style="709"/>
    <col min="4864" max="4864" width="13.28515625" style="709" customWidth="1"/>
    <col min="4865" max="4868" width="6.7109375" style="709" customWidth="1"/>
    <col min="4869" max="4872" width="11.42578125" style="709"/>
    <col min="4873" max="4873" width="14.7109375" style="709" bestFit="1" customWidth="1"/>
    <col min="4874" max="5115" width="11.42578125" style="709"/>
    <col min="5116" max="5116" width="15.42578125" style="709" customWidth="1"/>
    <col min="5117" max="5119" width="11.42578125" style="709"/>
    <col min="5120" max="5120" width="13.28515625" style="709" customWidth="1"/>
    <col min="5121" max="5124" width="6.7109375" style="709" customWidth="1"/>
    <col min="5125" max="5128" width="11.42578125" style="709"/>
    <col min="5129" max="5129" width="14.7109375" style="709" bestFit="1" customWidth="1"/>
    <col min="5130" max="5371" width="11.42578125" style="709"/>
    <col min="5372" max="5372" width="15.42578125" style="709" customWidth="1"/>
    <col min="5373" max="5375" width="11.42578125" style="709"/>
    <col min="5376" max="5376" width="13.28515625" style="709" customWidth="1"/>
    <col min="5377" max="5380" width="6.7109375" style="709" customWidth="1"/>
    <col min="5381" max="5384" width="11.42578125" style="709"/>
    <col min="5385" max="5385" width="14.7109375" style="709" bestFit="1" customWidth="1"/>
    <col min="5386" max="5627" width="11.42578125" style="709"/>
    <col min="5628" max="5628" width="15.42578125" style="709" customWidth="1"/>
    <col min="5629" max="5631" width="11.42578125" style="709"/>
    <col min="5632" max="5632" width="13.28515625" style="709" customWidth="1"/>
    <col min="5633" max="5636" width="6.7109375" style="709" customWidth="1"/>
    <col min="5637" max="5640" width="11.42578125" style="709"/>
    <col min="5641" max="5641" width="14.7109375" style="709" bestFit="1" customWidth="1"/>
    <col min="5642" max="5883" width="11.42578125" style="709"/>
    <col min="5884" max="5884" width="15.42578125" style="709" customWidth="1"/>
    <col min="5885" max="5887" width="11.42578125" style="709"/>
    <col min="5888" max="5888" width="13.28515625" style="709" customWidth="1"/>
    <col min="5889" max="5892" width="6.7109375" style="709" customWidth="1"/>
    <col min="5893" max="5896" width="11.42578125" style="709"/>
    <col min="5897" max="5897" width="14.7109375" style="709" bestFit="1" customWidth="1"/>
    <col min="5898" max="6139" width="11.42578125" style="709"/>
    <col min="6140" max="6140" width="15.42578125" style="709" customWidth="1"/>
    <col min="6141" max="6143" width="11.42578125" style="709"/>
    <col min="6144" max="6144" width="13.28515625" style="709" customWidth="1"/>
    <col min="6145" max="6148" width="6.7109375" style="709" customWidth="1"/>
    <col min="6149" max="6152" width="11.42578125" style="709"/>
    <col min="6153" max="6153" width="14.7109375" style="709" bestFit="1" customWidth="1"/>
    <col min="6154" max="6395" width="11.42578125" style="709"/>
    <col min="6396" max="6396" width="15.42578125" style="709" customWidth="1"/>
    <col min="6397" max="6399" width="11.42578125" style="709"/>
    <col min="6400" max="6400" width="13.28515625" style="709" customWidth="1"/>
    <col min="6401" max="6404" width="6.7109375" style="709" customWidth="1"/>
    <col min="6405" max="6408" width="11.42578125" style="709"/>
    <col min="6409" max="6409" width="14.7109375" style="709" bestFit="1" customWidth="1"/>
    <col min="6410" max="6651" width="11.42578125" style="709"/>
    <col min="6652" max="6652" width="15.42578125" style="709" customWidth="1"/>
    <col min="6653" max="6655" width="11.42578125" style="709"/>
    <col min="6656" max="6656" width="13.28515625" style="709" customWidth="1"/>
    <col min="6657" max="6660" width="6.7109375" style="709" customWidth="1"/>
    <col min="6661" max="6664" width="11.42578125" style="709"/>
    <col min="6665" max="6665" width="14.7109375" style="709" bestFit="1" customWidth="1"/>
    <col min="6666" max="6907" width="11.42578125" style="709"/>
    <col min="6908" max="6908" width="15.42578125" style="709" customWidth="1"/>
    <col min="6909" max="6911" width="11.42578125" style="709"/>
    <col min="6912" max="6912" width="13.28515625" style="709" customWidth="1"/>
    <col min="6913" max="6916" width="6.7109375" style="709" customWidth="1"/>
    <col min="6917" max="6920" width="11.42578125" style="709"/>
    <col min="6921" max="6921" width="14.7109375" style="709" bestFit="1" customWidth="1"/>
    <col min="6922" max="7163" width="11.42578125" style="709"/>
    <col min="7164" max="7164" width="15.42578125" style="709" customWidth="1"/>
    <col min="7165" max="7167" width="11.42578125" style="709"/>
    <col min="7168" max="7168" width="13.28515625" style="709" customWidth="1"/>
    <col min="7169" max="7172" width="6.7109375" style="709" customWidth="1"/>
    <col min="7173" max="7176" width="11.42578125" style="709"/>
    <col min="7177" max="7177" width="14.7109375" style="709" bestFit="1" customWidth="1"/>
    <col min="7178" max="7419" width="11.42578125" style="709"/>
    <col min="7420" max="7420" width="15.42578125" style="709" customWidth="1"/>
    <col min="7421" max="7423" width="11.42578125" style="709"/>
    <col min="7424" max="7424" width="13.28515625" style="709" customWidth="1"/>
    <col min="7425" max="7428" width="6.7109375" style="709" customWidth="1"/>
    <col min="7429" max="7432" width="11.42578125" style="709"/>
    <col min="7433" max="7433" width="14.7109375" style="709" bestFit="1" customWidth="1"/>
    <col min="7434" max="7675" width="11.42578125" style="709"/>
    <col min="7676" max="7676" width="15.42578125" style="709" customWidth="1"/>
    <col min="7677" max="7679" width="11.42578125" style="709"/>
    <col min="7680" max="7680" width="13.28515625" style="709" customWidth="1"/>
    <col min="7681" max="7684" width="6.7109375" style="709" customWidth="1"/>
    <col min="7685" max="7688" width="11.42578125" style="709"/>
    <col min="7689" max="7689" width="14.7109375" style="709" bestFit="1" customWidth="1"/>
    <col min="7690" max="7931" width="11.42578125" style="709"/>
    <col min="7932" max="7932" width="15.42578125" style="709" customWidth="1"/>
    <col min="7933" max="7935" width="11.42578125" style="709"/>
    <col min="7936" max="7936" width="13.28515625" style="709" customWidth="1"/>
    <col min="7937" max="7940" width="6.7109375" style="709" customWidth="1"/>
    <col min="7941" max="7944" width="11.42578125" style="709"/>
    <col min="7945" max="7945" width="14.7109375" style="709" bestFit="1" customWidth="1"/>
    <col min="7946" max="8187" width="11.42578125" style="709"/>
    <col min="8188" max="8188" width="15.42578125" style="709" customWidth="1"/>
    <col min="8189" max="8191" width="11.42578125" style="709"/>
    <col min="8192" max="8192" width="13.28515625" style="709" customWidth="1"/>
    <col min="8193" max="8196" width="6.7109375" style="709" customWidth="1"/>
    <col min="8197" max="8200" width="11.42578125" style="709"/>
    <col min="8201" max="8201" width="14.7109375" style="709" bestFit="1" customWidth="1"/>
    <col min="8202" max="8443" width="11.42578125" style="709"/>
    <col min="8444" max="8444" width="15.42578125" style="709" customWidth="1"/>
    <col min="8445" max="8447" width="11.42578125" style="709"/>
    <col min="8448" max="8448" width="13.28515625" style="709" customWidth="1"/>
    <col min="8449" max="8452" width="6.7109375" style="709" customWidth="1"/>
    <col min="8453" max="8456" width="11.42578125" style="709"/>
    <col min="8457" max="8457" width="14.7109375" style="709" bestFit="1" customWidth="1"/>
    <col min="8458" max="8699" width="11.42578125" style="709"/>
    <col min="8700" max="8700" width="15.42578125" style="709" customWidth="1"/>
    <col min="8701" max="8703" width="11.42578125" style="709"/>
    <col min="8704" max="8704" width="13.28515625" style="709" customWidth="1"/>
    <col min="8705" max="8708" width="6.7109375" style="709" customWidth="1"/>
    <col min="8709" max="8712" width="11.42578125" style="709"/>
    <col min="8713" max="8713" width="14.7109375" style="709" bestFit="1" customWidth="1"/>
    <col min="8714" max="8955" width="11.42578125" style="709"/>
    <col min="8956" max="8956" width="15.42578125" style="709" customWidth="1"/>
    <col min="8957" max="8959" width="11.42578125" style="709"/>
    <col min="8960" max="8960" width="13.28515625" style="709" customWidth="1"/>
    <col min="8961" max="8964" width="6.7109375" style="709" customWidth="1"/>
    <col min="8965" max="8968" width="11.42578125" style="709"/>
    <col min="8969" max="8969" width="14.7109375" style="709" bestFit="1" customWidth="1"/>
    <col min="8970" max="9211" width="11.42578125" style="709"/>
    <col min="9212" max="9212" width="15.42578125" style="709" customWidth="1"/>
    <col min="9213" max="9215" width="11.42578125" style="709"/>
    <col min="9216" max="9216" width="13.28515625" style="709" customWidth="1"/>
    <col min="9217" max="9220" width="6.7109375" style="709" customWidth="1"/>
    <col min="9221" max="9224" width="11.42578125" style="709"/>
    <col min="9225" max="9225" width="14.7109375" style="709" bestFit="1" customWidth="1"/>
    <col min="9226" max="9467" width="11.42578125" style="709"/>
    <col min="9468" max="9468" width="15.42578125" style="709" customWidth="1"/>
    <col min="9469" max="9471" width="11.42578125" style="709"/>
    <col min="9472" max="9472" width="13.28515625" style="709" customWidth="1"/>
    <col min="9473" max="9476" width="6.7109375" style="709" customWidth="1"/>
    <col min="9477" max="9480" width="11.42578125" style="709"/>
    <col min="9481" max="9481" width="14.7109375" style="709" bestFit="1" customWidth="1"/>
    <col min="9482" max="9723" width="11.42578125" style="709"/>
    <col min="9724" max="9724" width="15.42578125" style="709" customWidth="1"/>
    <col min="9725" max="9727" width="11.42578125" style="709"/>
    <col min="9728" max="9728" width="13.28515625" style="709" customWidth="1"/>
    <col min="9729" max="9732" width="6.7109375" style="709" customWidth="1"/>
    <col min="9733" max="9736" width="11.42578125" style="709"/>
    <col min="9737" max="9737" width="14.7109375" style="709" bestFit="1" customWidth="1"/>
    <col min="9738" max="9979" width="11.42578125" style="709"/>
    <col min="9980" max="9980" width="15.42578125" style="709" customWidth="1"/>
    <col min="9981" max="9983" width="11.42578125" style="709"/>
    <col min="9984" max="9984" width="13.28515625" style="709" customWidth="1"/>
    <col min="9985" max="9988" width="6.7109375" style="709" customWidth="1"/>
    <col min="9989" max="9992" width="11.42578125" style="709"/>
    <col min="9993" max="9993" width="14.7109375" style="709" bestFit="1" customWidth="1"/>
    <col min="9994" max="10235" width="11.42578125" style="709"/>
    <col min="10236" max="10236" width="15.42578125" style="709" customWidth="1"/>
    <col min="10237" max="10239" width="11.42578125" style="709"/>
    <col min="10240" max="10240" width="13.28515625" style="709" customWidth="1"/>
    <col min="10241" max="10244" width="6.7109375" style="709" customWidth="1"/>
    <col min="10245" max="10248" width="11.42578125" style="709"/>
    <col min="10249" max="10249" width="14.7109375" style="709" bestFit="1" customWidth="1"/>
    <col min="10250" max="10491" width="11.42578125" style="709"/>
    <col min="10492" max="10492" width="15.42578125" style="709" customWidth="1"/>
    <col min="10493" max="10495" width="11.42578125" style="709"/>
    <col min="10496" max="10496" width="13.28515625" style="709" customWidth="1"/>
    <col min="10497" max="10500" width="6.7109375" style="709" customWidth="1"/>
    <col min="10501" max="10504" width="11.42578125" style="709"/>
    <col min="10505" max="10505" width="14.7109375" style="709" bestFit="1" customWidth="1"/>
    <col min="10506" max="10747" width="11.42578125" style="709"/>
    <col min="10748" max="10748" width="15.42578125" style="709" customWidth="1"/>
    <col min="10749" max="10751" width="11.42578125" style="709"/>
    <col min="10752" max="10752" width="13.28515625" style="709" customWidth="1"/>
    <col min="10753" max="10756" width="6.7109375" style="709" customWidth="1"/>
    <col min="10757" max="10760" width="11.42578125" style="709"/>
    <col min="10761" max="10761" width="14.7109375" style="709" bestFit="1" customWidth="1"/>
    <col min="10762" max="11003" width="11.42578125" style="709"/>
    <col min="11004" max="11004" width="15.42578125" style="709" customWidth="1"/>
    <col min="11005" max="11007" width="11.42578125" style="709"/>
    <col min="11008" max="11008" width="13.28515625" style="709" customWidth="1"/>
    <col min="11009" max="11012" width="6.7109375" style="709" customWidth="1"/>
    <col min="11013" max="11016" width="11.42578125" style="709"/>
    <col min="11017" max="11017" width="14.7109375" style="709" bestFit="1" customWidth="1"/>
    <col min="11018" max="11259" width="11.42578125" style="709"/>
    <col min="11260" max="11260" width="15.42578125" style="709" customWidth="1"/>
    <col min="11261" max="11263" width="11.42578125" style="709"/>
    <col min="11264" max="11264" width="13.28515625" style="709" customWidth="1"/>
    <col min="11265" max="11268" width="6.7109375" style="709" customWidth="1"/>
    <col min="11269" max="11272" width="11.42578125" style="709"/>
    <col min="11273" max="11273" width="14.7109375" style="709" bestFit="1" customWidth="1"/>
    <col min="11274" max="11515" width="11.42578125" style="709"/>
    <col min="11516" max="11516" width="15.42578125" style="709" customWidth="1"/>
    <col min="11517" max="11519" width="11.42578125" style="709"/>
    <col min="11520" max="11520" width="13.28515625" style="709" customWidth="1"/>
    <col min="11521" max="11524" width="6.7109375" style="709" customWidth="1"/>
    <col min="11525" max="11528" width="11.42578125" style="709"/>
    <col min="11529" max="11529" width="14.7109375" style="709" bestFit="1" customWidth="1"/>
    <col min="11530" max="11771" width="11.42578125" style="709"/>
    <col min="11772" max="11772" width="15.42578125" style="709" customWidth="1"/>
    <col min="11773" max="11775" width="11.42578125" style="709"/>
    <col min="11776" max="11776" width="13.28515625" style="709" customWidth="1"/>
    <col min="11777" max="11780" width="6.7109375" style="709" customWidth="1"/>
    <col min="11781" max="11784" width="11.42578125" style="709"/>
    <col min="11785" max="11785" width="14.7109375" style="709" bestFit="1" customWidth="1"/>
    <col min="11786" max="12027" width="11.42578125" style="709"/>
    <col min="12028" max="12028" width="15.42578125" style="709" customWidth="1"/>
    <col min="12029" max="12031" width="11.42578125" style="709"/>
    <col min="12032" max="12032" width="13.28515625" style="709" customWidth="1"/>
    <col min="12033" max="12036" width="6.7109375" style="709" customWidth="1"/>
    <col min="12037" max="12040" width="11.42578125" style="709"/>
    <col min="12041" max="12041" width="14.7109375" style="709" bestFit="1" customWidth="1"/>
    <col min="12042" max="12283" width="11.42578125" style="709"/>
    <col min="12284" max="12284" width="15.42578125" style="709" customWidth="1"/>
    <col min="12285" max="12287" width="11.42578125" style="709"/>
    <col min="12288" max="12288" width="13.28515625" style="709" customWidth="1"/>
    <col min="12289" max="12292" width="6.7109375" style="709" customWidth="1"/>
    <col min="12293" max="12296" width="11.42578125" style="709"/>
    <col min="12297" max="12297" width="14.7109375" style="709" bestFit="1" customWidth="1"/>
    <col min="12298" max="12539" width="11.42578125" style="709"/>
    <col min="12540" max="12540" width="15.42578125" style="709" customWidth="1"/>
    <col min="12541" max="12543" width="11.42578125" style="709"/>
    <col min="12544" max="12544" width="13.28515625" style="709" customWidth="1"/>
    <col min="12545" max="12548" width="6.7109375" style="709" customWidth="1"/>
    <col min="12549" max="12552" width="11.42578125" style="709"/>
    <col min="12553" max="12553" width="14.7109375" style="709" bestFit="1" customWidth="1"/>
    <col min="12554" max="12795" width="11.42578125" style="709"/>
    <col min="12796" max="12796" width="15.42578125" style="709" customWidth="1"/>
    <col min="12797" max="12799" width="11.42578125" style="709"/>
    <col min="12800" max="12800" width="13.28515625" style="709" customWidth="1"/>
    <col min="12801" max="12804" width="6.7109375" style="709" customWidth="1"/>
    <col min="12805" max="12808" width="11.42578125" style="709"/>
    <col min="12809" max="12809" width="14.7109375" style="709" bestFit="1" customWidth="1"/>
    <col min="12810" max="13051" width="11.42578125" style="709"/>
    <col min="13052" max="13052" width="15.42578125" style="709" customWidth="1"/>
    <col min="13053" max="13055" width="11.42578125" style="709"/>
    <col min="13056" max="13056" width="13.28515625" style="709" customWidth="1"/>
    <col min="13057" max="13060" width="6.7109375" style="709" customWidth="1"/>
    <col min="13061" max="13064" width="11.42578125" style="709"/>
    <col min="13065" max="13065" width="14.7109375" style="709" bestFit="1" customWidth="1"/>
    <col min="13066" max="13307" width="11.42578125" style="709"/>
    <col min="13308" max="13308" width="15.42578125" style="709" customWidth="1"/>
    <col min="13309" max="13311" width="11.42578125" style="709"/>
    <col min="13312" max="13312" width="13.28515625" style="709" customWidth="1"/>
    <col min="13313" max="13316" width="6.7109375" style="709" customWidth="1"/>
    <col min="13317" max="13320" width="11.42578125" style="709"/>
    <col min="13321" max="13321" width="14.7109375" style="709" bestFit="1" customWidth="1"/>
    <col min="13322" max="13563" width="11.42578125" style="709"/>
    <col min="13564" max="13564" width="15.42578125" style="709" customWidth="1"/>
    <col min="13565" max="13567" width="11.42578125" style="709"/>
    <col min="13568" max="13568" width="13.28515625" style="709" customWidth="1"/>
    <col min="13569" max="13572" width="6.7109375" style="709" customWidth="1"/>
    <col min="13573" max="13576" width="11.42578125" style="709"/>
    <col min="13577" max="13577" width="14.7109375" style="709" bestFit="1" customWidth="1"/>
    <col min="13578" max="13819" width="11.42578125" style="709"/>
    <col min="13820" max="13820" width="15.42578125" style="709" customWidth="1"/>
    <col min="13821" max="13823" width="11.42578125" style="709"/>
    <col min="13824" max="13824" width="13.28515625" style="709" customWidth="1"/>
    <col min="13825" max="13828" width="6.7109375" style="709" customWidth="1"/>
    <col min="13829" max="13832" width="11.42578125" style="709"/>
    <col min="13833" max="13833" width="14.7109375" style="709" bestFit="1" customWidth="1"/>
    <col min="13834" max="14075" width="11.42578125" style="709"/>
    <col min="14076" max="14076" width="15.42578125" style="709" customWidth="1"/>
    <col min="14077" max="14079" width="11.42578125" style="709"/>
    <col min="14080" max="14080" width="13.28515625" style="709" customWidth="1"/>
    <col min="14081" max="14084" width="6.7109375" style="709" customWidth="1"/>
    <col min="14085" max="14088" width="11.42578125" style="709"/>
    <col min="14089" max="14089" width="14.7109375" style="709" bestFit="1" customWidth="1"/>
    <col min="14090" max="14331" width="11.42578125" style="709"/>
    <col min="14332" max="14332" width="15.42578125" style="709" customWidth="1"/>
    <col min="14333" max="14335" width="11.42578125" style="709"/>
    <col min="14336" max="14336" width="13.28515625" style="709" customWidth="1"/>
    <col min="14337" max="14340" width="6.7109375" style="709" customWidth="1"/>
    <col min="14341" max="14344" width="11.42578125" style="709"/>
    <col min="14345" max="14345" width="14.7109375" style="709" bestFit="1" customWidth="1"/>
    <col min="14346" max="14587" width="11.42578125" style="709"/>
    <col min="14588" max="14588" width="15.42578125" style="709" customWidth="1"/>
    <col min="14589" max="14591" width="11.42578125" style="709"/>
    <col min="14592" max="14592" width="13.28515625" style="709" customWidth="1"/>
    <col min="14593" max="14596" width="6.7109375" style="709" customWidth="1"/>
    <col min="14597" max="14600" width="11.42578125" style="709"/>
    <col min="14601" max="14601" width="14.7109375" style="709" bestFit="1" customWidth="1"/>
    <col min="14602" max="14843" width="11.42578125" style="709"/>
    <col min="14844" max="14844" width="15.42578125" style="709" customWidth="1"/>
    <col min="14845" max="14847" width="11.42578125" style="709"/>
    <col min="14848" max="14848" width="13.28515625" style="709" customWidth="1"/>
    <col min="14849" max="14852" width="6.7109375" style="709" customWidth="1"/>
    <col min="14853" max="14856" width="11.42578125" style="709"/>
    <col min="14857" max="14857" width="14.7109375" style="709" bestFit="1" customWidth="1"/>
    <col min="14858" max="15099" width="11.42578125" style="709"/>
    <col min="15100" max="15100" width="15.42578125" style="709" customWidth="1"/>
    <col min="15101" max="15103" width="11.42578125" style="709"/>
    <col min="15104" max="15104" width="13.28515625" style="709" customWidth="1"/>
    <col min="15105" max="15108" width="6.7109375" style="709" customWidth="1"/>
    <col min="15109" max="15112" width="11.42578125" style="709"/>
    <col min="15113" max="15113" width="14.7109375" style="709" bestFit="1" customWidth="1"/>
    <col min="15114" max="15355" width="11.42578125" style="709"/>
    <col min="15356" max="15356" width="15.42578125" style="709" customWidth="1"/>
    <col min="15357" max="15359" width="11.42578125" style="709"/>
    <col min="15360" max="15360" width="13.28515625" style="709" customWidth="1"/>
    <col min="15361" max="15364" width="6.7109375" style="709" customWidth="1"/>
    <col min="15365" max="15368" width="11.42578125" style="709"/>
    <col min="15369" max="15369" width="14.7109375" style="709" bestFit="1" customWidth="1"/>
    <col min="15370" max="15611" width="11.42578125" style="709"/>
    <col min="15612" max="15612" width="15.42578125" style="709" customWidth="1"/>
    <col min="15613" max="15615" width="11.42578125" style="709"/>
    <col min="15616" max="15616" width="13.28515625" style="709" customWidth="1"/>
    <col min="15617" max="15620" width="6.7109375" style="709" customWidth="1"/>
    <col min="15621" max="15624" width="11.42578125" style="709"/>
    <col min="15625" max="15625" width="14.7109375" style="709" bestFit="1" customWidth="1"/>
    <col min="15626" max="15867" width="11.42578125" style="709"/>
    <col min="15868" max="15868" width="15.42578125" style="709" customWidth="1"/>
    <col min="15869" max="15871" width="11.42578125" style="709"/>
    <col min="15872" max="15872" width="13.28515625" style="709" customWidth="1"/>
    <col min="15873" max="15876" width="6.7109375" style="709" customWidth="1"/>
    <col min="15877" max="15880" width="11.42578125" style="709"/>
    <col min="15881" max="15881" width="14.7109375" style="709" bestFit="1" customWidth="1"/>
    <col min="15882" max="16123" width="11.42578125" style="709"/>
    <col min="16124" max="16124" width="15.42578125" style="709" customWidth="1"/>
    <col min="16125" max="16127" width="11.42578125" style="709"/>
    <col min="16128" max="16128" width="13.28515625" style="709" customWidth="1"/>
    <col min="16129" max="16132" width="6.7109375" style="709" customWidth="1"/>
    <col min="16133" max="16136" width="11.42578125" style="709"/>
    <col min="16137" max="16137" width="14.7109375" style="709" bestFit="1" customWidth="1"/>
    <col min="16138" max="16384" width="11.42578125" style="709"/>
  </cols>
  <sheetData>
    <row r="1" spans="1:12" s="708" customFormat="1" ht="20.25">
      <c r="A1" s="752"/>
      <c r="L1" s="793"/>
    </row>
    <row r="2" spans="1:12" s="708" customFormat="1" ht="20.25">
      <c r="A2" s="752"/>
      <c r="L2" s="793"/>
    </row>
    <row r="3" spans="1:12" s="708" customFormat="1" ht="20.25">
      <c r="A3" s="752"/>
      <c r="H3" s="752"/>
      <c r="I3" s="752"/>
      <c r="L3" s="793"/>
    </row>
    <row r="4" spans="1:12" s="708" customFormat="1" ht="27" customHeight="1">
      <c r="A4" s="962" t="s">
        <v>997</v>
      </c>
      <c r="B4" s="962"/>
      <c r="C4" s="962"/>
      <c r="D4" s="962"/>
      <c r="E4" s="962"/>
      <c r="F4" s="962"/>
      <c r="G4" s="962"/>
      <c r="H4" s="962"/>
      <c r="L4" s="793"/>
    </row>
    <row r="5" spans="1:12" s="708" customFormat="1" ht="7.5" customHeight="1">
      <c r="A5" s="753"/>
      <c r="L5" s="793"/>
    </row>
    <row r="6" spans="1:12" s="708" customFormat="1" ht="22.5">
      <c r="A6" s="927" t="s">
        <v>725</v>
      </c>
      <c r="B6" s="927"/>
      <c r="C6" s="927"/>
      <c r="D6" s="927"/>
      <c r="E6" s="927"/>
      <c r="F6" s="927"/>
      <c r="G6" s="927"/>
      <c r="H6" s="927"/>
      <c r="I6" s="927"/>
      <c r="J6" s="792"/>
      <c r="L6" s="793"/>
    </row>
    <row r="7" spans="1:12" s="708" customFormat="1" ht="22.5">
      <c r="A7" s="927" t="s">
        <v>1122</v>
      </c>
      <c r="B7" s="927"/>
      <c r="C7" s="927"/>
      <c r="D7" s="927"/>
      <c r="E7" s="927"/>
      <c r="F7" s="927"/>
      <c r="G7" s="927"/>
      <c r="H7" s="927"/>
      <c r="I7" s="927"/>
      <c r="J7" s="792"/>
      <c r="L7" s="793"/>
    </row>
    <row r="8" spans="1:12" s="708" customFormat="1" ht="15.75">
      <c r="A8" s="754"/>
      <c r="L8" s="793"/>
    </row>
    <row r="9" spans="1:12" s="708" customFormat="1" ht="22.5">
      <c r="A9" s="927" t="s">
        <v>998</v>
      </c>
      <c r="B9" s="927"/>
      <c r="C9" s="927"/>
      <c r="D9" s="927"/>
      <c r="E9" s="927"/>
      <c r="F9" s="927"/>
      <c r="G9" s="927"/>
      <c r="H9" s="927"/>
      <c r="I9" s="927"/>
      <c r="J9" s="792"/>
      <c r="L9" s="793"/>
    </row>
    <row r="10" spans="1:12" s="708" customFormat="1" ht="15.75">
      <c r="A10" s="754"/>
      <c r="L10" s="793"/>
    </row>
    <row r="11" spans="1:12" s="708" customFormat="1" ht="16.5" thickBot="1">
      <c r="A11" s="754"/>
      <c r="L11" s="793"/>
    </row>
    <row r="12" spans="1:12" s="708" customFormat="1" ht="13.5" thickBot="1">
      <c r="A12" s="971"/>
      <c r="B12" s="972"/>
      <c r="C12" s="972"/>
      <c r="D12" s="972"/>
      <c r="E12" s="973"/>
      <c r="F12" s="974" t="s">
        <v>984</v>
      </c>
      <c r="G12" s="975"/>
      <c r="H12" s="975"/>
      <c r="I12" s="976"/>
      <c r="L12" s="793"/>
    </row>
    <row r="13" spans="1:12" s="708" customFormat="1" ht="12.75" customHeight="1">
      <c r="A13" s="963" t="s">
        <v>999</v>
      </c>
      <c r="B13" s="964"/>
      <c r="C13" s="964"/>
      <c r="D13" s="964"/>
      <c r="E13" s="965"/>
      <c r="F13" s="969" t="s">
        <v>737</v>
      </c>
      <c r="G13" s="970"/>
      <c r="H13" s="969" t="s">
        <v>737</v>
      </c>
      <c r="I13" s="970"/>
      <c r="L13" s="793"/>
    </row>
    <row r="14" spans="1:12" s="708" customFormat="1" ht="13.5" thickBot="1">
      <c r="A14" s="966"/>
      <c r="B14" s="967"/>
      <c r="C14" s="967"/>
      <c r="D14" s="967"/>
      <c r="E14" s="968"/>
      <c r="F14" s="966" t="s">
        <v>849</v>
      </c>
      <c r="G14" s="968"/>
      <c r="H14" s="966" t="s">
        <v>850</v>
      </c>
      <c r="I14" s="968"/>
      <c r="L14" s="793"/>
    </row>
    <row r="15" spans="1:12" ht="15.75">
      <c r="A15" s="957"/>
      <c r="B15" s="958"/>
      <c r="C15" s="958"/>
      <c r="D15" s="958"/>
      <c r="E15" s="959"/>
      <c r="F15" s="957"/>
      <c r="G15" s="959"/>
      <c r="H15" s="960"/>
      <c r="I15" s="961"/>
    </row>
    <row r="16" spans="1:12" ht="15.75">
      <c r="A16" s="946"/>
      <c r="B16" s="947"/>
      <c r="C16" s="947"/>
      <c r="D16" s="947"/>
      <c r="E16" s="948"/>
      <c r="F16" s="946"/>
      <c r="G16" s="948"/>
      <c r="H16" s="951"/>
      <c r="I16" s="952"/>
    </row>
    <row r="17" spans="1:13" ht="15.75" customHeight="1">
      <c r="A17" s="946" t="s">
        <v>1000</v>
      </c>
      <c r="B17" s="947"/>
      <c r="C17" s="947"/>
      <c r="D17" s="947"/>
      <c r="E17" s="948"/>
      <c r="F17" s="755">
        <v>1.6</v>
      </c>
      <c r="G17" s="756"/>
      <c r="H17" s="955">
        <v>1.34</v>
      </c>
      <c r="I17" s="956"/>
    </row>
    <row r="18" spans="1:13" ht="15.75">
      <c r="A18" s="946"/>
      <c r="B18" s="947"/>
      <c r="C18" s="947"/>
      <c r="D18" s="947"/>
      <c r="E18" s="948"/>
      <c r="F18" s="735"/>
      <c r="G18" s="757"/>
      <c r="H18" s="946"/>
      <c r="I18" s="948"/>
    </row>
    <row r="19" spans="1:13" ht="15.75">
      <c r="A19" s="946"/>
      <c r="B19" s="947"/>
      <c r="C19" s="947"/>
      <c r="D19" s="947"/>
      <c r="E19" s="948"/>
      <c r="F19" s="735"/>
      <c r="G19" s="757"/>
      <c r="H19" s="946"/>
      <c r="I19" s="948"/>
    </row>
    <row r="20" spans="1:13" ht="15.75" customHeight="1">
      <c r="A20" s="946" t="s">
        <v>1001</v>
      </c>
      <c r="B20" s="947"/>
      <c r="C20" s="947"/>
      <c r="D20" s="947"/>
      <c r="E20" s="948"/>
      <c r="F20" s="755">
        <v>0.5</v>
      </c>
      <c r="G20" s="756"/>
      <c r="H20" s="953">
        <v>0.56000000000000005</v>
      </c>
      <c r="I20" s="954"/>
    </row>
    <row r="21" spans="1:13" ht="15.75">
      <c r="A21" s="946"/>
      <c r="B21" s="947"/>
      <c r="C21" s="947"/>
      <c r="D21" s="947"/>
      <c r="E21" s="948"/>
      <c r="F21" s="735"/>
      <c r="G21" s="757"/>
      <c r="H21" s="951"/>
      <c r="I21" s="952"/>
    </row>
    <row r="22" spans="1:13" ht="15.75">
      <c r="A22" s="946"/>
      <c r="B22" s="947"/>
      <c r="C22" s="947"/>
      <c r="D22" s="947"/>
      <c r="E22" s="948"/>
      <c r="F22" s="735"/>
      <c r="G22" s="757"/>
      <c r="H22" s="951"/>
      <c r="I22" s="952"/>
    </row>
    <row r="23" spans="1:13" ht="15.75" customHeight="1">
      <c r="A23" s="946" t="s">
        <v>1002</v>
      </c>
      <c r="B23" s="947"/>
      <c r="C23" s="947"/>
      <c r="D23" s="947"/>
      <c r="E23" s="948"/>
      <c r="F23" s="758">
        <v>0.24</v>
      </c>
      <c r="G23" s="759"/>
      <c r="H23" s="949">
        <v>0.22</v>
      </c>
      <c r="I23" s="950"/>
    </row>
    <row r="24" spans="1:13" ht="15.75">
      <c r="A24" s="946"/>
      <c r="B24" s="947"/>
      <c r="C24" s="947"/>
      <c r="D24" s="947"/>
      <c r="E24" s="948"/>
      <c r="F24" s="735"/>
      <c r="G24" s="757"/>
      <c r="H24" s="951"/>
      <c r="I24" s="952"/>
    </row>
    <row r="25" spans="1:13" ht="13.5" thickBot="1">
      <c r="A25" s="951"/>
      <c r="B25" s="937"/>
      <c r="C25" s="937"/>
      <c r="D25" s="937"/>
      <c r="E25" s="952"/>
      <c r="F25" s="951"/>
      <c r="G25" s="952"/>
      <c r="H25" s="951"/>
      <c r="I25" s="952"/>
    </row>
    <row r="26" spans="1:13">
      <c r="A26" s="760"/>
      <c r="B26" s="761"/>
      <c r="C26" s="761"/>
      <c r="D26" s="761"/>
      <c r="E26" s="945"/>
      <c r="F26" s="945"/>
      <c r="G26" s="945"/>
      <c r="H26" s="945"/>
      <c r="I26" s="762"/>
      <c r="L26" s="795"/>
      <c r="M26" s="796"/>
    </row>
    <row r="27" spans="1:13" ht="12.75" customHeight="1">
      <c r="A27" s="763"/>
      <c r="B27" s="743"/>
      <c r="C27" s="743"/>
      <c r="D27" s="743"/>
      <c r="E27" s="937"/>
      <c r="F27" s="937"/>
      <c r="G27" s="943" t="s">
        <v>1003</v>
      </c>
      <c r="H27" s="943"/>
      <c r="I27" s="944"/>
      <c r="L27" s="795"/>
      <c r="M27" s="797"/>
    </row>
    <row r="28" spans="1:13" ht="12.75" customHeight="1">
      <c r="A28" s="763"/>
      <c r="B28" s="743"/>
      <c r="C28" s="743"/>
      <c r="D28" s="743"/>
      <c r="E28" s="937"/>
      <c r="F28" s="937"/>
      <c r="G28" s="938" t="s">
        <v>1004</v>
      </c>
      <c r="H28" s="938"/>
      <c r="I28" s="764"/>
      <c r="L28" s="795"/>
      <c r="M28" s="796"/>
    </row>
    <row r="29" spans="1:13" ht="26.25" thickBot="1">
      <c r="A29" s="765" t="s">
        <v>1005</v>
      </c>
      <c r="B29" s="766" t="s">
        <v>1006</v>
      </c>
      <c r="C29" s="767" t="s">
        <v>1007</v>
      </c>
      <c r="D29" s="766" t="s">
        <v>1008</v>
      </c>
      <c r="E29" s="940" t="s">
        <v>1009</v>
      </c>
      <c r="F29" s="940"/>
      <c r="G29" s="941" t="s">
        <v>1010</v>
      </c>
      <c r="H29" s="941"/>
      <c r="I29" s="764"/>
      <c r="L29" s="795"/>
      <c r="M29" s="796"/>
    </row>
    <row r="30" spans="1:13" ht="25.5">
      <c r="A30" s="763"/>
      <c r="B30" s="743" t="s">
        <v>1011</v>
      </c>
      <c r="C30" s="743"/>
      <c r="D30" s="743" t="s">
        <v>776</v>
      </c>
      <c r="E30" s="937"/>
      <c r="F30" s="937"/>
      <c r="G30" s="942" t="s">
        <v>776</v>
      </c>
      <c r="H30" s="942"/>
      <c r="I30" s="764"/>
      <c r="L30" s="795"/>
      <c r="M30" s="797"/>
    </row>
    <row r="31" spans="1:13" ht="12.75" customHeight="1">
      <c r="A31" s="763"/>
      <c r="B31" s="743"/>
      <c r="C31" s="743"/>
      <c r="D31" s="743"/>
      <c r="E31" s="937"/>
      <c r="F31" s="937"/>
      <c r="G31" s="943" t="s">
        <v>1012</v>
      </c>
      <c r="H31" s="943"/>
      <c r="I31" s="944"/>
      <c r="L31" s="795"/>
      <c r="M31" s="796"/>
    </row>
    <row r="32" spans="1:13" ht="12.75" customHeight="1">
      <c r="A32" s="763"/>
      <c r="B32" s="743"/>
      <c r="C32" s="743"/>
      <c r="D32" s="743"/>
      <c r="E32" s="937"/>
      <c r="F32" s="937"/>
      <c r="G32" s="938" t="s">
        <v>1013</v>
      </c>
      <c r="H32" s="938"/>
      <c r="I32" s="764"/>
      <c r="L32" s="795"/>
      <c r="M32" s="796"/>
    </row>
    <row r="33" spans="1:13" ht="13.5" thickBot="1">
      <c r="A33" s="768"/>
      <c r="B33" s="769"/>
      <c r="C33" s="769"/>
      <c r="D33" s="769"/>
      <c r="E33" s="939"/>
      <c r="F33" s="939"/>
      <c r="G33" s="939"/>
      <c r="H33" s="939"/>
      <c r="I33" s="770"/>
      <c r="L33" s="795"/>
      <c r="M33" s="796"/>
    </row>
    <row r="34" spans="1:13">
      <c r="A34" s="748"/>
      <c r="B34" s="748"/>
      <c r="C34" s="748"/>
      <c r="D34" s="748"/>
      <c r="E34" s="748"/>
      <c r="F34" s="748"/>
      <c r="G34" s="748"/>
      <c r="H34" s="748"/>
      <c r="I34" s="748"/>
      <c r="L34" s="795"/>
      <c r="M34" s="797"/>
    </row>
    <row r="35" spans="1:13" ht="24" customHeight="1">
      <c r="A35" s="754"/>
      <c r="L35" s="795"/>
      <c r="M35" s="796"/>
    </row>
    <row r="36" spans="1:13" ht="21.75" customHeight="1">
      <c r="L36" s="795"/>
      <c r="M36" s="796"/>
    </row>
    <row r="37" spans="1:13" ht="30.75" customHeight="1"/>
    <row r="38" spans="1:13">
      <c r="A38" s="935" t="s">
        <v>720</v>
      </c>
      <c r="B38" s="935"/>
      <c r="D38" s="771"/>
      <c r="E38" s="771" t="s">
        <v>721</v>
      </c>
      <c r="F38" s="771"/>
      <c r="G38" s="771"/>
    </row>
    <row r="39" spans="1:13">
      <c r="A39" s="935" t="s">
        <v>607</v>
      </c>
      <c r="B39" s="935"/>
      <c r="D39" s="771"/>
      <c r="E39" s="935" t="s">
        <v>996</v>
      </c>
      <c r="F39" s="935"/>
      <c r="G39" s="935"/>
    </row>
    <row r="40" spans="1:13">
      <c r="A40" s="772"/>
      <c r="D40" s="772"/>
    </row>
    <row r="41" spans="1:13" s="708" customFormat="1" ht="22.5" customHeight="1">
      <c r="A41" s="772"/>
      <c r="D41" s="772"/>
      <c r="L41" s="793"/>
    </row>
    <row r="42" spans="1:13" s="708" customFormat="1" ht="30.75" customHeight="1">
      <c r="A42" s="772"/>
      <c r="D42" s="772"/>
      <c r="L42" s="793"/>
    </row>
    <row r="43" spans="1:13" s="708" customFormat="1">
      <c r="B43" s="772"/>
      <c r="G43" s="772"/>
      <c r="L43" s="793"/>
    </row>
    <row r="44" spans="1:13" s="708" customFormat="1">
      <c r="A44" s="772"/>
      <c r="L44" s="793"/>
    </row>
    <row r="45" spans="1:13" s="708" customFormat="1">
      <c r="A45" s="935" t="str">
        <f>'[1]Anexo I'!B46</f>
        <v>Dr. Raul Fernando Vargas</v>
      </c>
      <c r="B45" s="935"/>
      <c r="E45" s="935" t="s">
        <v>610</v>
      </c>
      <c r="F45" s="935"/>
      <c r="G45" s="935"/>
      <c r="L45" s="793"/>
    </row>
    <row r="46" spans="1:13" s="708" customFormat="1" ht="15.75">
      <c r="A46" s="936" t="s">
        <v>1014</v>
      </c>
      <c r="B46" s="936"/>
      <c r="E46" s="935" t="s">
        <v>698</v>
      </c>
      <c r="F46" s="935"/>
      <c r="G46" s="935"/>
      <c r="L46" s="793"/>
    </row>
    <row r="47" spans="1:13" s="708" customFormat="1">
      <c r="L47" s="793"/>
    </row>
    <row r="48" spans="1:13" s="708" customFormat="1">
      <c r="L48" s="793"/>
    </row>
    <row r="49" spans="12:12" s="708" customFormat="1">
      <c r="L49" s="793"/>
    </row>
    <row r="50" spans="12:12" s="708" customFormat="1">
      <c r="L50" s="793"/>
    </row>
    <row r="51" spans="12:12" s="708" customFormat="1">
      <c r="L51" s="793"/>
    </row>
  </sheetData>
  <mergeCells count="59">
    <mergeCell ref="A4:H4"/>
    <mergeCell ref="A6:I6"/>
    <mergeCell ref="A7:I7"/>
    <mergeCell ref="A9:I9"/>
    <mergeCell ref="A13:E14"/>
    <mergeCell ref="F13:G13"/>
    <mergeCell ref="H13:I13"/>
    <mergeCell ref="F14:G14"/>
    <mergeCell ref="H14:I14"/>
    <mergeCell ref="A12:E12"/>
    <mergeCell ref="F12:I12"/>
    <mergeCell ref="A15:E15"/>
    <mergeCell ref="F15:G15"/>
    <mergeCell ref="H15:I15"/>
    <mergeCell ref="A16:E16"/>
    <mergeCell ref="F16:G16"/>
    <mergeCell ref="H16:I16"/>
    <mergeCell ref="A17:E17"/>
    <mergeCell ref="H17:I17"/>
    <mergeCell ref="A18:E18"/>
    <mergeCell ref="H18:I18"/>
    <mergeCell ref="A19:E19"/>
    <mergeCell ref="H19:I19"/>
    <mergeCell ref="A20:E20"/>
    <mergeCell ref="H20:I20"/>
    <mergeCell ref="A21:E21"/>
    <mergeCell ref="H21:I21"/>
    <mergeCell ref="A22:E22"/>
    <mergeCell ref="H22:I22"/>
    <mergeCell ref="A23:E23"/>
    <mergeCell ref="H23:I23"/>
    <mergeCell ref="A24:E24"/>
    <mergeCell ref="H24:I24"/>
    <mergeCell ref="A25:E25"/>
    <mergeCell ref="F25:G25"/>
    <mergeCell ref="H25:I25"/>
    <mergeCell ref="E26:F26"/>
    <mergeCell ref="G26:H26"/>
    <mergeCell ref="E27:F27"/>
    <mergeCell ref="G27:I27"/>
    <mergeCell ref="E28:F28"/>
    <mergeCell ref="G28:H28"/>
    <mergeCell ref="E29:F29"/>
    <mergeCell ref="G29:H29"/>
    <mergeCell ref="E30:F30"/>
    <mergeCell ref="G30:H30"/>
    <mergeCell ref="E31:F31"/>
    <mergeCell ref="G31:I31"/>
    <mergeCell ref="A45:B45"/>
    <mergeCell ref="E45:G45"/>
    <mergeCell ref="A46:B46"/>
    <mergeCell ref="E46:G46"/>
    <mergeCell ref="E32:F32"/>
    <mergeCell ref="G32:H32"/>
    <mergeCell ref="E33:F33"/>
    <mergeCell ref="G33:H33"/>
    <mergeCell ref="A38:B38"/>
    <mergeCell ref="A39:B39"/>
    <mergeCell ref="E39:G39"/>
  </mergeCells>
  <printOptions horizontalCentered="1"/>
  <pageMargins left="0.98425196850393704" right="0.78740157480314965" top="1.9685039370078741" bottom="0.98425196850393704" header="0" footer="0"/>
  <pageSetup paperSize="5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5"/>
  <sheetViews>
    <sheetView showGridLines="0" zoomScaleNormal="100" workbookViewId="0">
      <selection activeCell="A277" sqref="A277"/>
    </sheetView>
  </sheetViews>
  <sheetFormatPr baseColWidth="10" defaultColWidth="12.5703125" defaultRowHeight="15"/>
  <cols>
    <col min="1" max="1" width="59.28515625" style="305" customWidth="1"/>
    <col min="2" max="2" width="1.140625" style="305" customWidth="1"/>
    <col min="3" max="3" width="20.5703125" style="429" customWidth="1"/>
    <col min="4" max="4" width="1.85546875" style="305" customWidth="1"/>
    <col min="5" max="5" width="19.7109375" style="305" customWidth="1"/>
    <col min="6" max="6" width="1.42578125" style="305" customWidth="1"/>
    <col min="7" max="7" width="18.5703125" style="305" hidden="1" customWidth="1"/>
    <col min="8" max="8" width="1" style="305" customWidth="1"/>
    <col min="9" max="9" width="18.5703125" style="305" hidden="1" customWidth="1"/>
    <col min="10" max="10" width="1" style="305" hidden="1" customWidth="1"/>
    <col min="11" max="11" width="18.5703125" style="305" hidden="1" customWidth="1"/>
    <col min="12" max="12" width="1" style="305" hidden="1" customWidth="1"/>
    <col min="13" max="13" width="18.5703125" style="305" hidden="1" customWidth="1"/>
    <col min="14" max="14" width="1" style="305" hidden="1" customWidth="1"/>
    <col min="15" max="15" width="18.5703125" style="305" hidden="1" customWidth="1"/>
    <col min="16" max="16" width="25.42578125" style="305" customWidth="1"/>
    <col min="17" max="17" width="28.5703125" style="305" bestFit="1" customWidth="1"/>
    <col min="18" max="18" width="12.5703125" style="305" hidden="1" customWidth="1"/>
    <col min="19" max="254" width="12.5703125" style="305"/>
    <col min="255" max="255" width="59.28515625" style="305" customWidth="1"/>
    <col min="256" max="256" width="1.140625" style="305" customWidth="1"/>
    <col min="257" max="257" width="18.5703125" style="305" customWidth="1"/>
    <col min="258" max="258" width="1.85546875" style="305" customWidth="1"/>
    <col min="259" max="259" width="19.7109375" style="305" customWidth="1"/>
    <col min="260" max="260" width="1.42578125" style="305" customWidth="1"/>
    <col min="261" max="261" width="0" style="305" hidden="1" customWidth="1"/>
    <col min="262" max="262" width="1" style="305" customWidth="1"/>
    <col min="263" max="269" width="0" style="305" hidden="1" customWidth="1"/>
    <col min="270" max="271" width="20.28515625" style="305" customWidth="1"/>
    <col min="272" max="272" width="7.28515625" style="305" customWidth="1"/>
    <col min="273" max="273" width="28.5703125" style="305" bestFit="1" customWidth="1"/>
    <col min="274" max="274" width="0" style="305" hidden="1" customWidth="1"/>
    <col min="275" max="510" width="12.5703125" style="305"/>
    <col min="511" max="511" width="59.28515625" style="305" customWidth="1"/>
    <col min="512" max="512" width="1.140625" style="305" customWidth="1"/>
    <col min="513" max="513" width="18.5703125" style="305" customWidth="1"/>
    <col min="514" max="514" width="1.85546875" style="305" customWidth="1"/>
    <col min="515" max="515" width="19.7109375" style="305" customWidth="1"/>
    <col min="516" max="516" width="1.42578125" style="305" customWidth="1"/>
    <col min="517" max="517" width="0" style="305" hidden="1" customWidth="1"/>
    <col min="518" max="518" width="1" style="305" customWidth="1"/>
    <col min="519" max="525" width="0" style="305" hidden="1" customWidth="1"/>
    <col min="526" max="527" width="20.28515625" style="305" customWidth="1"/>
    <col min="528" max="528" width="7.28515625" style="305" customWidth="1"/>
    <col min="529" max="529" width="28.5703125" style="305" bestFit="1" customWidth="1"/>
    <col min="530" max="530" width="0" style="305" hidden="1" customWidth="1"/>
    <col min="531" max="766" width="12.5703125" style="305"/>
    <col min="767" max="767" width="59.28515625" style="305" customWidth="1"/>
    <col min="768" max="768" width="1.140625" style="305" customWidth="1"/>
    <col min="769" max="769" width="18.5703125" style="305" customWidth="1"/>
    <col min="770" max="770" width="1.85546875" style="305" customWidth="1"/>
    <col min="771" max="771" width="19.7109375" style="305" customWidth="1"/>
    <col min="772" max="772" width="1.42578125" style="305" customWidth="1"/>
    <col min="773" max="773" width="0" style="305" hidden="1" customWidth="1"/>
    <col min="774" max="774" width="1" style="305" customWidth="1"/>
    <col min="775" max="781" width="0" style="305" hidden="1" customWidth="1"/>
    <col min="782" max="783" width="20.28515625" style="305" customWidth="1"/>
    <col min="784" max="784" width="7.28515625" style="305" customWidth="1"/>
    <col min="785" max="785" width="28.5703125" style="305" bestFit="1" customWidth="1"/>
    <col min="786" max="786" width="0" style="305" hidden="1" customWidth="1"/>
    <col min="787" max="1022" width="12.5703125" style="305"/>
    <col min="1023" max="1023" width="59.28515625" style="305" customWidth="1"/>
    <col min="1024" max="1024" width="1.140625" style="305" customWidth="1"/>
    <col min="1025" max="1025" width="18.5703125" style="305" customWidth="1"/>
    <col min="1026" max="1026" width="1.85546875" style="305" customWidth="1"/>
    <col min="1027" max="1027" width="19.7109375" style="305" customWidth="1"/>
    <col min="1028" max="1028" width="1.42578125" style="305" customWidth="1"/>
    <col min="1029" max="1029" width="0" style="305" hidden="1" customWidth="1"/>
    <col min="1030" max="1030" width="1" style="305" customWidth="1"/>
    <col min="1031" max="1037" width="0" style="305" hidden="1" customWidth="1"/>
    <col min="1038" max="1039" width="20.28515625" style="305" customWidth="1"/>
    <col min="1040" max="1040" width="7.28515625" style="305" customWidth="1"/>
    <col min="1041" max="1041" width="28.5703125" style="305" bestFit="1" customWidth="1"/>
    <col min="1042" max="1042" width="0" style="305" hidden="1" customWidth="1"/>
    <col min="1043" max="1278" width="12.5703125" style="305"/>
    <col min="1279" max="1279" width="59.28515625" style="305" customWidth="1"/>
    <col min="1280" max="1280" width="1.140625" style="305" customWidth="1"/>
    <col min="1281" max="1281" width="18.5703125" style="305" customWidth="1"/>
    <col min="1282" max="1282" width="1.85546875" style="305" customWidth="1"/>
    <col min="1283" max="1283" width="19.7109375" style="305" customWidth="1"/>
    <col min="1284" max="1284" width="1.42578125" style="305" customWidth="1"/>
    <col min="1285" max="1285" width="0" style="305" hidden="1" customWidth="1"/>
    <col min="1286" max="1286" width="1" style="305" customWidth="1"/>
    <col min="1287" max="1293" width="0" style="305" hidden="1" customWidth="1"/>
    <col min="1294" max="1295" width="20.28515625" style="305" customWidth="1"/>
    <col min="1296" max="1296" width="7.28515625" style="305" customWidth="1"/>
    <col min="1297" max="1297" width="28.5703125" style="305" bestFit="1" customWidth="1"/>
    <col min="1298" max="1298" width="0" style="305" hidden="1" customWidth="1"/>
    <col min="1299" max="1534" width="12.5703125" style="305"/>
    <col min="1535" max="1535" width="59.28515625" style="305" customWidth="1"/>
    <col min="1536" max="1536" width="1.140625" style="305" customWidth="1"/>
    <col min="1537" max="1537" width="18.5703125" style="305" customWidth="1"/>
    <col min="1538" max="1538" width="1.85546875" style="305" customWidth="1"/>
    <col min="1539" max="1539" width="19.7109375" style="305" customWidth="1"/>
    <col min="1540" max="1540" width="1.42578125" style="305" customWidth="1"/>
    <col min="1541" max="1541" width="0" style="305" hidden="1" customWidth="1"/>
    <col min="1542" max="1542" width="1" style="305" customWidth="1"/>
    <col min="1543" max="1549" width="0" style="305" hidden="1" customWidth="1"/>
    <col min="1550" max="1551" width="20.28515625" style="305" customWidth="1"/>
    <col min="1552" max="1552" width="7.28515625" style="305" customWidth="1"/>
    <col min="1553" max="1553" width="28.5703125" style="305" bestFit="1" customWidth="1"/>
    <col min="1554" max="1554" width="0" style="305" hidden="1" customWidth="1"/>
    <col min="1555" max="1790" width="12.5703125" style="305"/>
    <col min="1791" max="1791" width="59.28515625" style="305" customWidth="1"/>
    <col min="1792" max="1792" width="1.140625" style="305" customWidth="1"/>
    <col min="1793" max="1793" width="18.5703125" style="305" customWidth="1"/>
    <col min="1794" max="1794" width="1.85546875" style="305" customWidth="1"/>
    <col min="1795" max="1795" width="19.7109375" style="305" customWidth="1"/>
    <col min="1796" max="1796" width="1.42578125" style="305" customWidth="1"/>
    <col min="1797" max="1797" width="0" style="305" hidden="1" customWidth="1"/>
    <col min="1798" max="1798" width="1" style="305" customWidth="1"/>
    <col min="1799" max="1805" width="0" style="305" hidden="1" customWidth="1"/>
    <col min="1806" max="1807" width="20.28515625" style="305" customWidth="1"/>
    <col min="1808" max="1808" width="7.28515625" style="305" customWidth="1"/>
    <col min="1809" max="1809" width="28.5703125" style="305" bestFit="1" customWidth="1"/>
    <col min="1810" max="1810" width="0" style="305" hidden="1" customWidth="1"/>
    <col min="1811" max="2046" width="12.5703125" style="305"/>
    <col min="2047" max="2047" width="59.28515625" style="305" customWidth="1"/>
    <col min="2048" max="2048" width="1.140625" style="305" customWidth="1"/>
    <col min="2049" max="2049" width="18.5703125" style="305" customWidth="1"/>
    <col min="2050" max="2050" width="1.85546875" style="305" customWidth="1"/>
    <col min="2051" max="2051" width="19.7109375" style="305" customWidth="1"/>
    <col min="2052" max="2052" width="1.42578125" style="305" customWidth="1"/>
    <col min="2053" max="2053" width="0" style="305" hidden="1" customWidth="1"/>
    <col min="2054" max="2054" width="1" style="305" customWidth="1"/>
    <col min="2055" max="2061" width="0" style="305" hidden="1" customWidth="1"/>
    <col min="2062" max="2063" width="20.28515625" style="305" customWidth="1"/>
    <col min="2064" max="2064" width="7.28515625" style="305" customWidth="1"/>
    <col min="2065" max="2065" width="28.5703125" style="305" bestFit="1" customWidth="1"/>
    <col min="2066" max="2066" width="0" style="305" hidden="1" customWidth="1"/>
    <col min="2067" max="2302" width="12.5703125" style="305"/>
    <col min="2303" max="2303" width="59.28515625" style="305" customWidth="1"/>
    <col min="2304" max="2304" width="1.140625" style="305" customWidth="1"/>
    <col min="2305" max="2305" width="18.5703125" style="305" customWidth="1"/>
    <col min="2306" max="2306" width="1.85546875" style="305" customWidth="1"/>
    <col min="2307" max="2307" width="19.7109375" style="305" customWidth="1"/>
    <col min="2308" max="2308" width="1.42578125" style="305" customWidth="1"/>
    <col min="2309" max="2309" width="0" style="305" hidden="1" customWidth="1"/>
    <col min="2310" max="2310" width="1" style="305" customWidth="1"/>
    <col min="2311" max="2317" width="0" style="305" hidden="1" customWidth="1"/>
    <col min="2318" max="2319" width="20.28515625" style="305" customWidth="1"/>
    <col min="2320" max="2320" width="7.28515625" style="305" customWidth="1"/>
    <col min="2321" max="2321" width="28.5703125" style="305" bestFit="1" customWidth="1"/>
    <col min="2322" max="2322" width="0" style="305" hidden="1" customWidth="1"/>
    <col min="2323" max="2558" width="12.5703125" style="305"/>
    <col min="2559" max="2559" width="59.28515625" style="305" customWidth="1"/>
    <col min="2560" max="2560" width="1.140625" style="305" customWidth="1"/>
    <col min="2561" max="2561" width="18.5703125" style="305" customWidth="1"/>
    <col min="2562" max="2562" width="1.85546875" style="305" customWidth="1"/>
    <col min="2563" max="2563" width="19.7109375" style="305" customWidth="1"/>
    <col min="2564" max="2564" width="1.42578125" style="305" customWidth="1"/>
    <col min="2565" max="2565" width="0" style="305" hidden="1" customWidth="1"/>
    <col min="2566" max="2566" width="1" style="305" customWidth="1"/>
    <col min="2567" max="2573" width="0" style="305" hidden="1" customWidth="1"/>
    <col min="2574" max="2575" width="20.28515625" style="305" customWidth="1"/>
    <col min="2576" max="2576" width="7.28515625" style="305" customWidth="1"/>
    <col min="2577" max="2577" width="28.5703125" style="305" bestFit="1" customWidth="1"/>
    <col min="2578" max="2578" width="0" style="305" hidden="1" customWidth="1"/>
    <col min="2579" max="2814" width="12.5703125" style="305"/>
    <col min="2815" max="2815" width="59.28515625" style="305" customWidth="1"/>
    <col min="2816" max="2816" width="1.140625" style="305" customWidth="1"/>
    <col min="2817" max="2817" width="18.5703125" style="305" customWidth="1"/>
    <col min="2818" max="2818" width="1.85546875" style="305" customWidth="1"/>
    <col min="2819" max="2819" width="19.7109375" style="305" customWidth="1"/>
    <col min="2820" max="2820" width="1.42578125" style="305" customWidth="1"/>
    <col min="2821" max="2821" width="0" style="305" hidden="1" customWidth="1"/>
    <col min="2822" max="2822" width="1" style="305" customWidth="1"/>
    <col min="2823" max="2829" width="0" style="305" hidden="1" customWidth="1"/>
    <col min="2830" max="2831" width="20.28515625" style="305" customWidth="1"/>
    <col min="2832" max="2832" width="7.28515625" style="305" customWidth="1"/>
    <col min="2833" max="2833" width="28.5703125" style="305" bestFit="1" customWidth="1"/>
    <col min="2834" max="2834" width="0" style="305" hidden="1" customWidth="1"/>
    <col min="2835" max="3070" width="12.5703125" style="305"/>
    <col min="3071" max="3071" width="59.28515625" style="305" customWidth="1"/>
    <col min="3072" max="3072" width="1.140625" style="305" customWidth="1"/>
    <col min="3073" max="3073" width="18.5703125" style="305" customWidth="1"/>
    <col min="3074" max="3074" width="1.85546875" style="305" customWidth="1"/>
    <col min="3075" max="3075" width="19.7109375" style="305" customWidth="1"/>
    <col min="3076" max="3076" width="1.42578125" style="305" customWidth="1"/>
    <col min="3077" max="3077" width="0" style="305" hidden="1" customWidth="1"/>
    <col min="3078" max="3078" width="1" style="305" customWidth="1"/>
    <col min="3079" max="3085" width="0" style="305" hidden="1" customWidth="1"/>
    <col min="3086" max="3087" width="20.28515625" style="305" customWidth="1"/>
    <col min="3088" max="3088" width="7.28515625" style="305" customWidth="1"/>
    <col min="3089" max="3089" width="28.5703125" style="305" bestFit="1" customWidth="1"/>
    <col min="3090" max="3090" width="0" style="305" hidden="1" customWidth="1"/>
    <col min="3091" max="3326" width="12.5703125" style="305"/>
    <col min="3327" max="3327" width="59.28515625" style="305" customWidth="1"/>
    <col min="3328" max="3328" width="1.140625" style="305" customWidth="1"/>
    <col min="3329" max="3329" width="18.5703125" style="305" customWidth="1"/>
    <col min="3330" max="3330" width="1.85546875" style="305" customWidth="1"/>
    <col min="3331" max="3331" width="19.7109375" style="305" customWidth="1"/>
    <col min="3332" max="3332" width="1.42578125" style="305" customWidth="1"/>
    <col min="3333" max="3333" width="0" style="305" hidden="1" customWidth="1"/>
    <col min="3334" max="3334" width="1" style="305" customWidth="1"/>
    <col min="3335" max="3341" width="0" style="305" hidden="1" customWidth="1"/>
    <col min="3342" max="3343" width="20.28515625" style="305" customWidth="1"/>
    <col min="3344" max="3344" width="7.28515625" style="305" customWidth="1"/>
    <col min="3345" max="3345" width="28.5703125" style="305" bestFit="1" customWidth="1"/>
    <col min="3346" max="3346" width="0" style="305" hidden="1" customWidth="1"/>
    <col min="3347" max="3582" width="12.5703125" style="305"/>
    <col min="3583" max="3583" width="59.28515625" style="305" customWidth="1"/>
    <col min="3584" max="3584" width="1.140625" style="305" customWidth="1"/>
    <col min="3585" max="3585" width="18.5703125" style="305" customWidth="1"/>
    <col min="3586" max="3586" width="1.85546875" style="305" customWidth="1"/>
    <col min="3587" max="3587" width="19.7109375" style="305" customWidth="1"/>
    <col min="3588" max="3588" width="1.42578125" style="305" customWidth="1"/>
    <col min="3589" max="3589" width="0" style="305" hidden="1" customWidth="1"/>
    <col min="3590" max="3590" width="1" style="305" customWidth="1"/>
    <col min="3591" max="3597" width="0" style="305" hidden="1" customWidth="1"/>
    <col min="3598" max="3599" width="20.28515625" style="305" customWidth="1"/>
    <col min="3600" max="3600" width="7.28515625" style="305" customWidth="1"/>
    <col min="3601" max="3601" width="28.5703125" style="305" bestFit="1" customWidth="1"/>
    <col min="3602" max="3602" width="0" style="305" hidden="1" customWidth="1"/>
    <col min="3603" max="3838" width="12.5703125" style="305"/>
    <col min="3839" max="3839" width="59.28515625" style="305" customWidth="1"/>
    <col min="3840" max="3840" width="1.140625" style="305" customWidth="1"/>
    <col min="3841" max="3841" width="18.5703125" style="305" customWidth="1"/>
    <col min="3842" max="3842" width="1.85546875" style="305" customWidth="1"/>
    <col min="3843" max="3843" width="19.7109375" style="305" customWidth="1"/>
    <col min="3844" max="3844" width="1.42578125" style="305" customWidth="1"/>
    <col min="3845" max="3845" width="0" style="305" hidden="1" customWidth="1"/>
    <col min="3846" max="3846" width="1" style="305" customWidth="1"/>
    <col min="3847" max="3853" width="0" style="305" hidden="1" customWidth="1"/>
    <col min="3854" max="3855" width="20.28515625" style="305" customWidth="1"/>
    <col min="3856" max="3856" width="7.28515625" style="305" customWidth="1"/>
    <col min="3857" max="3857" width="28.5703125" style="305" bestFit="1" customWidth="1"/>
    <col min="3858" max="3858" width="0" style="305" hidden="1" customWidth="1"/>
    <col min="3859" max="4094" width="12.5703125" style="305"/>
    <col min="4095" max="4095" width="59.28515625" style="305" customWidth="1"/>
    <col min="4096" max="4096" width="1.140625" style="305" customWidth="1"/>
    <col min="4097" max="4097" width="18.5703125" style="305" customWidth="1"/>
    <col min="4098" max="4098" width="1.85546875" style="305" customWidth="1"/>
    <col min="4099" max="4099" width="19.7109375" style="305" customWidth="1"/>
    <col min="4100" max="4100" width="1.42578125" style="305" customWidth="1"/>
    <col min="4101" max="4101" width="0" style="305" hidden="1" customWidth="1"/>
    <col min="4102" max="4102" width="1" style="305" customWidth="1"/>
    <col min="4103" max="4109" width="0" style="305" hidden="1" customWidth="1"/>
    <col min="4110" max="4111" width="20.28515625" style="305" customWidth="1"/>
    <col min="4112" max="4112" width="7.28515625" style="305" customWidth="1"/>
    <col min="4113" max="4113" width="28.5703125" style="305" bestFit="1" customWidth="1"/>
    <col min="4114" max="4114" width="0" style="305" hidden="1" customWidth="1"/>
    <col min="4115" max="4350" width="12.5703125" style="305"/>
    <col min="4351" max="4351" width="59.28515625" style="305" customWidth="1"/>
    <col min="4352" max="4352" width="1.140625" style="305" customWidth="1"/>
    <col min="4353" max="4353" width="18.5703125" style="305" customWidth="1"/>
    <col min="4354" max="4354" width="1.85546875" style="305" customWidth="1"/>
    <col min="4355" max="4355" width="19.7109375" style="305" customWidth="1"/>
    <col min="4356" max="4356" width="1.42578125" style="305" customWidth="1"/>
    <col min="4357" max="4357" width="0" style="305" hidden="1" customWidth="1"/>
    <col min="4358" max="4358" width="1" style="305" customWidth="1"/>
    <col min="4359" max="4365" width="0" style="305" hidden="1" customWidth="1"/>
    <col min="4366" max="4367" width="20.28515625" style="305" customWidth="1"/>
    <col min="4368" max="4368" width="7.28515625" style="305" customWidth="1"/>
    <col min="4369" max="4369" width="28.5703125" style="305" bestFit="1" customWidth="1"/>
    <col min="4370" max="4370" width="0" style="305" hidden="1" customWidth="1"/>
    <col min="4371" max="4606" width="12.5703125" style="305"/>
    <col min="4607" max="4607" width="59.28515625" style="305" customWidth="1"/>
    <col min="4608" max="4608" width="1.140625" style="305" customWidth="1"/>
    <col min="4609" max="4609" width="18.5703125" style="305" customWidth="1"/>
    <col min="4610" max="4610" width="1.85546875" style="305" customWidth="1"/>
    <col min="4611" max="4611" width="19.7109375" style="305" customWidth="1"/>
    <col min="4612" max="4612" width="1.42578125" style="305" customWidth="1"/>
    <col min="4613" max="4613" width="0" style="305" hidden="1" customWidth="1"/>
    <col min="4614" max="4614" width="1" style="305" customWidth="1"/>
    <col min="4615" max="4621" width="0" style="305" hidden="1" customWidth="1"/>
    <col min="4622" max="4623" width="20.28515625" style="305" customWidth="1"/>
    <col min="4624" max="4624" width="7.28515625" style="305" customWidth="1"/>
    <col min="4625" max="4625" width="28.5703125" style="305" bestFit="1" customWidth="1"/>
    <col min="4626" max="4626" width="0" style="305" hidden="1" customWidth="1"/>
    <col min="4627" max="4862" width="12.5703125" style="305"/>
    <col min="4863" max="4863" width="59.28515625" style="305" customWidth="1"/>
    <col min="4864" max="4864" width="1.140625" style="305" customWidth="1"/>
    <col min="4865" max="4865" width="18.5703125" style="305" customWidth="1"/>
    <col min="4866" max="4866" width="1.85546875" style="305" customWidth="1"/>
    <col min="4867" max="4867" width="19.7109375" style="305" customWidth="1"/>
    <col min="4868" max="4868" width="1.42578125" style="305" customWidth="1"/>
    <col min="4869" max="4869" width="0" style="305" hidden="1" customWidth="1"/>
    <col min="4870" max="4870" width="1" style="305" customWidth="1"/>
    <col min="4871" max="4877" width="0" style="305" hidden="1" customWidth="1"/>
    <col min="4878" max="4879" width="20.28515625" style="305" customWidth="1"/>
    <col min="4880" max="4880" width="7.28515625" style="305" customWidth="1"/>
    <col min="4881" max="4881" width="28.5703125" style="305" bestFit="1" customWidth="1"/>
    <col min="4882" max="4882" width="0" style="305" hidden="1" customWidth="1"/>
    <col min="4883" max="5118" width="12.5703125" style="305"/>
    <col min="5119" max="5119" width="59.28515625" style="305" customWidth="1"/>
    <col min="5120" max="5120" width="1.140625" style="305" customWidth="1"/>
    <col min="5121" max="5121" width="18.5703125" style="305" customWidth="1"/>
    <col min="5122" max="5122" width="1.85546875" style="305" customWidth="1"/>
    <col min="5123" max="5123" width="19.7109375" style="305" customWidth="1"/>
    <col min="5124" max="5124" width="1.42578125" style="305" customWidth="1"/>
    <col min="5125" max="5125" width="0" style="305" hidden="1" customWidth="1"/>
    <col min="5126" max="5126" width="1" style="305" customWidth="1"/>
    <col min="5127" max="5133" width="0" style="305" hidden="1" customWidth="1"/>
    <col min="5134" max="5135" width="20.28515625" style="305" customWidth="1"/>
    <col min="5136" max="5136" width="7.28515625" style="305" customWidth="1"/>
    <col min="5137" max="5137" width="28.5703125" style="305" bestFit="1" customWidth="1"/>
    <col min="5138" max="5138" width="0" style="305" hidden="1" customWidth="1"/>
    <col min="5139" max="5374" width="12.5703125" style="305"/>
    <col min="5375" max="5375" width="59.28515625" style="305" customWidth="1"/>
    <col min="5376" max="5376" width="1.140625" style="305" customWidth="1"/>
    <col min="5377" max="5377" width="18.5703125" style="305" customWidth="1"/>
    <col min="5378" max="5378" width="1.85546875" style="305" customWidth="1"/>
    <col min="5379" max="5379" width="19.7109375" style="305" customWidth="1"/>
    <col min="5380" max="5380" width="1.42578125" style="305" customWidth="1"/>
    <col min="5381" max="5381" width="0" style="305" hidden="1" customWidth="1"/>
    <col min="5382" max="5382" width="1" style="305" customWidth="1"/>
    <col min="5383" max="5389" width="0" style="305" hidden="1" customWidth="1"/>
    <col min="5390" max="5391" width="20.28515625" style="305" customWidth="1"/>
    <col min="5392" max="5392" width="7.28515625" style="305" customWidth="1"/>
    <col min="5393" max="5393" width="28.5703125" style="305" bestFit="1" customWidth="1"/>
    <col min="5394" max="5394" width="0" style="305" hidden="1" customWidth="1"/>
    <col min="5395" max="5630" width="12.5703125" style="305"/>
    <col min="5631" max="5631" width="59.28515625" style="305" customWidth="1"/>
    <col min="5632" max="5632" width="1.140625" style="305" customWidth="1"/>
    <col min="5633" max="5633" width="18.5703125" style="305" customWidth="1"/>
    <col min="5634" max="5634" width="1.85546875" style="305" customWidth="1"/>
    <col min="5635" max="5635" width="19.7109375" style="305" customWidth="1"/>
    <col min="5636" max="5636" width="1.42578125" style="305" customWidth="1"/>
    <col min="5637" max="5637" width="0" style="305" hidden="1" customWidth="1"/>
    <col min="5638" max="5638" width="1" style="305" customWidth="1"/>
    <col min="5639" max="5645" width="0" style="305" hidden="1" customWidth="1"/>
    <col min="5646" max="5647" width="20.28515625" style="305" customWidth="1"/>
    <col min="5648" max="5648" width="7.28515625" style="305" customWidth="1"/>
    <col min="5649" max="5649" width="28.5703125" style="305" bestFit="1" customWidth="1"/>
    <col min="5650" max="5650" width="0" style="305" hidden="1" customWidth="1"/>
    <col min="5651" max="5886" width="12.5703125" style="305"/>
    <col min="5887" max="5887" width="59.28515625" style="305" customWidth="1"/>
    <col min="5888" max="5888" width="1.140625" style="305" customWidth="1"/>
    <col min="5889" max="5889" width="18.5703125" style="305" customWidth="1"/>
    <col min="5890" max="5890" width="1.85546875" style="305" customWidth="1"/>
    <col min="5891" max="5891" width="19.7109375" style="305" customWidth="1"/>
    <col min="5892" max="5892" width="1.42578125" style="305" customWidth="1"/>
    <col min="5893" max="5893" width="0" style="305" hidden="1" customWidth="1"/>
    <col min="5894" max="5894" width="1" style="305" customWidth="1"/>
    <col min="5895" max="5901" width="0" style="305" hidden="1" customWidth="1"/>
    <col min="5902" max="5903" width="20.28515625" style="305" customWidth="1"/>
    <col min="5904" max="5904" width="7.28515625" style="305" customWidth="1"/>
    <col min="5905" max="5905" width="28.5703125" style="305" bestFit="1" customWidth="1"/>
    <col min="5906" max="5906" width="0" style="305" hidden="1" customWidth="1"/>
    <col min="5907" max="6142" width="12.5703125" style="305"/>
    <col min="6143" max="6143" width="59.28515625" style="305" customWidth="1"/>
    <col min="6144" max="6144" width="1.140625" style="305" customWidth="1"/>
    <col min="6145" max="6145" width="18.5703125" style="305" customWidth="1"/>
    <col min="6146" max="6146" width="1.85546875" style="305" customWidth="1"/>
    <col min="6147" max="6147" width="19.7109375" style="305" customWidth="1"/>
    <col min="6148" max="6148" width="1.42578125" style="305" customWidth="1"/>
    <col min="6149" max="6149" width="0" style="305" hidden="1" customWidth="1"/>
    <col min="6150" max="6150" width="1" style="305" customWidth="1"/>
    <col min="6151" max="6157" width="0" style="305" hidden="1" customWidth="1"/>
    <col min="6158" max="6159" width="20.28515625" style="305" customWidth="1"/>
    <col min="6160" max="6160" width="7.28515625" style="305" customWidth="1"/>
    <col min="6161" max="6161" width="28.5703125" style="305" bestFit="1" customWidth="1"/>
    <col min="6162" max="6162" width="0" style="305" hidden="1" customWidth="1"/>
    <col min="6163" max="6398" width="12.5703125" style="305"/>
    <col min="6399" max="6399" width="59.28515625" style="305" customWidth="1"/>
    <col min="6400" max="6400" width="1.140625" style="305" customWidth="1"/>
    <col min="6401" max="6401" width="18.5703125" style="305" customWidth="1"/>
    <col min="6402" max="6402" width="1.85546875" style="305" customWidth="1"/>
    <col min="6403" max="6403" width="19.7109375" style="305" customWidth="1"/>
    <col min="6404" max="6404" width="1.42578125" style="305" customWidth="1"/>
    <col min="6405" max="6405" width="0" style="305" hidden="1" customWidth="1"/>
    <col min="6406" max="6406" width="1" style="305" customWidth="1"/>
    <col min="6407" max="6413" width="0" style="305" hidden="1" customWidth="1"/>
    <col min="6414" max="6415" width="20.28515625" style="305" customWidth="1"/>
    <col min="6416" max="6416" width="7.28515625" style="305" customWidth="1"/>
    <col min="6417" max="6417" width="28.5703125" style="305" bestFit="1" customWidth="1"/>
    <col min="6418" max="6418" width="0" style="305" hidden="1" customWidth="1"/>
    <col min="6419" max="6654" width="12.5703125" style="305"/>
    <col min="6655" max="6655" width="59.28515625" style="305" customWidth="1"/>
    <col min="6656" max="6656" width="1.140625" style="305" customWidth="1"/>
    <col min="6657" max="6657" width="18.5703125" style="305" customWidth="1"/>
    <col min="6658" max="6658" width="1.85546875" style="305" customWidth="1"/>
    <col min="6659" max="6659" width="19.7109375" style="305" customWidth="1"/>
    <col min="6660" max="6660" width="1.42578125" style="305" customWidth="1"/>
    <col min="6661" max="6661" width="0" style="305" hidden="1" customWidth="1"/>
    <col min="6662" max="6662" width="1" style="305" customWidth="1"/>
    <col min="6663" max="6669" width="0" style="305" hidden="1" customWidth="1"/>
    <col min="6670" max="6671" width="20.28515625" style="305" customWidth="1"/>
    <col min="6672" max="6672" width="7.28515625" style="305" customWidth="1"/>
    <col min="6673" max="6673" width="28.5703125" style="305" bestFit="1" customWidth="1"/>
    <col min="6674" max="6674" width="0" style="305" hidden="1" customWidth="1"/>
    <col min="6675" max="6910" width="12.5703125" style="305"/>
    <col min="6911" max="6911" width="59.28515625" style="305" customWidth="1"/>
    <col min="6912" max="6912" width="1.140625" style="305" customWidth="1"/>
    <col min="6913" max="6913" width="18.5703125" style="305" customWidth="1"/>
    <col min="6914" max="6914" width="1.85546875" style="305" customWidth="1"/>
    <col min="6915" max="6915" width="19.7109375" style="305" customWidth="1"/>
    <col min="6916" max="6916" width="1.42578125" style="305" customWidth="1"/>
    <col min="6917" max="6917" width="0" style="305" hidden="1" customWidth="1"/>
    <col min="6918" max="6918" width="1" style="305" customWidth="1"/>
    <col min="6919" max="6925" width="0" style="305" hidden="1" customWidth="1"/>
    <col min="6926" max="6927" width="20.28515625" style="305" customWidth="1"/>
    <col min="6928" max="6928" width="7.28515625" style="305" customWidth="1"/>
    <col min="6929" max="6929" width="28.5703125" style="305" bestFit="1" customWidth="1"/>
    <col min="6930" max="6930" width="0" style="305" hidden="1" customWidth="1"/>
    <col min="6931" max="7166" width="12.5703125" style="305"/>
    <col min="7167" max="7167" width="59.28515625" style="305" customWidth="1"/>
    <col min="7168" max="7168" width="1.140625" style="305" customWidth="1"/>
    <col min="7169" max="7169" width="18.5703125" style="305" customWidth="1"/>
    <col min="7170" max="7170" width="1.85546875" style="305" customWidth="1"/>
    <col min="7171" max="7171" width="19.7109375" style="305" customWidth="1"/>
    <col min="7172" max="7172" width="1.42578125" style="305" customWidth="1"/>
    <col min="7173" max="7173" width="0" style="305" hidden="1" customWidth="1"/>
    <col min="7174" max="7174" width="1" style="305" customWidth="1"/>
    <col min="7175" max="7181" width="0" style="305" hidden="1" customWidth="1"/>
    <col min="7182" max="7183" width="20.28515625" style="305" customWidth="1"/>
    <col min="7184" max="7184" width="7.28515625" style="305" customWidth="1"/>
    <col min="7185" max="7185" width="28.5703125" style="305" bestFit="1" customWidth="1"/>
    <col min="7186" max="7186" width="0" style="305" hidden="1" customWidth="1"/>
    <col min="7187" max="7422" width="12.5703125" style="305"/>
    <col min="7423" max="7423" width="59.28515625" style="305" customWidth="1"/>
    <col min="7424" max="7424" width="1.140625" style="305" customWidth="1"/>
    <col min="7425" max="7425" width="18.5703125" style="305" customWidth="1"/>
    <col min="7426" max="7426" width="1.85546875" style="305" customWidth="1"/>
    <col min="7427" max="7427" width="19.7109375" style="305" customWidth="1"/>
    <col min="7428" max="7428" width="1.42578125" style="305" customWidth="1"/>
    <col min="7429" max="7429" width="0" style="305" hidden="1" customWidth="1"/>
    <col min="7430" max="7430" width="1" style="305" customWidth="1"/>
    <col min="7431" max="7437" width="0" style="305" hidden="1" customWidth="1"/>
    <col min="7438" max="7439" width="20.28515625" style="305" customWidth="1"/>
    <col min="7440" max="7440" width="7.28515625" style="305" customWidth="1"/>
    <col min="7441" max="7441" width="28.5703125" style="305" bestFit="1" customWidth="1"/>
    <col min="7442" max="7442" width="0" style="305" hidden="1" customWidth="1"/>
    <col min="7443" max="7678" width="12.5703125" style="305"/>
    <col min="7679" max="7679" width="59.28515625" style="305" customWidth="1"/>
    <col min="7680" max="7680" width="1.140625" style="305" customWidth="1"/>
    <col min="7681" max="7681" width="18.5703125" style="305" customWidth="1"/>
    <col min="7682" max="7682" width="1.85546875" style="305" customWidth="1"/>
    <col min="7683" max="7683" width="19.7109375" style="305" customWidth="1"/>
    <col min="7684" max="7684" width="1.42578125" style="305" customWidth="1"/>
    <col min="7685" max="7685" width="0" style="305" hidden="1" customWidth="1"/>
    <col min="7686" max="7686" width="1" style="305" customWidth="1"/>
    <col min="7687" max="7693" width="0" style="305" hidden="1" customWidth="1"/>
    <col min="7694" max="7695" width="20.28515625" style="305" customWidth="1"/>
    <col min="7696" max="7696" width="7.28515625" style="305" customWidth="1"/>
    <col min="7697" max="7697" width="28.5703125" style="305" bestFit="1" customWidth="1"/>
    <col min="7698" max="7698" width="0" style="305" hidden="1" customWidth="1"/>
    <col min="7699" max="7934" width="12.5703125" style="305"/>
    <col min="7935" max="7935" width="59.28515625" style="305" customWidth="1"/>
    <col min="7936" max="7936" width="1.140625" style="305" customWidth="1"/>
    <col min="7937" max="7937" width="18.5703125" style="305" customWidth="1"/>
    <col min="7938" max="7938" width="1.85546875" style="305" customWidth="1"/>
    <col min="7939" max="7939" width="19.7109375" style="305" customWidth="1"/>
    <col min="7940" max="7940" width="1.42578125" style="305" customWidth="1"/>
    <col min="7941" max="7941" width="0" style="305" hidden="1" customWidth="1"/>
    <col min="7942" max="7942" width="1" style="305" customWidth="1"/>
    <col min="7943" max="7949" width="0" style="305" hidden="1" customWidth="1"/>
    <col min="7950" max="7951" width="20.28515625" style="305" customWidth="1"/>
    <col min="7952" max="7952" width="7.28515625" style="305" customWidth="1"/>
    <col min="7953" max="7953" width="28.5703125" style="305" bestFit="1" customWidth="1"/>
    <col min="7954" max="7954" width="0" style="305" hidden="1" customWidth="1"/>
    <col min="7955" max="8190" width="12.5703125" style="305"/>
    <col min="8191" max="8191" width="59.28515625" style="305" customWidth="1"/>
    <col min="8192" max="8192" width="1.140625" style="305" customWidth="1"/>
    <col min="8193" max="8193" width="18.5703125" style="305" customWidth="1"/>
    <col min="8194" max="8194" width="1.85546875" style="305" customWidth="1"/>
    <col min="8195" max="8195" width="19.7109375" style="305" customWidth="1"/>
    <col min="8196" max="8196" width="1.42578125" style="305" customWidth="1"/>
    <col min="8197" max="8197" width="0" style="305" hidden="1" customWidth="1"/>
    <col min="8198" max="8198" width="1" style="305" customWidth="1"/>
    <col min="8199" max="8205" width="0" style="305" hidden="1" customWidth="1"/>
    <col min="8206" max="8207" width="20.28515625" style="305" customWidth="1"/>
    <col min="8208" max="8208" width="7.28515625" style="305" customWidth="1"/>
    <col min="8209" max="8209" width="28.5703125" style="305" bestFit="1" customWidth="1"/>
    <col min="8210" max="8210" width="0" style="305" hidden="1" customWidth="1"/>
    <col min="8211" max="8446" width="12.5703125" style="305"/>
    <col min="8447" max="8447" width="59.28515625" style="305" customWidth="1"/>
    <col min="8448" max="8448" width="1.140625" style="305" customWidth="1"/>
    <col min="8449" max="8449" width="18.5703125" style="305" customWidth="1"/>
    <col min="8450" max="8450" width="1.85546875" style="305" customWidth="1"/>
    <col min="8451" max="8451" width="19.7109375" style="305" customWidth="1"/>
    <col min="8452" max="8452" width="1.42578125" style="305" customWidth="1"/>
    <col min="8453" max="8453" width="0" style="305" hidden="1" customWidth="1"/>
    <col min="8454" max="8454" width="1" style="305" customWidth="1"/>
    <col min="8455" max="8461" width="0" style="305" hidden="1" customWidth="1"/>
    <col min="8462" max="8463" width="20.28515625" style="305" customWidth="1"/>
    <col min="8464" max="8464" width="7.28515625" style="305" customWidth="1"/>
    <col min="8465" max="8465" width="28.5703125" style="305" bestFit="1" customWidth="1"/>
    <col min="8466" max="8466" width="0" style="305" hidden="1" customWidth="1"/>
    <col min="8467" max="8702" width="12.5703125" style="305"/>
    <col min="8703" max="8703" width="59.28515625" style="305" customWidth="1"/>
    <col min="8704" max="8704" width="1.140625" style="305" customWidth="1"/>
    <col min="8705" max="8705" width="18.5703125" style="305" customWidth="1"/>
    <col min="8706" max="8706" width="1.85546875" style="305" customWidth="1"/>
    <col min="8707" max="8707" width="19.7109375" style="305" customWidth="1"/>
    <col min="8708" max="8708" width="1.42578125" style="305" customWidth="1"/>
    <col min="8709" max="8709" width="0" style="305" hidden="1" customWidth="1"/>
    <col min="8710" max="8710" width="1" style="305" customWidth="1"/>
    <col min="8711" max="8717" width="0" style="305" hidden="1" customWidth="1"/>
    <col min="8718" max="8719" width="20.28515625" style="305" customWidth="1"/>
    <col min="8720" max="8720" width="7.28515625" style="305" customWidth="1"/>
    <col min="8721" max="8721" width="28.5703125" style="305" bestFit="1" customWidth="1"/>
    <col min="8722" max="8722" width="0" style="305" hidden="1" customWidth="1"/>
    <col min="8723" max="8958" width="12.5703125" style="305"/>
    <col min="8959" max="8959" width="59.28515625" style="305" customWidth="1"/>
    <col min="8960" max="8960" width="1.140625" style="305" customWidth="1"/>
    <col min="8961" max="8961" width="18.5703125" style="305" customWidth="1"/>
    <col min="8962" max="8962" width="1.85546875" style="305" customWidth="1"/>
    <col min="8963" max="8963" width="19.7109375" style="305" customWidth="1"/>
    <col min="8964" max="8964" width="1.42578125" style="305" customWidth="1"/>
    <col min="8965" max="8965" width="0" style="305" hidden="1" customWidth="1"/>
    <col min="8966" max="8966" width="1" style="305" customWidth="1"/>
    <col min="8967" max="8973" width="0" style="305" hidden="1" customWidth="1"/>
    <col min="8974" max="8975" width="20.28515625" style="305" customWidth="1"/>
    <col min="8976" max="8976" width="7.28515625" style="305" customWidth="1"/>
    <col min="8977" max="8977" width="28.5703125" style="305" bestFit="1" customWidth="1"/>
    <col min="8978" max="8978" width="0" style="305" hidden="1" customWidth="1"/>
    <col min="8979" max="9214" width="12.5703125" style="305"/>
    <col min="9215" max="9215" width="59.28515625" style="305" customWidth="1"/>
    <col min="9216" max="9216" width="1.140625" style="305" customWidth="1"/>
    <col min="9217" max="9217" width="18.5703125" style="305" customWidth="1"/>
    <col min="9218" max="9218" width="1.85546875" style="305" customWidth="1"/>
    <col min="9219" max="9219" width="19.7109375" style="305" customWidth="1"/>
    <col min="9220" max="9220" width="1.42578125" style="305" customWidth="1"/>
    <col min="9221" max="9221" width="0" style="305" hidden="1" customWidth="1"/>
    <col min="9222" max="9222" width="1" style="305" customWidth="1"/>
    <col min="9223" max="9229" width="0" style="305" hidden="1" customWidth="1"/>
    <col min="9230" max="9231" width="20.28515625" style="305" customWidth="1"/>
    <col min="9232" max="9232" width="7.28515625" style="305" customWidth="1"/>
    <col min="9233" max="9233" width="28.5703125" style="305" bestFit="1" customWidth="1"/>
    <col min="9234" max="9234" width="0" style="305" hidden="1" customWidth="1"/>
    <col min="9235" max="9470" width="12.5703125" style="305"/>
    <col min="9471" max="9471" width="59.28515625" style="305" customWidth="1"/>
    <col min="9472" max="9472" width="1.140625" style="305" customWidth="1"/>
    <col min="9473" max="9473" width="18.5703125" style="305" customWidth="1"/>
    <col min="9474" max="9474" width="1.85546875" style="305" customWidth="1"/>
    <col min="9475" max="9475" width="19.7109375" style="305" customWidth="1"/>
    <col min="9476" max="9476" width="1.42578125" style="305" customWidth="1"/>
    <col min="9477" max="9477" width="0" style="305" hidden="1" customWidth="1"/>
    <col min="9478" max="9478" width="1" style="305" customWidth="1"/>
    <col min="9479" max="9485" width="0" style="305" hidden="1" customWidth="1"/>
    <col min="9486" max="9487" width="20.28515625" style="305" customWidth="1"/>
    <col min="9488" max="9488" width="7.28515625" style="305" customWidth="1"/>
    <col min="9489" max="9489" width="28.5703125" style="305" bestFit="1" customWidth="1"/>
    <col min="9490" max="9490" width="0" style="305" hidden="1" customWidth="1"/>
    <col min="9491" max="9726" width="12.5703125" style="305"/>
    <col min="9727" max="9727" width="59.28515625" style="305" customWidth="1"/>
    <col min="9728" max="9728" width="1.140625" style="305" customWidth="1"/>
    <col min="9729" max="9729" width="18.5703125" style="305" customWidth="1"/>
    <col min="9730" max="9730" width="1.85546875" style="305" customWidth="1"/>
    <col min="9731" max="9731" width="19.7109375" style="305" customWidth="1"/>
    <col min="9732" max="9732" width="1.42578125" style="305" customWidth="1"/>
    <col min="9733" max="9733" width="0" style="305" hidden="1" customWidth="1"/>
    <col min="9734" max="9734" width="1" style="305" customWidth="1"/>
    <col min="9735" max="9741" width="0" style="305" hidden="1" customWidth="1"/>
    <col min="9742" max="9743" width="20.28515625" style="305" customWidth="1"/>
    <col min="9744" max="9744" width="7.28515625" style="305" customWidth="1"/>
    <col min="9745" max="9745" width="28.5703125" style="305" bestFit="1" customWidth="1"/>
    <col min="9746" max="9746" width="0" style="305" hidden="1" customWidth="1"/>
    <col min="9747" max="9982" width="12.5703125" style="305"/>
    <col min="9983" max="9983" width="59.28515625" style="305" customWidth="1"/>
    <col min="9984" max="9984" width="1.140625" style="305" customWidth="1"/>
    <col min="9985" max="9985" width="18.5703125" style="305" customWidth="1"/>
    <col min="9986" max="9986" width="1.85546875" style="305" customWidth="1"/>
    <col min="9987" max="9987" width="19.7109375" style="305" customWidth="1"/>
    <col min="9988" max="9988" width="1.42578125" style="305" customWidth="1"/>
    <col min="9989" max="9989" width="0" style="305" hidden="1" customWidth="1"/>
    <col min="9990" max="9990" width="1" style="305" customWidth="1"/>
    <col min="9991" max="9997" width="0" style="305" hidden="1" customWidth="1"/>
    <col min="9998" max="9999" width="20.28515625" style="305" customWidth="1"/>
    <col min="10000" max="10000" width="7.28515625" style="305" customWidth="1"/>
    <col min="10001" max="10001" width="28.5703125" style="305" bestFit="1" customWidth="1"/>
    <col min="10002" max="10002" width="0" style="305" hidden="1" customWidth="1"/>
    <col min="10003" max="10238" width="12.5703125" style="305"/>
    <col min="10239" max="10239" width="59.28515625" style="305" customWidth="1"/>
    <col min="10240" max="10240" width="1.140625" style="305" customWidth="1"/>
    <col min="10241" max="10241" width="18.5703125" style="305" customWidth="1"/>
    <col min="10242" max="10242" width="1.85546875" style="305" customWidth="1"/>
    <col min="10243" max="10243" width="19.7109375" style="305" customWidth="1"/>
    <col min="10244" max="10244" width="1.42578125" style="305" customWidth="1"/>
    <col min="10245" max="10245" width="0" style="305" hidden="1" customWidth="1"/>
    <col min="10246" max="10246" width="1" style="305" customWidth="1"/>
    <col min="10247" max="10253" width="0" style="305" hidden="1" customWidth="1"/>
    <col min="10254" max="10255" width="20.28515625" style="305" customWidth="1"/>
    <col min="10256" max="10256" width="7.28515625" style="305" customWidth="1"/>
    <col min="10257" max="10257" width="28.5703125" style="305" bestFit="1" customWidth="1"/>
    <col min="10258" max="10258" width="0" style="305" hidden="1" customWidth="1"/>
    <col min="10259" max="10494" width="12.5703125" style="305"/>
    <col min="10495" max="10495" width="59.28515625" style="305" customWidth="1"/>
    <col min="10496" max="10496" width="1.140625" style="305" customWidth="1"/>
    <col min="10497" max="10497" width="18.5703125" style="305" customWidth="1"/>
    <col min="10498" max="10498" width="1.85546875" style="305" customWidth="1"/>
    <col min="10499" max="10499" width="19.7109375" style="305" customWidth="1"/>
    <col min="10500" max="10500" width="1.42578125" style="305" customWidth="1"/>
    <col min="10501" max="10501" width="0" style="305" hidden="1" customWidth="1"/>
    <col min="10502" max="10502" width="1" style="305" customWidth="1"/>
    <col min="10503" max="10509" width="0" style="305" hidden="1" customWidth="1"/>
    <col min="10510" max="10511" width="20.28515625" style="305" customWidth="1"/>
    <col min="10512" max="10512" width="7.28515625" style="305" customWidth="1"/>
    <col min="10513" max="10513" width="28.5703125" style="305" bestFit="1" customWidth="1"/>
    <col min="10514" max="10514" width="0" style="305" hidden="1" customWidth="1"/>
    <col min="10515" max="10750" width="12.5703125" style="305"/>
    <col min="10751" max="10751" width="59.28515625" style="305" customWidth="1"/>
    <col min="10752" max="10752" width="1.140625" style="305" customWidth="1"/>
    <col min="10753" max="10753" width="18.5703125" style="305" customWidth="1"/>
    <col min="10754" max="10754" width="1.85546875" style="305" customWidth="1"/>
    <col min="10755" max="10755" width="19.7109375" style="305" customWidth="1"/>
    <col min="10756" max="10756" width="1.42578125" style="305" customWidth="1"/>
    <col min="10757" max="10757" width="0" style="305" hidden="1" customWidth="1"/>
    <col min="10758" max="10758" width="1" style="305" customWidth="1"/>
    <col min="10759" max="10765" width="0" style="305" hidden="1" customWidth="1"/>
    <col min="10766" max="10767" width="20.28515625" style="305" customWidth="1"/>
    <col min="10768" max="10768" width="7.28515625" style="305" customWidth="1"/>
    <col min="10769" max="10769" width="28.5703125" style="305" bestFit="1" customWidth="1"/>
    <col min="10770" max="10770" width="0" style="305" hidden="1" customWidth="1"/>
    <col min="10771" max="11006" width="12.5703125" style="305"/>
    <col min="11007" max="11007" width="59.28515625" style="305" customWidth="1"/>
    <col min="11008" max="11008" width="1.140625" style="305" customWidth="1"/>
    <col min="11009" max="11009" width="18.5703125" style="305" customWidth="1"/>
    <col min="11010" max="11010" width="1.85546875" style="305" customWidth="1"/>
    <col min="11011" max="11011" width="19.7109375" style="305" customWidth="1"/>
    <col min="11012" max="11012" width="1.42578125" style="305" customWidth="1"/>
    <col min="11013" max="11013" width="0" style="305" hidden="1" customWidth="1"/>
    <col min="11014" max="11014" width="1" style="305" customWidth="1"/>
    <col min="11015" max="11021" width="0" style="305" hidden="1" customWidth="1"/>
    <col min="11022" max="11023" width="20.28515625" style="305" customWidth="1"/>
    <col min="11024" max="11024" width="7.28515625" style="305" customWidth="1"/>
    <col min="11025" max="11025" width="28.5703125" style="305" bestFit="1" customWidth="1"/>
    <col min="11026" max="11026" width="0" style="305" hidden="1" customWidth="1"/>
    <col min="11027" max="11262" width="12.5703125" style="305"/>
    <col min="11263" max="11263" width="59.28515625" style="305" customWidth="1"/>
    <col min="11264" max="11264" width="1.140625" style="305" customWidth="1"/>
    <col min="11265" max="11265" width="18.5703125" style="305" customWidth="1"/>
    <col min="11266" max="11266" width="1.85546875" style="305" customWidth="1"/>
    <col min="11267" max="11267" width="19.7109375" style="305" customWidth="1"/>
    <col min="11268" max="11268" width="1.42578125" style="305" customWidth="1"/>
    <col min="11269" max="11269" width="0" style="305" hidden="1" customWidth="1"/>
    <col min="11270" max="11270" width="1" style="305" customWidth="1"/>
    <col min="11271" max="11277" width="0" style="305" hidden="1" customWidth="1"/>
    <col min="11278" max="11279" width="20.28515625" style="305" customWidth="1"/>
    <col min="11280" max="11280" width="7.28515625" style="305" customWidth="1"/>
    <col min="11281" max="11281" width="28.5703125" style="305" bestFit="1" customWidth="1"/>
    <col min="11282" max="11282" width="0" style="305" hidden="1" customWidth="1"/>
    <col min="11283" max="11518" width="12.5703125" style="305"/>
    <col min="11519" max="11519" width="59.28515625" style="305" customWidth="1"/>
    <col min="11520" max="11520" width="1.140625" style="305" customWidth="1"/>
    <col min="11521" max="11521" width="18.5703125" style="305" customWidth="1"/>
    <col min="11522" max="11522" width="1.85546875" style="305" customWidth="1"/>
    <col min="11523" max="11523" width="19.7109375" style="305" customWidth="1"/>
    <col min="11524" max="11524" width="1.42578125" style="305" customWidth="1"/>
    <col min="11525" max="11525" width="0" style="305" hidden="1" customWidth="1"/>
    <col min="11526" max="11526" width="1" style="305" customWidth="1"/>
    <col min="11527" max="11533" width="0" style="305" hidden="1" customWidth="1"/>
    <col min="11534" max="11535" width="20.28515625" style="305" customWidth="1"/>
    <col min="11536" max="11536" width="7.28515625" style="305" customWidth="1"/>
    <col min="11537" max="11537" width="28.5703125" style="305" bestFit="1" customWidth="1"/>
    <col min="11538" max="11538" width="0" style="305" hidden="1" customWidth="1"/>
    <col min="11539" max="11774" width="12.5703125" style="305"/>
    <col min="11775" max="11775" width="59.28515625" style="305" customWidth="1"/>
    <col min="11776" max="11776" width="1.140625" style="305" customWidth="1"/>
    <col min="11777" max="11777" width="18.5703125" style="305" customWidth="1"/>
    <col min="11778" max="11778" width="1.85546875" style="305" customWidth="1"/>
    <col min="11779" max="11779" width="19.7109375" style="305" customWidth="1"/>
    <col min="11780" max="11780" width="1.42578125" style="305" customWidth="1"/>
    <col min="11781" max="11781" width="0" style="305" hidden="1" customWidth="1"/>
    <col min="11782" max="11782" width="1" style="305" customWidth="1"/>
    <col min="11783" max="11789" width="0" style="305" hidden="1" customWidth="1"/>
    <col min="11790" max="11791" width="20.28515625" style="305" customWidth="1"/>
    <col min="11792" max="11792" width="7.28515625" style="305" customWidth="1"/>
    <col min="11793" max="11793" width="28.5703125" style="305" bestFit="1" customWidth="1"/>
    <col min="11794" max="11794" width="0" style="305" hidden="1" customWidth="1"/>
    <col min="11795" max="12030" width="12.5703125" style="305"/>
    <col min="12031" max="12031" width="59.28515625" style="305" customWidth="1"/>
    <col min="12032" max="12032" width="1.140625" style="305" customWidth="1"/>
    <col min="12033" max="12033" width="18.5703125" style="305" customWidth="1"/>
    <col min="12034" max="12034" width="1.85546875" style="305" customWidth="1"/>
    <col min="12035" max="12035" width="19.7109375" style="305" customWidth="1"/>
    <col min="12036" max="12036" width="1.42578125" style="305" customWidth="1"/>
    <col min="12037" max="12037" width="0" style="305" hidden="1" customWidth="1"/>
    <col min="12038" max="12038" width="1" style="305" customWidth="1"/>
    <col min="12039" max="12045" width="0" style="305" hidden="1" customWidth="1"/>
    <col min="12046" max="12047" width="20.28515625" style="305" customWidth="1"/>
    <col min="12048" max="12048" width="7.28515625" style="305" customWidth="1"/>
    <col min="12049" max="12049" width="28.5703125" style="305" bestFit="1" customWidth="1"/>
    <col min="12050" max="12050" width="0" style="305" hidden="1" customWidth="1"/>
    <col min="12051" max="12286" width="12.5703125" style="305"/>
    <col min="12287" max="12287" width="59.28515625" style="305" customWidth="1"/>
    <col min="12288" max="12288" width="1.140625" style="305" customWidth="1"/>
    <col min="12289" max="12289" width="18.5703125" style="305" customWidth="1"/>
    <col min="12290" max="12290" width="1.85546875" style="305" customWidth="1"/>
    <col min="12291" max="12291" width="19.7109375" style="305" customWidth="1"/>
    <col min="12292" max="12292" width="1.42578125" style="305" customWidth="1"/>
    <col min="12293" max="12293" width="0" style="305" hidden="1" customWidth="1"/>
    <col min="12294" max="12294" width="1" style="305" customWidth="1"/>
    <col min="12295" max="12301" width="0" style="305" hidden="1" customWidth="1"/>
    <col min="12302" max="12303" width="20.28515625" style="305" customWidth="1"/>
    <col min="12304" max="12304" width="7.28515625" style="305" customWidth="1"/>
    <col min="12305" max="12305" width="28.5703125" style="305" bestFit="1" customWidth="1"/>
    <col min="12306" max="12306" width="0" style="305" hidden="1" customWidth="1"/>
    <col min="12307" max="12542" width="12.5703125" style="305"/>
    <col min="12543" max="12543" width="59.28515625" style="305" customWidth="1"/>
    <col min="12544" max="12544" width="1.140625" style="305" customWidth="1"/>
    <col min="12545" max="12545" width="18.5703125" style="305" customWidth="1"/>
    <col min="12546" max="12546" width="1.85546875" style="305" customWidth="1"/>
    <col min="12547" max="12547" width="19.7109375" style="305" customWidth="1"/>
    <col min="12548" max="12548" width="1.42578125" style="305" customWidth="1"/>
    <col min="12549" max="12549" width="0" style="305" hidden="1" customWidth="1"/>
    <col min="12550" max="12550" width="1" style="305" customWidth="1"/>
    <col min="12551" max="12557" width="0" style="305" hidden="1" customWidth="1"/>
    <col min="12558" max="12559" width="20.28515625" style="305" customWidth="1"/>
    <col min="12560" max="12560" width="7.28515625" style="305" customWidth="1"/>
    <col min="12561" max="12561" width="28.5703125" style="305" bestFit="1" customWidth="1"/>
    <col min="12562" max="12562" width="0" style="305" hidden="1" customWidth="1"/>
    <col min="12563" max="12798" width="12.5703125" style="305"/>
    <col min="12799" max="12799" width="59.28515625" style="305" customWidth="1"/>
    <col min="12800" max="12800" width="1.140625" style="305" customWidth="1"/>
    <col min="12801" max="12801" width="18.5703125" style="305" customWidth="1"/>
    <col min="12802" max="12802" width="1.85546875" style="305" customWidth="1"/>
    <col min="12803" max="12803" width="19.7109375" style="305" customWidth="1"/>
    <col min="12804" max="12804" width="1.42578125" style="305" customWidth="1"/>
    <col min="12805" max="12805" width="0" style="305" hidden="1" customWidth="1"/>
    <col min="12806" max="12806" width="1" style="305" customWidth="1"/>
    <col min="12807" max="12813" width="0" style="305" hidden="1" customWidth="1"/>
    <col min="12814" max="12815" width="20.28515625" style="305" customWidth="1"/>
    <col min="12816" max="12816" width="7.28515625" style="305" customWidth="1"/>
    <col min="12817" max="12817" width="28.5703125" style="305" bestFit="1" customWidth="1"/>
    <col min="12818" max="12818" width="0" style="305" hidden="1" customWidth="1"/>
    <col min="12819" max="13054" width="12.5703125" style="305"/>
    <col min="13055" max="13055" width="59.28515625" style="305" customWidth="1"/>
    <col min="13056" max="13056" width="1.140625" style="305" customWidth="1"/>
    <col min="13057" max="13057" width="18.5703125" style="305" customWidth="1"/>
    <col min="13058" max="13058" width="1.85546875" style="305" customWidth="1"/>
    <col min="13059" max="13059" width="19.7109375" style="305" customWidth="1"/>
    <col min="13060" max="13060" width="1.42578125" style="305" customWidth="1"/>
    <col min="13061" max="13061" width="0" style="305" hidden="1" customWidth="1"/>
    <col min="13062" max="13062" width="1" style="305" customWidth="1"/>
    <col min="13063" max="13069" width="0" style="305" hidden="1" customWidth="1"/>
    <col min="13070" max="13071" width="20.28515625" style="305" customWidth="1"/>
    <col min="13072" max="13072" width="7.28515625" style="305" customWidth="1"/>
    <col min="13073" max="13073" width="28.5703125" style="305" bestFit="1" customWidth="1"/>
    <col min="13074" max="13074" width="0" style="305" hidden="1" customWidth="1"/>
    <col min="13075" max="13310" width="12.5703125" style="305"/>
    <col min="13311" max="13311" width="59.28515625" style="305" customWidth="1"/>
    <col min="13312" max="13312" width="1.140625" style="305" customWidth="1"/>
    <col min="13313" max="13313" width="18.5703125" style="305" customWidth="1"/>
    <col min="13314" max="13314" width="1.85546875" style="305" customWidth="1"/>
    <col min="13315" max="13315" width="19.7109375" style="305" customWidth="1"/>
    <col min="13316" max="13316" width="1.42578125" style="305" customWidth="1"/>
    <col min="13317" max="13317" width="0" style="305" hidden="1" customWidth="1"/>
    <col min="13318" max="13318" width="1" style="305" customWidth="1"/>
    <col min="13319" max="13325" width="0" style="305" hidden="1" customWidth="1"/>
    <col min="13326" max="13327" width="20.28515625" style="305" customWidth="1"/>
    <col min="13328" max="13328" width="7.28515625" style="305" customWidth="1"/>
    <col min="13329" max="13329" width="28.5703125" style="305" bestFit="1" customWidth="1"/>
    <col min="13330" max="13330" width="0" style="305" hidden="1" customWidth="1"/>
    <col min="13331" max="13566" width="12.5703125" style="305"/>
    <col min="13567" max="13567" width="59.28515625" style="305" customWidth="1"/>
    <col min="13568" max="13568" width="1.140625" style="305" customWidth="1"/>
    <col min="13569" max="13569" width="18.5703125" style="305" customWidth="1"/>
    <col min="13570" max="13570" width="1.85546875" style="305" customWidth="1"/>
    <col min="13571" max="13571" width="19.7109375" style="305" customWidth="1"/>
    <col min="13572" max="13572" width="1.42578125" style="305" customWidth="1"/>
    <col min="13573" max="13573" width="0" style="305" hidden="1" customWidth="1"/>
    <col min="13574" max="13574" width="1" style="305" customWidth="1"/>
    <col min="13575" max="13581" width="0" style="305" hidden="1" customWidth="1"/>
    <col min="13582" max="13583" width="20.28515625" style="305" customWidth="1"/>
    <col min="13584" max="13584" width="7.28515625" style="305" customWidth="1"/>
    <col min="13585" max="13585" width="28.5703125" style="305" bestFit="1" customWidth="1"/>
    <col min="13586" max="13586" width="0" style="305" hidden="1" customWidth="1"/>
    <col min="13587" max="13822" width="12.5703125" style="305"/>
    <col min="13823" max="13823" width="59.28515625" style="305" customWidth="1"/>
    <col min="13824" max="13824" width="1.140625" style="305" customWidth="1"/>
    <col min="13825" max="13825" width="18.5703125" style="305" customWidth="1"/>
    <col min="13826" max="13826" width="1.85546875" style="305" customWidth="1"/>
    <col min="13827" max="13827" width="19.7109375" style="305" customWidth="1"/>
    <col min="13828" max="13828" width="1.42578125" style="305" customWidth="1"/>
    <col min="13829" max="13829" width="0" style="305" hidden="1" customWidth="1"/>
    <col min="13830" max="13830" width="1" style="305" customWidth="1"/>
    <col min="13831" max="13837" width="0" style="305" hidden="1" customWidth="1"/>
    <col min="13838" max="13839" width="20.28515625" style="305" customWidth="1"/>
    <col min="13840" max="13840" width="7.28515625" style="305" customWidth="1"/>
    <col min="13841" max="13841" width="28.5703125" style="305" bestFit="1" customWidth="1"/>
    <col min="13842" max="13842" width="0" style="305" hidden="1" customWidth="1"/>
    <col min="13843" max="14078" width="12.5703125" style="305"/>
    <col min="14079" max="14079" width="59.28515625" style="305" customWidth="1"/>
    <col min="14080" max="14080" width="1.140625" style="305" customWidth="1"/>
    <col min="14081" max="14081" width="18.5703125" style="305" customWidth="1"/>
    <col min="14082" max="14082" width="1.85546875" style="305" customWidth="1"/>
    <col min="14083" max="14083" width="19.7109375" style="305" customWidth="1"/>
    <col min="14084" max="14084" width="1.42578125" style="305" customWidth="1"/>
    <col min="14085" max="14085" width="0" style="305" hidden="1" customWidth="1"/>
    <col min="14086" max="14086" width="1" style="305" customWidth="1"/>
    <col min="14087" max="14093" width="0" style="305" hidden="1" customWidth="1"/>
    <col min="14094" max="14095" width="20.28515625" style="305" customWidth="1"/>
    <col min="14096" max="14096" width="7.28515625" style="305" customWidth="1"/>
    <col min="14097" max="14097" width="28.5703125" style="305" bestFit="1" customWidth="1"/>
    <col min="14098" max="14098" width="0" style="305" hidden="1" customWidth="1"/>
    <col min="14099" max="14334" width="12.5703125" style="305"/>
    <col min="14335" max="14335" width="59.28515625" style="305" customWidth="1"/>
    <col min="14336" max="14336" width="1.140625" style="305" customWidth="1"/>
    <col min="14337" max="14337" width="18.5703125" style="305" customWidth="1"/>
    <col min="14338" max="14338" width="1.85546875" style="305" customWidth="1"/>
    <col min="14339" max="14339" width="19.7109375" style="305" customWidth="1"/>
    <col min="14340" max="14340" width="1.42578125" style="305" customWidth="1"/>
    <col min="14341" max="14341" width="0" style="305" hidden="1" customWidth="1"/>
    <col min="14342" max="14342" width="1" style="305" customWidth="1"/>
    <col min="14343" max="14349" width="0" style="305" hidden="1" customWidth="1"/>
    <col min="14350" max="14351" width="20.28515625" style="305" customWidth="1"/>
    <col min="14352" max="14352" width="7.28515625" style="305" customWidth="1"/>
    <col min="14353" max="14353" width="28.5703125" style="305" bestFit="1" customWidth="1"/>
    <col min="14354" max="14354" width="0" style="305" hidden="1" customWidth="1"/>
    <col min="14355" max="14590" width="12.5703125" style="305"/>
    <col min="14591" max="14591" width="59.28515625" style="305" customWidth="1"/>
    <col min="14592" max="14592" width="1.140625" style="305" customWidth="1"/>
    <col min="14593" max="14593" width="18.5703125" style="305" customWidth="1"/>
    <col min="14594" max="14594" width="1.85546875" style="305" customWidth="1"/>
    <col min="14595" max="14595" width="19.7109375" style="305" customWidth="1"/>
    <col min="14596" max="14596" width="1.42578125" style="305" customWidth="1"/>
    <col min="14597" max="14597" width="0" style="305" hidden="1" customWidth="1"/>
    <col min="14598" max="14598" width="1" style="305" customWidth="1"/>
    <col min="14599" max="14605" width="0" style="305" hidden="1" customWidth="1"/>
    <col min="14606" max="14607" width="20.28515625" style="305" customWidth="1"/>
    <col min="14608" max="14608" width="7.28515625" style="305" customWidth="1"/>
    <col min="14609" max="14609" width="28.5703125" style="305" bestFit="1" customWidth="1"/>
    <col min="14610" max="14610" width="0" style="305" hidden="1" customWidth="1"/>
    <col min="14611" max="14846" width="12.5703125" style="305"/>
    <col min="14847" max="14847" width="59.28515625" style="305" customWidth="1"/>
    <col min="14848" max="14848" width="1.140625" style="305" customWidth="1"/>
    <col min="14849" max="14849" width="18.5703125" style="305" customWidth="1"/>
    <col min="14850" max="14850" width="1.85546875" style="305" customWidth="1"/>
    <col min="14851" max="14851" width="19.7109375" style="305" customWidth="1"/>
    <col min="14852" max="14852" width="1.42578125" style="305" customWidth="1"/>
    <col min="14853" max="14853" width="0" style="305" hidden="1" customWidth="1"/>
    <col min="14854" max="14854" width="1" style="305" customWidth="1"/>
    <col min="14855" max="14861" width="0" style="305" hidden="1" customWidth="1"/>
    <col min="14862" max="14863" width="20.28515625" style="305" customWidth="1"/>
    <col min="14864" max="14864" width="7.28515625" style="305" customWidth="1"/>
    <col min="14865" max="14865" width="28.5703125" style="305" bestFit="1" customWidth="1"/>
    <col min="14866" max="14866" width="0" style="305" hidden="1" customWidth="1"/>
    <col min="14867" max="15102" width="12.5703125" style="305"/>
    <col min="15103" max="15103" width="59.28515625" style="305" customWidth="1"/>
    <col min="15104" max="15104" width="1.140625" style="305" customWidth="1"/>
    <col min="15105" max="15105" width="18.5703125" style="305" customWidth="1"/>
    <col min="15106" max="15106" width="1.85546875" style="305" customWidth="1"/>
    <col min="15107" max="15107" width="19.7109375" style="305" customWidth="1"/>
    <col min="15108" max="15108" width="1.42578125" style="305" customWidth="1"/>
    <col min="15109" max="15109" width="0" style="305" hidden="1" customWidth="1"/>
    <col min="15110" max="15110" width="1" style="305" customWidth="1"/>
    <col min="15111" max="15117" width="0" style="305" hidden="1" customWidth="1"/>
    <col min="15118" max="15119" width="20.28515625" style="305" customWidth="1"/>
    <col min="15120" max="15120" width="7.28515625" style="305" customWidth="1"/>
    <col min="15121" max="15121" width="28.5703125" style="305" bestFit="1" customWidth="1"/>
    <col min="15122" max="15122" width="0" style="305" hidden="1" customWidth="1"/>
    <col min="15123" max="15358" width="12.5703125" style="305"/>
    <col min="15359" max="15359" width="59.28515625" style="305" customWidth="1"/>
    <col min="15360" max="15360" width="1.140625" style="305" customWidth="1"/>
    <col min="15361" max="15361" width="18.5703125" style="305" customWidth="1"/>
    <col min="15362" max="15362" width="1.85546875" style="305" customWidth="1"/>
    <col min="15363" max="15363" width="19.7109375" style="305" customWidth="1"/>
    <col min="15364" max="15364" width="1.42578125" style="305" customWidth="1"/>
    <col min="15365" max="15365" width="0" style="305" hidden="1" customWidth="1"/>
    <col min="15366" max="15366" width="1" style="305" customWidth="1"/>
    <col min="15367" max="15373" width="0" style="305" hidden="1" customWidth="1"/>
    <col min="15374" max="15375" width="20.28515625" style="305" customWidth="1"/>
    <col min="15376" max="15376" width="7.28515625" style="305" customWidth="1"/>
    <col min="15377" max="15377" width="28.5703125" style="305" bestFit="1" customWidth="1"/>
    <col min="15378" max="15378" width="0" style="305" hidden="1" customWidth="1"/>
    <col min="15379" max="15614" width="12.5703125" style="305"/>
    <col min="15615" max="15615" width="59.28515625" style="305" customWidth="1"/>
    <col min="15616" max="15616" width="1.140625" style="305" customWidth="1"/>
    <col min="15617" max="15617" width="18.5703125" style="305" customWidth="1"/>
    <col min="15618" max="15618" width="1.85546875" style="305" customWidth="1"/>
    <col min="15619" max="15619" width="19.7109375" style="305" customWidth="1"/>
    <col min="15620" max="15620" width="1.42578125" style="305" customWidth="1"/>
    <col min="15621" max="15621" width="0" style="305" hidden="1" customWidth="1"/>
    <col min="15622" max="15622" width="1" style="305" customWidth="1"/>
    <col min="15623" max="15629" width="0" style="305" hidden="1" customWidth="1"/>
    <col min="15630" max="15631" width="20.28515625" style="305" customWidth="1"/>
    <col min="15632" max="15632" width="7.28515625" style="305" customWidth="1"/>
    <col min="15633" max="15633" width="28.5703125" style="305" bestFit="1" customWidth="1"/>
    <col min="15634" max="15634" width="0" style="305" hidden="1" customWidth="1"/>
    <col min="15635" max="15870" width="12.5703125" style="305"/>
    <col min="15871" max="15871" width="59.28515625" style="305" customWidth="1"/>
    <col min="15872" max="15872" width="1.140625" style="305" customWidth="1"/>
    <col min="15873" max="15873" width="18.5703125" style="305" customWidth="1"/>
    <col min="15874" max="15874" width="1.85546875" style="305" customWidth="1"/>
    <col min="15875" max="15875" width="19.7109375" style="305" customWidth="1"/>
    <col min="15876" max="15876" width="1.42578125" style="305" customWidth="1"/>
    <col min="15877" max="15877" width="0" style="305" hidden="1" customWidth="1"/>
    <col min="15878" max="15878" width="1" style="305" customWidth="1"/>
    <col min="15879" max="15885" width="0" style="305" hidden="1" customWidth="1"/>
    <col min="15886" max="15887" width="20.28515625" style="305" customWidth="1"/>
    <col min="15888" max="15888" width="7.28515625" style="305" customWidth="1"/>
    <col min="15889" max="15889" width="28.5703125" style="305" bestFit="1" customWidth="1"/>
    <col min="15890" max="15890" width="0" style="305" hidden="1" customWidth="1"/>
    <col min="15891" max="16126" width="12.5703125" style="305"/>
    <col min="16127" max="16127" width="59.28515625" style="305" customWidth="1"/>
    <col min="16128" max="16128" width="1.140625" style="305" customWidth="1"/>
    <col min="16129" max="16129" width="18.5703125" style="305" customWidth="1"/>
    <col min="16130" max="16130" width="1.85546875" style="305" customWidth="1"/>
    <col min="16131" max="16131" width="19.7109375" style="305" customWidth="1"/>
    <col min="16132" max="16132" width="1.42578125" style="305" customWidth="1"/>
    <col min="16133" max="16133" width="0" style="305" hidden="1" customWidth="1"/>
    <col min="16134" max="16134" width="1" style="305" customWidth="1"/>
    <col min="16135" max="16141" width="0" style="305" hidden="1" customWidth="1"/>
    <col min="16142" max="16143" width="20.28515625" style="305" customWidth="1"/>
    <col min="16144" max="16144" width="7.28515625" style="305" customWidth="1"/>
    <col min="16145" max="16145" width="28.5703125" style="305" bestFit="1" customWidth="1"/>
    <col min="16146" max="16146" width="0" style="305" hidden="1" customWidth="1"/>
    <col min="16147" max="16384" width="12.5703125" style="305"/>
  </cols>
  <sheetData>
    <row r="2" spans="1:16" ht="22.5">
      <c r="A2" s="837" t="s">
        <v>575</v>
      </c>
      <c r="B2" s="837"/>
      <c r="C2" s="837"/>
      <c r="D2" s="837"/>
      <c r="E2" s="837"/>
      <c r="F2" s="837"/>
      <c r="G2" s="837"/>
      <c r="H2" s="837"/>
      <c r="I2" s="304"/>
      <c r="K2" s="304"/>
      <c r="M2" s="304"/>
      <c r="O2" s="304"/>
    </row>
    <row r="3" spans="1:16" ht="22.5">
      <c r="A3" s="837" t="s">
        <v>1080</v>
      </c>
      <c r="B3" s="837"/>
      <c r="C3" s="837"/>
      <c r="D3" s="837"/>
      <c r="E3" s="837"/>
      <c r="F3" s="837"/>
      <c r="G3" s="837"/>
      <c r="H3" s="837"/>
      <c r="I3" s="304"/>
      <c r="K3" s="304"/>
      <c r="M3" s="304"/>
      <c r="O3" s="304"/>
    </row>
    <row r="4" spans="1:16" ht="18.75">
      <c r="A4" s="838" t="s">
        <v>576</v>
      </c>
      <c r="B4" s="838"/>
      <c r="C4" s="838"/>
      <c r="D4" s="838"/>
      <c r="E4" s="838"/>
      <c r="F4" s="838"/>
      <c r="G4" s="838"/>
      <c r="H4" s="838"/>
      <c r="I4" s="306"/>
      <c r="K4" s="306"/>
      <c r="M4" s="306"/>
      <c r="O4" s="306"/>
    </row>
    <row r="5" spans="1:16" ht="18.75">
      <c r="A5" s="773"/>
      <c r="B5" s="773"/>
      <c r="C5" s="773"/>
      <c r="D5" s="773"/>
      <c r="E5" s="773"/>
      <c r="F5" s="773"/>
      <c r="G5" s="773"/>
      <c r="H5" s="773"/>
      <c r="I5" s="773"/>
      <c r="K5" s="773"/>
      <c r="M5" s="773"/>
      <c r="O5" s="773"/>
    </row>
    <row r="6" spans="1:16" ht="20.25">
      <c r="A6" s="307" t="s">
        <v>577</v>
      </c>
      <c r="B6" s="308"/>
      <c r="C6" s="309">
        <v>2020</v>
      </c>
      <c r="D6" s="308"/>
      <c r="E6" s="309">
        <v>2019</v>
      </c>
      <c r="F6" s="308"/>
      <c r="G6" s="309"/>
      <c r="H6" s="310"/>
      <c r="I6" s="309" t="s">
        <v>578</v>
      </c>
      <c r="J6" s="310"/>
      <c r="K6" s="309" t="s">
        <v>579</v>
      </c>
      <c r="L6" s="310"/>
      <c r="M6" s="309" t="s">
        <v>580</v>
      </c>
      <c r="N6" s="310"/>
      <c r="O6" s="309" t="s">
        <v>580</v>
      </c>
    </row>
    <row r="7" spans="1:16" ht="9" customHeight="1">
      <c r="A7" s="308"/>
      <c r="B7" s="308"/>
      <c r="C7" s="311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6" ht="18.75">
      <c r="A8" s="312" t="s">
        <v>581</v>
      </c>
      <c r="B8" s="308"/>
      <c r="C8" s="311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spans="1:16" ht="9" customHeight="1">
      <c r="A9" s="308"/>
      <c r="B9" s="308"/>
      <c r="C9" s="311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</row>
    <row r="10" spans="1:16" ht="18.75">
      <c r="A10" s="312" t="s">
        <v>582</v>
      </c>
      <c r="B10" s="313"/>
      <c r="C10" s="314"/>
      <c r="D10" s="313"/>
      <c r="E10" s="313"/>
      <c r="F10" s="313"/>
      <c r="G10" s="313"/>
      <c r="H10" s="308"/>
      <c r="I10" s="313"/>
      <c r="J10" s="308"/>
      <c r="K10" s="313"/>
      <c r="L10" s="308"/>
      <c r="M10" s="313"/>
      <c r="N10" s="308"/>
      <c r="O10" s="313"/>
    </row>
    <row r="11" spans="1:16" ht="17.100000000000001" customHeight="1">
      <c r="A11" s="315" t="s">
        <v>583</v>
      </c>
      <c r="B11" s="316"/>
      <c r="C11" s="317">
        <f>819113186+82000000+12316065898</f>
        <v>13217179084</v>
      </c>
      <c r="D11" s="316"/>
      <c r="E11" s="317">
        <f>1189885187+82000000+7963167055</f>
        <v>9235052242</v>
      </c>
      <c r="F11" s="316"/>
      <c r="G11" s="318"/>
      <c r="H11" s="318"/>
      <c r="I11" s="318">
        <v>91644343</v>
      </c>
      <c r="J11" s="318"/>
      <c r="K11" s="318">
        <v>241999852</v>
      </c>
      <c r="L11" s="318"/>
      <c r="M11" s="318">
        <f>E11-I11</f>
        <v>9143407899</v>
      </c>
      <c r="N11" s="318"/>
      <c r="O11" s="318">
        <f>G11-K11</f>
        <v>-241999852</v>
      </c>
      <c r="P11" s="782"/>
    </row>
    <row r="12" spans="1:16" ht="15.75">
      <c r="A12" s="319"/>
      <c r="B12" s="316"/>
      <c r="C12" s="320">
        <f>SUM(C11:C11)</f>
        <v>13217179084</v>
      </c>
      <c r="D12" s="320"/>
      <c r="E12" s="320">
        <f>SUM(E11:E11)</f>
        <v>9235052242</v>
      </c>
      <c r="F12" s="316"/>
      <c r="G12" s="321"/>
      <c r="H12" s="318"/>
      <c r="I12" s="321">
        <f>SUM(I11:I11)</f>
        <v>91644343</v>
      </c>
      <c r="J12" s="318"/>
      <c r="K12" s="321">
        <f>SUM(K11:K11)</f>
        <v>241999852</v>
      </c>
      <c r="L12" s="318"/>
      <c r="M12" s="321">
        <f>SUM(M11:M11)</f>
        <v>9143407899</v>
      </c>
      <c r="N12" s="318"/>
      <c r="O12" s="321">
        <f>SUM(O11:O11)</f>
        <v>-241999852</v>
      </c>
      <c r="P12" s="782"/>
    </row>
    <row r="13" spans="1:16" ht="18.75" customHeight="1">
      <c r="A13" s="312" t="s">
        <v>584</v>
      </c>
      <c r="B13" s="313"/>
      <c r="C13" s="322"/>
      <c r="D13" s="313"/>
      <c r="E13" s="322"/>
      <c r="F13" s="313"/>
      <c r="G13" s="323"/>
      <c r="H13" s="318"/>
      <c r="I13" s="323"/>
      <c r="J13" s="318"/>
      <c r="K13" s="323"/>
      <c r="L13" s="318"/>
      <c r="M13" s="323"/>
      <c r="N13" s="318"/>
      <c r="O13" s="323"/>
      <c r="P13" s="782"/>
    </row>
    <row r="14" spans="1:16" ht="17.100000000000001" customHeight="1">
      <c r="A14" s="315" t="s">
        <v>585</v>
      </c>
      <c r="B14" s="313"/>
      <c r="C14" s="317">
        <f>4313400393+85689000+2515914747</f>
        <v>6915004140</v>
      </c>
      <c r="D14" s="313"/>
      <c r="E14" s="317">
        <f>2762675399+82704750+3080038974</f>
        <v>5925419123</v>
      </c>
      <c r="F14" s="313"/>
      <c r="G14" s="318"/>
      <c r="H14" s="324"/>
      <c r="I14" s="318">
        <v>4938542513</v>
      </c>
      <c r="J14" s="324"/>
      <c r="K14" s="318">
        <v>2013108975</v>
      </c>
      <c r="L14" s="324"/>
      <c r="M14" s="318">
        <f>E14-I14</f>
        <v>986876610</v>
      </c>
      <c r="N14" s="318"/>
      <c r="O14" s="318">
        <f>G14-K14</f>
        <v>-2013108975</v>
      </c>
      <c r="P14" s="782"/>
    </row>
    <row r="15" spans="1:16" ht="17.100000000000001" customHeight="1">
      <c r="A15" s="315" t="s">
        <v>1066</v>
      </c>
      <c r="B15" s="313"/>
      <c r="C15" s="317">
        <v>-269556575</v>
      </c>
      <c r="D15" s="313"/>
      <c r="E15" s="317">
        <v>-269556575</v>
      </c>
      <c r="F15" s="313"/>
      <c r="G15" s="318"/>
      <c r="H15" s="324"/>
      <c r="I15" s="318"/>
      <c r="J15" s="324"/>
      <c r="K15" s="318"/>
      <c r="L15" s="324"/>
      <c r="M15" s="318"/>
      <c r="N15" s="318"/>
      <c r="O15" s="318"/>
      <c r="P15" s="782"/>
    </row>
    <row r="16" spans="1:16" ht="17.100000000000001" customHeight="1">
      <c r="A16" s="315" t="s">
        <v>586</v>
      </c>
      <c r="B16" s="313"/>
      <c r="C16" s="317">
        <f>1559548641+1440192600+2572886168+25881847+150000000</f>
        <v>5748509256</v>
      </c>
      <c r="D16" s="313"/>
      <c r="E16" s="317">
        <f>1559548641+1440192600+2572886168+25881847+150000000</f>
        <v>5748509256</v>
      </c>
      <c r="F16" s="313"/>
      <c r="G16" s="318"/>
      <c r="H16" s="324"/>
      <c r="I16" s="318">
        <v>0</v>
      </c>
      <c r="J16" s="324"/>
      <c r="K16" s="318">
        <v>-30210788</v>
      </c>
      <c r="L16" s="324"/>
      <c r="M16" s="318" t="e">
        <f>#REF!-I16</f>
        <v>#REF!</v>
      </c>
      <c r="N16" s="318"/>
      <c r="O16" s="318">
        <f>G16-K16</f>
        <v>30210788</v>
      </c>
      <c r="P16" s="782"/>
    </row>
    <row r="17" spans="1:16" ht="17.100000000000001" customHeight="1">
      <c r="A17" s="315" t="s">
        <v>1067</v>
      </c>
      <c r="B17" s="313"/>
      <c r="C17" s="317">
        <f>-5598509256-150000000</f>
        <v>-5748509256</v>
      </c>
      <c r="D17" s="313"/>
      <c r="E17" s="317">
        <f>-5598509256-150000000</f>
        <v>-5748509256</v>
      </c>
      <c r="F17" s="313"/>
      <c r="G17" s="318"/>
      <c r="H17" s="324"/>
      <c r="I17" s="318"/>
      <c r="J17" s="324"/>
      <c r="K17" s="318"/>
      <c r="L17" s="324"/>
      <c r="M17" s="318"/>
      <c r="N17" s="318"/>
      <c r="O17" s="318"/>
      <c r="P17" s="782"/>
    </row>
    <row r="18" spans="1:16" ht="17.100000000000001" customHeight="1">
      <c r="A18" s="315" t="s">
        <v>587</v>
      </c>
      <c r="B18" s="313"/>
      <c r="C18" s="317">
        <f>2782427+167409554+1892143+32581970</f>
        <v>204666094</v>
      </c>
      <c r="D18" s="313"/>
      <c r="E18" s="317">
        <f>6721125+286167770+20404221+24219334</f>
        <v>337512450</v>
      </c>
      <c r="F18" s="313"/>
      <c r="G18" s="318"/>
      <c r="H18" s="324"/>
      <c r="I18" s="318">
        <v>903821042</v>
      </c>
      <c r="J18" s="324"/>
      <c r="K18" s="318">
        <v>1156735977</v>
      </c>
      <c r="L18" s="324"/>
      <c r="M18" s="318">
        <f>E18-I18</f>
        <v>-566308592</v>
      </c>
      <c r="N18" s="318"/>
      <c r="O18" s="318">
        <f>G18-K18</f>
        <v>-1156735977</v>
      </c>
      <c r="P18" s="782"/>
    </row>
    <row r="19" spans="1:16" ht="17.100000000000001" customHeight="1">
      <c r="A19" s="315" t="s">
        <v>588</v>
      </c>
      <c r="B19" s="313"/>
      <c r="C19" s="317">
        <v>78311646</v>
      </c>
      <c r="D19" s="313"/>
      <c r="E19" s="317">
        <v>148615087</v>
      </c>
      <c r="F19" s="313"/>
      <c r="G19" s="318"/>
      <c r="H19" s="324"/>
      <c r="I19" s="318">
        <v>56065</v>
      </c>
      <c r="J19" s="324"/>
      <c r="K19" s="318">
        <v>38095600</v>
      </c>
      <c r="L19" s="324"/>
      <c r="M19" s="318">
        <f>E19-I19</f>
        <v>148559022</v>
      </c>
      <c r="N19" s="318"/>
      <c r="O19" s="318">
        <f>G19-K19</f>
        <v>-38095600</v>
      </c>
      <c r="P19" s="782"/>
    </row>
    <row r="20" spans="1:16" ht="17.100000000000001" customHeight="1">
      <c r="A20" s="315" t="s">
        <v>589</v>
      </c>
      <c r="B20" s="313"/>
      <c r="C20" s="317">
        <f>63555154+4252712</f>
        <v>67807866</v>
      </c>
      <c r="D20" s="313"/>
      <c r="E20" s="317">
        <f>79858622+3090978</f>
        <v>82949600</v>
      </c>
      <c r="F20" s="313"/>
      <c r="G20" s="318"/>
      <c r="H20" s="324"/>
      <c r="I20" s="318"/>
      <c r="J20" s="324"/>
      <c r="K20" s="318"/>
      <c r="L20" s="324"/>
      <c r="M20" s="318"/>
      <c r="N20" s="318"/>
      <c r="O20" s="318"/>
      <c r="P20" s="782"/>
    </row>
    <row r="21" spans="1:16" ht="17.100000000000001" customHeight="1">
      <c r="A21" s="315" t="s">
        <v>590</v>
      </c>
      <c r="B21" s="313"/>
      <c r="C21" s="317">
        <f>10077557065+3254040183</f>
        <v>13331597248</v>
      </c>
      <c r="D21" s="313"/>
      <c r="E21" s="317">
        <f>3829082343+3251752733</f>
        <v>7080835076</v>
      </c>
      <c r="F21" s="313"/>
      <c r="G21" s="318"/>
      <c r="H21" s="324"/>
      <c r="I21" s="318">
        <v>0</v>
      </c>
      <c r="J21" s="324"/>
      <c r="K21" s="318">
        <v>4460565091</v>
      </c>
      <c r="L21" s="324"/>
      <c r="M21" s="318">
        <f>E21-I21</f>
        <v>7080835076</v>
      </c>
      <c r="N21" s="318"/>
      <c r="O21" s="318">
        <f>G21-K21</f>
        <v>-4460565091</v>
      </c>
      <c r="P21" s="782"/>
    </row>
    <row r="22" spans="1:16" ht="17.100000000000001" customHeight="1">
      <c r="A22" s="315" t="s">
        <v>1068</v>
      </c>
      <c r="B22" s="313"/>
      <c r="C22" s="317">
        <v>-3254040183</v>
      </c>
      <c r="D22" s="313"/>
      <c r="E22" s="317">
        <v>-3254040183</v>
      </c>
      <c r="F22" s="313"/>
      <c r="G22" s="318"/>
      <c r="H22" s="324"/>
      <c r="I22" s="318"/>
      <c r="J22" s="324"/>
      <c r="K22" s="318"/>
      <c r="L22" s="324"/>
      <c r="M22" s="318"/>
      <c r="N22" s="318"/>
      <c r="O22" s="318"/>
      <c r="P22" s="782"/>
    </row>
    <row r="23" spans="1:16" ht="17.100000000000001" customHeight="1">
      <c r="A23" s="315" t="s">
        <v>591</v>
      </c>
      <c r="B23" s="313"/>
      <c r="C23" s="317">
        <f>1113264860+343913759</f>
        <v>1457178619</v>
      </c>
      <c r="D23" s="313"/>
      <c r="E23" s="317">
        <f>500744838+4000000</f>
        <v>504744838</v>
      </c>
      <c r="F23" s="313"/>
      <c r="G23" s="318"/>
      <c r="H23" s="324"/>
      <c r="I23" s="318"/>
      <c r="J23" s="324"/>
      <c r="K23" s="318"/>
      <c r="L23" s="324"/>
      <c r="M23" s="318"/>
      <c r="N23" s="318"/>
      <c r="O23" s="318"/>
      <c r="P23" s="782"/>
    </row>
    <row r="24" spans="1:16" ht="17.100000000000001" customHeight="1">
      <c r="A24" s="315" t="s">
        <v>592</v>
      </c>
      <c r="B24" s="313"/>
      <c r="C24" s="317">
        <v>0</v>
      </c>
      <c r="D24" s="313"/>
      <c r="E24" s="317">
        <v>1613010553</v>
      </c>
      <c r="F24" s="313"/>
      <c r="G24" s="318"/>
      <c r="H24" s="324"/>
      <c r="I24" s="318">
        <v>13235209</v>
      </c>
      <c r="J24" s="324"/>
      <c r="K24" s="318">
        <v>862859918</v>
      </c>
      <c r="L24" s="324"/>
      <c r="M24" s="318">
        <f>E24-I24</f>
        <v>1599775344</v>
      </c>
      <c r="N24" s="318"/>
      <c r="O24" s="318">
        <f>G24-K24</f>
        <v>-862859918</v>
      </c>
      <c r="P24" s="782"/>
    </row>
    <row r="25" spans="1:16" ht="18" customHeight="1">
      <c r="A25" s="308"/>
      <c r="B25" s="313"/>
      <c r="C25" s="320">
        <f>SUM(C14:C24)</f>
        <v>18530968855</v>
      </c>
      <c r="D25" s="320"/>
      <c r="E25" s="320">
        <f>SUM(E14:E24)</f>
        <v>12169489969</v>
      </c>
      <c r="F25" s="313"/>
      <c r="G25" s="321"/>
      <c r="H25" s="318"/>
      <c r="I25" s="321">
        <f>SUM(I14:I24)</f>
        <v>5855654829</v>
      </c>
      <c r="J25" s="318"/>
      <c r="K25" s="321">
        <f>SUM(K14:K24)</f>
        <v>8501154773</v>
      </c>
      <c r="L25" s="318"/>
      <c r="M25" s="321" t="e">
        <f>SUM(M14:M24)</f>
        <v>#REF!</v>
      </c>
      <c r="N25" s="318"/>
      <c r="O25" s="321">
        <f>SUM(O14:O24)</f>
        <v>-8501154773</v>
      </c>
      <c r="P25" s="782"/>
    </row>
    <row r="26" spans="1:16" ht="18.75">
      <c r="A26" s="312" t="s">
        <v>593</v>
      </c>
      <c r="B26" s="313"/>
      <c r="C26" s="322"/>
      <c r="D26" s="313"/>
      <c r="E26" s="322"/>
      <c r="F26" s="313"/>
      <c r="G26" s="323"/>
      <c r="H26" s="324"/>
      <c r="I26" s="323"/>
      <c r="J26" s="324"/>
      <c r="K26" s="323"/>
      <c r="L26" s="324"/>
      <c r="M26" s="323"/>
      <c r="N26" s="324"/>
      <c r="O26" s="323"/>
    </row>
    <row r="27" spans="1:16" ht="17.100000000000001" customHeight="1">
      <c r="A27" s="315" t="s">
        <v>594</v>
      </c>
      <c r="B27" s="313"/>
      <c r="C27" s="317">
        <v>3801088698</v>
      </c>
      <c r="D27" s="313"/>
      <c r="E27" s="317">
        <v>4528872329</v>
      </c>
      <c r="F27" s="313"/>
      <c r="G27" s="318"/>
      <c r="H27" s="324"/>
      <c r="I27" s="318">
        <v>2029561563</v>
      </c>
      <c r="J27" s="324"/>
      <c r="K27" s="318">
        <v>949594717</v>
      </c>
      <c r="L27" s="324"/>
      <c r="M27" s="318">
        <f>E27-I27</f>
        <v>2499310766</v>
      </c>
      <c r="N27" s="318"/>
      <c r="O27" s="318">
        <f>G27-K27</f>
        <v>-949594717</v>
      </c>
    </row>
    <row r="28" spans="1:16" ht="15.75">
      <c r="A28" s="315" t="s">
        <v>595</v>
      </c>
      <c r="B28" s="313"/>
      <c r="C28" s="317">
        <v>17693541781</v>
      </c>
      <c r="D28" s="313"/>
      <c r="E28" s="317">
        <v>17726673763</v>
      </c>
      <c r="F28" s="313"/>
      <c r="G28" s="318"/>
      <c r="H28" s="324"/>
      <c r="I28" s="318">
        <v>10663020739</v>
      </c>
      <c r="J28" s="324"/>
      <c r="K28" s="318">
        <v>4577236553</v>
      </c>
      <c r="L28" s="324"/>
      <c r="M28" s="318">
        <f>E28-I28</f>
        <v>7063653024</v>
      </c>
      <c r="N28" s="318"/>
      <c r="O28" s="318">
        <f>G28-K28</f>
        <v>-4577236553</v>
      </c>
    </row>
    <row r="29" spans="1:16" ht="15.75">
      <c r="A29" s="315" t="s">
        <v>596</v>
      </c>
      <c r="B29" s="313"/>
      <c r="C29" s="317">
        <v>301276120</v>
      </c>
      <c r="D29" s="313"/>
      <c r="E29" s="317">
        <v>557756666</v>
      </c>
      <c r="F29" s="313"/>
      <c r="G29" s="318"/>
      <c r="H29" s="324"/>
      <c r="I29" s="318">
        <v>2165724890</v>
      </c>
      <c r="J29" s="324"/>
      <c r="K29" s="318">
        <v>2757338104</v>
      </c>
      <c r="L29" s="324"/>
      <c r="M29" s="318">
        <f>E29-I29</f>
        <v>-1607968224</v>
      </c>
      <c r="N29" s="318"/>
      <c r="O29" s="318">
        <f>G29-K29</f>
        <v>-2757338104</v>
      </c>
    </row>
    <row r="30" spans="1:16" ht="15.75">
      <c r="A30" s="315" t="s">
        <v>597</v>
      </c>
      <c r="B30" s="313"/>
      <c r="C30" s="317">
        <f>5169130+282919729</f>
        <v>288088859</v>
      </c>
      <c r="D30" s="313"/>
      <c r="E30" s="317">
        <f>305088329+834670</f>
        <v>305922999</v>
      </c>
      <c r="F30" s="313"/>
      <c r="G30" s="318"/>
      <c r="H30" s="324"/>
      <c r="I30" s="318">
        <v>2593951165</v>
      </c>
      <c r="J30" s="324"/>
      <c r="K30" s="318">
        <v>3300455</v>
      </c>
      <c r="L30" s="324"/>
      <c r="M30" s="318">
        <f>E30-I30</f>
        <v>-2288028166</v>
      </c>
      <c r="N30" s="318"/>
      <c r="O30" s="318">
        <f>G30-K30</f>
        <v>-3300455</v>
      </c>
    </row>
    <row r="31" spans="1:16" ht="15.75">
      <c r="A31" s="315" t="s">
        <v>598</v>
      </c>
      <c r="B31" s="313"/>
      <c r="C31" s="317">
        <f>728030257+52176512+3936392</f>
        <v>784143161</v>
      </c>
      <c r="D31" s="313"/>
      <c r="E31" s="317">
        <f>52114639+5506985+709756269</f>
        <v>767377893</v>
      </c>
      <c r="F31" s="313"/>
      <c r="G31" s="318"/>
      <c r="H31" s="324"/>
      <c r="I31" s="318">
        <v>885990622</v>
      </c>
      <c r="J31" s="324"/>
      <c r="K31" s="318">
        <v>1062278739</v>
      </c>
      <c r="L31" s="324"/>
      <c r="M31" s="318">
        <f>E31-I31</f>
        <v>-118612729</v>
      </c>
      <c r="N31" s="318"/>
      <c r="O31" s="318">
        <f>G31-K31</f>
        <v>-1062278739</v>
      </c>
    </row>
    <row r="32" spans="1:16" ht="18" customHeight="1">
      <c r="A32" s="308"/>
      <c r="B32" s="313"/>
      <c r="C32" s="320">
        <f>SUM(C27:C31)</f>
        <v>22868138619</v>
      </c>
      <c r="D32" s="320"/>
      <c r="E32" s="320">
        <f>SUM(E27:E31)</f>
        <v>23886603650</v>
      </c>
      <c r="F32" s="313"/>
      <c r="G32" s="325"/>
      <c r="H32" s="318"/>
      <c r="I32" s="321">
        <f>SUM(I27:I31)</f>
        <v>18338248979</v>
      </c>
      <c r="J32" s="318"/>
      <c r="K32" s="321">
        <f>SUM(K27:K31)</f>
        <v>9349748568</v>
      </c>
      <c r="L32" s="318"/>
      <c r="M32" s="321">
        <f>SUM(M27:M31)</f>
        <v>5548354671</v>
      </c>
      <c r="N32" s="318"/>
      <c r="O32" s="321">
        <f>SUM(O27:O31)</f>
        <v>-9349748568</v>
      </c>
    </row>
    <row r="33" spans="1:15" ht="18.75">
      <c r="A33" s="326" t="s">
        <v>599</v>
      </c>
      <c r="B33" s="327"/>
      <c r="C33" s="328"/>
      <c r="D33" s="327"/>
      <c r="E33" s="328"/>
      <c r="F33" s="327"/>
      <c r="G33" s="329"/>
      <c r="H33" s="330"/>
      <c r="I33" s="329"/>
      <c r="J33" s="330"/>
      <c r="K33" s="329"/>
      <c r="L33" s="330"/>
      <c r="M33" s="329"/>
      <c r="N33" s="330"/>
      <c r="O33" s="329"/>
    </row>
    <row r="34" spans="1:15" ht="16.5" customHeight="1">
      <c r="A34" s="331" t="s">
        <v>600</v>
      </c>
      <c r="B34" s="327"/>
      <c r="C34" s="317">
        <v>85044304</v>
      </c>
      <c r="D34" s="313"/>
      <c r="E34" s="317">
        <v>97738720</v>
      </c>
      <c r="F34" s="313"/>
      <c r="G34" s="332"/>
      <c r="H34" s="330"/>
      <c r="I34" s="332">
        <v>79812719</v>
      </c>
      <c r="J34" s="330"/>
      <c r="K34" s="332">
        <v>78218517</v>
      </c>
      <c r="L34" s="330"/>
      <c r="M34" s="318">
        <f>E34-I34</f>
        <v>17926001</v>
      </c>
      <c r="N34" s="318"/>
      <c r="O34" s="318">
        <f>G34-K34</f>
        <v>-78218517</v>
      </c>
    </row>
    <row r="35" spans="1:15" ht="16.5" customHeight="1">
      <c r="A35" s="331" t="s">
        <v>601</v>
      </c>
      <c r="B35" s="327"/>
      <c r="C35" s="317">
        <v>62452048</v>
      </c>
      <c r="D35" s="313"/>
      <c r="E35" s="317">
        <v>540796802</v>
      </c>
      <c r="F35" s="313"/>
      <c r="G35" s="332"/>
      <c r="H35" s="330"/>
      <c r="I35" s="332">
        <v>693507924</v>
      </c>
      <c r="J35" s="330"/>
      <c r="K35" s="332">
        <v>139623862</v>
      </c>
      <c r="L35" s="330"/>
      <c r="M35" s="318">
        <f>E35-I35</f>
        <v>-152711122</v>
      </c>
      <c r="N35" s="318"/>
      <c r="O35" s="318">
        <f>G35-K35</f>
        <v>-139623862</v>
      </c>
    </row>
    <row r="36" spans="1:15" ht="16.5" customHeight="1">
      <c r="A36" s="331" t="s">
        <v>602</v>
      </c>
      <c r="B36" s="327"/>
      <c r="C36" s="317">
        <v>1058702</v>
      </c>
      <c r="D36" s="313"/>
      <c r="E36" s="317">
        <v>3313361</v>
      </c>
      <c r="F36" s="313"/>
      <c r="G36" s="332"/>
      <c r="H36" s="330"/>
      <c r="I36" s="332"/>
      <c r="J36" s="330"/>
      <c r="K36" s="332"/>
      <c r="L36" s="330"/>
      <c r="M36" s="318"/>
      <c r="N36" s="318"/>
      <c r="O36" s="318"/>
    </row>
    <row r="37" spans="1:15" ht="16.5" customHeight="1">
      <c r="A37" s="331" t="s">
        <v>603</v>
      </c>
      <c r="B37" s="327"/>
      <c r="C37" s="317">
        <f>167270391+408627127+56772628</f>
        <v>632670146</v>
      </c>
      <c r="D37" s="313"/>
      <c r="E37" s="317">
        <f>86294418+254492150+74973084</f>
        <v>415759652</v>
      </c>
      <c r="F37" s="313"/>
      <c r="G37" s="332"/>
      <c r="H37" s="330"/>
      <c r="I37" s="332">
        <v>205709797</v>
      </c>
      <c r="J37" s="330"/>
      <c r="K37" s="332">
        <v>89372704</v>
      </c>
      <c r="L37" s="330"/>
      <c r="M37" s="318">
        <f>E37-I37</f>
        <v>210049855</v>
      </c>
      <c r="N37" s="318"/>
      <c r="O37" s="318">
        <f>G37-K37</f>
        <v>-89372704</v>
      </c>
    </row>
    <row r="38" spans="1:15" ht="18" customHeight="1">
      <c r="A38" s="333"/>
      <c r="B38" s="327"/>
      <c r="C38" s="320">
        <f>SUM(C34:C37)</f>
        <v>781225200</v>
      </c>
      <c r="D38" s="320"/>
      <c r="E38" s="320">
        <f>SUM(E34:E37)</f>
        <v>1057608535</v>
      </c>
      <c r="F38" s="313"/>
      <c r="G38" s="334"/>
      <c r="H38" s="332"/>
      <c r="I38" s="335">
        <f>SUM(I34:I37)</f>
        <v>979030440</v>
      </c>
      <c r="J38" s="332"/>
      <c r="K38" s="335">
        <f>SUM(K34:K37)</f>
        <v>307215083</v>
      </c>
      <c r="L38" s="332"/>
      <c r="M38" s="335">
        <f>SUM(M34:M37)</f>
        <v>75264734</v>
      </c>
      <c r="N38" s="332"/>
      <c r="O38" s="335">
        <f>SUM(O34:O37)</f>
        <v>-307215083</v>
      </c>
    </row>
    <row r="39" spans="1:15" ht="15.75">
      <c r="A39" s="308"/>
      <c r="B39" s="308"/>
      <c r="C39" s="336"/>
      <c r="D39" s="308"/>
      <c r="E39" s="336"/>
      <c r="F39" s="308"/>
      <c r="G39" s="337"/>
      <c r="H39" s="324"/>
      <c r="I39" s="337"/>
      <c r="J39" s="324"/>
      <c r="K39" s="337"/>
      <c r="L39" s="324"/>
      <c r="M39" s="337"/>
      <c r="N39" s="324"/>
      <c r="O39" s="337"/>
    </row>
    <row r="40" spans="1:15" ht="18.75">
      <c r="A40" s="312" t="s">
        <v>604</v>
      </c>
      <c r="B40" s="308"/>
      <c r="C40" s="338">
        <f>C12+C25+C32+C38</f>
        <v>55397511758</v>
      </c>
      <c r="D40" s="338"/>
      <c r="E40" s="338">
        <f>E12+E25+E32+E38</f>
        <v>46348754396</v>
      </c>
      <c r="F40" s="308"/>
      <c r="G40" s="325"/>
      <c r="H40" s="325"/>
      <c r="I40" s="339">
        <f>I12+I25+I32+I38</f>
        <v>25264578591</v>
      </c>
      <c r="J40" s="325"/>
      <c r="K40" s="339">
        <f>K12+K25+K32+K38</f>
        <v>18400118276</v>
      </c>
      <c r="L40" s="325"/>
      <c r="M40" s="339" t="e">
        <f>M12+M25+M32+M38</f>
        <v>#REF!</v>
      </c>
      <c r="N40" s="325"/>
      <c r="O40" s="339">
        <f>O12+O25+O32+O38</f>
        <v>-18400118276</v>
      </c>
    </row>
    <row r="41" spans="1:15" ht="15.75">
      <c r="A41" s="308"/>
      <c r="B41" s="308"/>
      <c r="C41" s="336"/>
      <c r="D41" s="308"/>
      <c r="E41" s="308"/>
      <c r="F41" s="308"/>
      <c r="G41" s="337"/>
      <c r="H41" s="324"/>
      <c r="I41" s="337"/>
      <c r="J41" s="324"/>
      <c r="K41" s="337"/>
      <c r="L41" s="324"/>
      <c r="M41" s="337"/>
      <c r="N41" s="324"/>
      <c r="O41" s="337"/>
    </row>
    <row r="42" spans="1:15" ht="15.75">
      <c r="A42" s="308"/>
      <c r="B42" s="308"/>
      <c r="C42" s="336"/>
      <c r="D42" s="308"/>
      <c r="E42" s="308"/>
      <c r="F42" s="308"/>
      <c r="G42" s="337"/>
      <c r="H42" s="324"/>
      <c r="I42" s="337"/>
      <c r="J42" s="324"/>
      <c r="K42" s="337"/>
      <c r="L42" s="324"/>
      <c r="M42" s="337"/>
      <c r="N42" s="324"/>
      <c r="O42" s="337"/>
    </row>
    <row r="43" spans="1:15" ht="30.75" customHeight="1">
      <c r="A43" s="308"/>
      <c r="B43" s="308"/>
      <c r="C43" s="336"/>
      <c r="D43" s="308"/>
      <c r="E43" s="308"/>
      <c r="F43" s="308"/>
      <c r="G43" s="337"/>
      <c r="H43" s="324"/>
      <c r="I43" s="337"/>
      <c r="J43" s="324"/>
      <c r="K43" s="337"/>
      <c r="L43" s="324"/>
      <c r="M43" s="337"/>
      <c r="N43" s="324"/>
      <c r="O43" s="337"/>
    </row>
    <row r="44" spans="1:15" ht="22.5" customHeight="1">
      <c r="A44" s="308"/>
      <c r="B44" s="308"/>
      <c r="C44" s="336"/>
      <c r="D44" s="308"/>
      <c r="E44" s="308"/>
      <c r="F44" s="308"/>
      <c r="G44" s="337"/>
      <c r="H44" s="324"/>
      <c r="I44" s="337"/>
      <c r="J44" s="324"/>
      <c r="K44" s="337"/>
      <c r="L44" s="324"/>
      <c r="M44" s="337"/>
      <c r="N44" s="324"/>
      <c r="O44" s="337"/>
    </row>
    <row r="45" spans="1:15" ht="16.5">
      <c r="A45" s="340" t="s">
        <v>605</v>
      </c>
      <c r="B45" s="341"/>
      <c r="C45" s="342" t="s">
        <v>606</v>
      </c>
      <c r="D45" s="343"/>
      <c r="E45" s="344"/>
      <c r="F45" s="341"/>
      <c r="H45" s="345"/>
      <c r="J45" s="345"/>
      <c r="L45" s="345"/>
      <c r="N45" s="345"/>
    </row>
    <row r="46" spans="1:15" ht="16.5">
      <c r="A46" s="340" t="s">
        <v>607</v>
      </c>
      <c r="B46" s="341"/>
      <c r="C46" s="346" t="s">
        <v>608</v>
      </c>
      <c r="D46" s="343"/>
      <c r="E46" s="344"/>
      <c r="F46" s="341"/>
      <c r="H46" s="345"/>
      <c r="J46" s="345"/>
      <c r="L46" s="345"/>
      <c r="N46" s="345"/>
    </row>
    <row r="47" spans="1:15" ht="16.5">
      <c r="A47" s="341"/>
      <c r="B47" s="341"/>
      <c r="C47" s="347"/>
      <c r="D47" s="341"/>
      <c r="F47" s="341"/>
      <c r="H47" s="345"/>
      <c r="J47" s="345"/>
      <c r="L47" s="345"/>
      <c r="N47" s="345"/>
    </row>
    <row r="48" spans="1:15" ht="16.5">
      <c r="A48" s="341"/>
      <c r="B48" s="341"/>
      <c r="C48" s="347"/>
      <c r="D48" s="341"/>
      <c r="F48" s="341"/>
      <c r="H48" s="345"/>
      <c r="J48" s="345"/>
      <c r="L48" s="345"/>
      <c r="N48" s="345"/>
    </row>
    <row r="49" spans="1:15" ht="16.5">
      <c r="A49" s="341"/>
      <c r="B49" s="341"/>
      <c r="C49" s="347"/>
      <c r="D49" s="341"/>
      <c r="F49" s="341"/>
      <c r="H49" s="345"/>
      <c r="J49" s="345"/>
      <c r="L49" s="345"/>
      <c r="N49" s="345"/>
    </row>
    <row r="50" spans="1:15" ht="23.25" customHeight="1">
      <c r="A50" s="341"/>
      <c r="B50" s="341"/>
      <c r="C50" s="347"/>
      <c r="D50" s="341"/>
      <c r="F50" s="341"/>
      <c r="H50" s="345"/>
      <c r="J50" s="345"/>
      <c r="L50" s="345"/>
      <c r="N50" s="345"/>
    </row>
    <row r="51" spans="1:15" ht="16.5">
      <c r="A51" s="341"/>
      <c r="B51" s="341"/>
      <c r="C51" s="347"/>
      <c r="D51" s="341"/>
      <c r="F51" s="341"/>
      <c r="H51" s="345"/>
      <c r="J51" s="345"/>
      <c r="L51" s="345"/>
      <c r="N51" s="345"/>
    </row>
    <row r="52" spans="1:15" ht="16.5">
      <c r="A52" s="340" t="s">
        <v>609</v>
      </c>
      <c r="B52" s="341"/>
      <c r="C52" s="346" t="s">
        <v>610</v>
      </c>
      <c r="D52" s="343"/>
      <c r="E52" s="344"/>
      <c r="F52" s="341"/>
      <c r="H52" s="345"/>
      <c r="J52" s="345"/>
      <c r="L52" s="345"/>
      <c r="N52" s="345"/>
    </row>
    <row r="53" spans="1:15" ht="16.5">
      <c r="A53" s="340" t="s">
        <v>611</v>
      </c>
      <c r="B53" s="341"/>
      <c r="C53" s="346" t="s">
        <v>612</v>
      </c>
      <c r="D53" s="343"/>
      <c r="E53" s="344"/>
      <c r="F53" s="341"/>
      <c r="H53" s="345"/>
      <c r="J53" s="345"/>
      <c r="L53" s="345"/>
      <c r="N53" s="345"/>
    </row>
    <row r="54" spans="1:15" ht="22.5">
      <c r="A54" s="837" t="s">
        <v>575</v>
      </c>
      <c r="B54" s="837"/>
      <c r="C54" s="837"/>
      <c r="D54" s="837"/>
      <c r="E54" s="837"/>
      <c r="F54" s="837"/>
      <c r="G54" s="837"/>
      <c r="H54" s="837"/>
      <c r="I54" s="304"/>
      <c r="K54" s="304"/>
      <c r="M54" s="304"/>
      <c r="O54" s="304"/>
    </row>
    <row r="55" spans="1:15" ht="22.5">
      <c r="A55" s="837" t="str">
        <f>+A3</f>
        <v>AL 30 DE JUNIO DE 2020 Y 2019</v>
      </c>
      <c r="B55" s="837"/>
      <c r="C55" s="837"/>
      <c r="D55" s="837"/>
      <c r="E55" s="837"/>
      <c r="F55" s="837"/>
      <c r="G55" s="837"/>
      <c r="H55" s="837"/>
      <c r="I55" s="304"/>
      <c r="K55" s="304"/>
      <c r="M55" s="304"/>
      <c r="O55" s="304"/>
    </row>
    <row r="56" spans="1:15" ht="18.75">
      <c r="A56" s="838" t="s">
        <v>576</v>
      </c>
      <c r="B56" s="838"/>
      <c r="C56" s="838"/>
      <c r="D56" s="838"/>
      <c r="E56" s="838"/>
      <c r="F56" s="838"/>
      <c r="G56" s="838"/>
      <c r="H56" s="838"/>
      <c r="I56" s="306"/>
      <c r="K56" s="306"/>
      <c r="M56" s="306"/>
      <c r="O56" s="306"/>
    </row>
    <row r="57" spans="1:15" ht="18.75">
      <c r="A57" s="306"/>
      <c r="B57" s="306"/>
      <c r="C57" s="348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</row>
    <row r="58" spans="1:15" ht="20.25">
      <c r="A58" s="307" t="s">
        <v>577</v>
      </c>
      <c r="B58" s="308"/>
      <c r="C58" s="309">
        <v>2020</v>
      </c>
      <c r="D58" s="308"/>
      <c r="E58" s="309">
        <v>2019</v>
      </c>
      <c r="F58" s="308"/>
      <c r="G58" s="306"/>
      <c r="H58" s="310"/>
      <c r="I58" s="309" t="s">
        <v>578</v>
      </c>
      <c r="J58" s="310"/>
      <c r="K58" s="309" t="s">
        <v>579</v>
      </c>
      <c r="L58" s="310"/>
      <c r="M58" s="309" t="s">
        <v>580</v>
      </c>
      <c r="N58" s="310"/>
      <c r="O58" s="309" t="s">
        <v>580</v>
      </c>
    </row>
    <row r="59" spans="1:15" ht="15.75">
      <c r="A59" s="308"/>
      <c r="B59" s="308"/>
      <c r="C59" s="311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</row>
    <row r="60" spans="1:15" ht="18.75">
      <c r="A60" s="312" t="s">
        <v>613</v>
      </c>
      <c r="B60" s="308"/>
      <c r="C60" s="311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</row>
    <row r="61" spans="1:15" ht="9.75" customHeight="1">
      <c r="A61" s="308"/>
      <c r="B61" s="313"/>
      <c r="C61" s="349"/>
      <c r="D61" s="313"/>
      <c r="E61" s="313"/>
      <c r="F61" s="313"/>
      <c r="G61" s="325"/>
      <c r="H61" s="318"/>
      <c r="I61" s="325"/>
      <c r="J61" s="318"/>
      <c r="K61" s="325"/>
      <c r="L61" s="318"/>
      <c r="M61" s="325"/>
      <c r="N61" s="318"/>
      <c r="O61" s="325"/>
    </row>
    <row r="62" spans="1:15" ht="18.75">
      <c r="A62" s="312" t="s">
        <v>614</v>
      </c>
      <c r="B62" s="313"/>
      <c r="C62" s="322"/>
      <c r="D62" s="313"/>
      <c r="E62" s="313"/>
      <c r="F62" s="313"/>
      <c r="G62" s="323"/>
      <c r="H62" s="324"/>
      <c r="I62" s="323"/>
      <c r="J62" s="324"/>
      <c r="K62" s="323"/>
      <c r="L62" s="324"/>
      <c r="M62" s="323"/>
      <c r="N62" s="324"/>
      <c r="O62" s="323"/>
    </row>
    <row r="63" spans="1:15" ht="15.75">
      <c r="A63" s="350" t="s">
        <v>615</v>
      </c>
      <c r="B63" s="313"/>
      <c r="C63" s="317">
        <f>73246431741+21440951305+5867623677</f>
        <v>100555006723</v>
      </c>
      <c r="D63" s="313"/>
      <c r="E63" s="317">
        <f>69445416054+23978736760+5867623677</f>
        <v>99291776491</v>
      </c>
      <c r="F63" s="313"/>
      <c r="G63" s="318"/>
      <c r="H63" s="324"/>
      <c r="I63" s="318">
        <v>25283041512</v>
      </c>
      <c r="J63" s="324"/>
      <c r="K63" s="318">
        <v>19321338565</v>
      </c>
      <c r="L63" s="324"/>
      <c r="M63" s="318">
        <f>E63-I63</f>
        <v>74008734979</v>
      </c>
      <c r="N63" s="318"/>
      <c r="O63" s="318">
        <f>G63-K63</f>
        <v>-19321338565</v>
      </c>
    </row>
    <row r="64" spans="1:15" ht="15.75">
      <c r="A64" s="350" t="s">
        <v>616</v>
      </c>
      <c r="B64" s="313"/>
      <c r="C64" s="317">
        <f>-59548127941-2849999998</f>
        <v>-62398127939</v>
      </c>
      <c r="D64" s="313"/>
      <c r="E64" s="317">
        <v>-55624384624</v>
      </c>
      <c r="F64" s="313"/>
      <c r="G64" s="318"/>
      <c r="H64" s="324"/>
      <c r="I64" s="318">
        <v>-10260044516</v>
      </c>
      <c r="J64" s="324"/>
      <c r="K64" s="318">
        <v>-8994891876</v>
      </c>
      <c r="L64" s="324"/>
      <c r="M64" s="318">
        <f>E64-I64</f>
        <v>-45364340108</v>
      </c>
      <c r="N64" s="318"/>
      <c r="O64" s="318">
        <f>G64-K64</f>
        <v>8994891876</v>
      </c>
    </row>
    <row r="65" spans="1:15" ht="18" customHeight="1">
      <c r="A65" s="308"/>
      <c r="B65" s="313"/>
      <c r="C65" s="320">
        <f>SUM(C63:C64)</f>
        <v>38156878784</v>
      </c>
      <c r="D65" s="313"/>
      <c r="E65" s="320">
        <f>SUM(E63:E64)</f>
        <v>43667391867</v>
      </c>
      <c r="F65" s="313"/>
      <c r="G65" s="325"/>
      <c r="H65" s="318"/>
      <c r="I65" s="321">
        <f>SUM(I63:I64)</f>
        <v>15022996996</v>
      </c>
      <c r="J65" s="318"/>
      <c r="K65" s="321">
        <f>SUM(K63:K64)</f>
        <v>10326446689</v>
      </c>
      <c r="L65" s="318"/>
      <c r="M65" s="321">
        <f>SUM(M63:M64)</f>
        <v>28644394871</v>
      </c>
      <c r="N65" s="318"/>
      <c r="O65" s="321">
        <f>SUM(O63:O64)</f>
        <v>-10326446689</v>
      </c>
    </row>
    <row r="66" spans="1:15" ht="18.75">
      <c r="A66" s="312" t="s">
        <v>617</v>
      </c>
      <c r="B66" s="313"/>
      <c r="C66" s="322"/>
      <c r="D66" s="313"/>
      <c r="E66" s="322"/>
      <c r="F66" s="313"/>
      <c r="G66" s="323"/>
      <c r="H66" s="324"/>
      <c r="I66" s="323"/>
      <c r="J66" s="324"/>
      <c r="K66" s="323"/>
      <c r="L66" s="324"/>
      <c r="M66" s="323"/>
      <c r="N66" s="324"/>
      <c r="O66" s="323"/>
    </row>
    <row r="67" spans="1:15" ht="16.5" customHeight="1">
      <c r="A67" s="350" t="s">
        <v>618</v>
      </c>
      <c r="B67" s="313"/>
      <c r="C67" s="317">
        <f>1683822331-524246222</f>
        <v>1159576109</v>
      </c>
      <c r="D67" s="313"/>
      <c r="E67" s="317">
        <f>1552032542-341316876</f>
        <v>1210715666</v>
      </c>
      <c r="F67" s="313"/>
      <c r="G67" s="318"/>
      <c r="H67" s="324"/>
      <c r="I67" s="318">
        <v>664880021</v>
      </c>
      <c r="J67" s="324"/>
      <c r="K67" s="318">
        <v>532357619</v>
      </c>
      <c r="L67" s="324"/>
      <c r="M67" s="318">
        <f>E67-I67</f>
        <v>545835645</v>
      </c>
      <c r="N67" s="318"/>
      <c r="O67" s="318">
        <f>G67-K67</f>
        <v>-532357619</v>
      </c>
    </row>
    <row r="68" spans="1:15" ht="16.5" customHeight="1">
      <c r="A68" s="350" t="s">
        <v>619</v>
      </c>
      <c r="B68" s="313"/>
      <c r="C68" s="317">
        <f>3052142128+1631667382</f>
        <v>4683809510</v>
      </c>
      <c r="D68" s="313"/>
      <c r="E68" s="317">
        <f>4833241738+1234718662</f>
        <v>6067960400</v>
      </c>
      <c r="F68" s="313"/>
      <c r="G68" s="318"/>
      <c r="H68" s="324"/>
      <c r="I68" s="318">
        <v>3010415396</v>
      </c>
      <c r="J68" s="324"/>
      <c r="K68" s="318">
        <v>1863052552</v>
      </c>
      <c r="L68" s="324"/>
      <c r="M68" s="318">
        <f>E68-I68</f>
        <v>3057545004</v>
      </c>
      <c r="N68" s="318"/>
      <c r="O68" s="318">
        <f>G68-K68</f>
        <v>-1863052552</v>
      </c>
    </row>
    <row r="69" spans="1:15" ht="16.5" customHeight="1">
      <c r="A69" s="350" t="s">
        <v>620</v>
      </c>
      <c r="B69" s="313"/>
      <c r="C69" s="317">
        <f>10228583268-5095620258</f>
        <v>5132963010</v>
      </c>
      <c r="D69" s="313"/>
      <c r="E69" s="317">
        <f>8510826010-3654539448</f>
        <v>4856286562</v>
      </c>
      <c r="F69" s="313"/>
      <c r="G69" s="351"/>
      <c r="H69" s="324"/>
      <c r="I69" s="352">
        <v>0</v>
      </c>
      <c r="J69" s="324"/>
      <c r="K69" s="352">
        <v>0</v>
      </c>
      <c r="L69" s="324"/>
      <c r="M69" s="318">
        <f>E69-I69</f>
        <v>4856286562</v>
      </c>
      <c r="N69" s="318"/>
      <c r="O69" s="318">
        <v>0</v>
      </c>
    </row>
    <row r="70" spans="1:15" ht="18" customHeight="1">
      <c r="A70" s="308"/>
      <c r="B70" s="313"/>
      <c r="C70" s="353">
        <f>SUM(C67:C69)</f>
        <v>10976348629</v>
      </c>
      <c r="D70" s="313"/>
      <c r="E70" s="353">
        <f>SUM(E67:E69)</f>
        <v>12134962628</v>
      </c>
      <c r="F70" s="313"/>
      <c r="G70" s="354"/>
      <c r="H70" s="318"/>
      <c r="I70" s="355">
        <f>SUM(I67:I69)</f>
        <v>3675295417</v>
      </c>
      <c r="J70" s="318"/>
      <c r="K70" s="355">
        <f>SUM(K67:K69)</f>
        <v>2395410171</v>
      </c>
      <c r="L70" s="318"/>
      <c r="M70" s="355">
        <f>SUM(M67:M69)</f>
        <v>8459667211</v>
      </c>
      <c r="N70" s="318"/>
      <c r="O70" s="355">
        <f>SUM(O67:O69)</f>
        <v>-2395410171</v>
      </c>
    </row>
    <row r="71" spans="1:15" ht="18" customHeight="1">
      <c r="A71" s="312" t="s">
        <v>621</v>
      </c>
      <c r="B71" s="313"/>
      <c r="C71" s="356"/>
      <c r="D71" s="313"/>
      <c r="E71" s="356"/>
      <c r="F71" s="313"/>
      <c r="G71" s="354"/>
      <c r="H71" s="318"/>
      <c r="I71" s="354"/>
      <c r="J71" s="318"/>
      <c r="K71" s="354"/>
      <c r="L71" s="318"/>
      <c r="M71" s="354"/>
      <c r="N71" s="318"/>
      <c r="O71" s="354"/>
    </row>
    <row r="72" spans="1:15" ht="18" customHeight="1">
      <c r="A72" s="308" t="s">
        <v>622</v>
      </c>
      <c r="B72" s="313"/>
      <c r="C72" s="357">
        <v>0</v>
      </c>
      <c r="D72" s="313"/>
      <c r="E72" s="357">
        <v>240712329</v>
      </c>
      <c r="F72" s="313"/>
      <c r="G72" s="354"/>
      <c r="H72" s="318"/>
      <c r="I72" s="354"/>
      <c r="J72" s="318"/>
      <c r="K72" s="354"/>
      <c r="L72" s="318"/>
      <c r="M72" s="354"/>
      <c r="N72" s="318"/>
      <c r="O72" s="354"/>
    </row>
    <row r="73" spans="1:15" ht="18" customHeight="1">
      <c r="A73" s="308" t="s">
        <v>623</v>
      </c>
      <c r="B73" s="313"/>
      <c r="C73" s="357">
        <v>0</v>
      </c>
      <c r="D73" s="313"/>
      <c r="E73" s="357">
        <v>0</v>
      </c>
      <c r="F73" s="313"/>
      <c r="G73" s="354"/>
      <c r="H73" s="318"/>
      <c r="I73" s="354"/>
      <c r="J73" s="318"/>
      <c r="K73" s="354"/>
      <c r="L73" s="318"/>
      <c r="M73" s="354"/>
      <c r="N73" s="318"/>
      <c r="O73" s="354"/>
    </row>
    <row r="74" spans="1:15" ht="18" customHeight="1">
      <c r="A74" s="308" t="s">
        <v>624</v>
      </c>
      <c r="B74" s="313"/>
      <c r="C74" s="357">
        <v>0</v>
      </c>
      <c r="D74" s="313"/>
      <c r="E74" s="357">
        <v>0</v>
      </c>
      <c r="F74" s="313"/>
      <c r="G74" s="354"/>
      <c r="H74" s="318"/>
      <c r="I74" s="354"/>
      <c r="J74" s="318"/>
      <c r="K74" s="354"/>
      <c r="L74" s="318"/>
      <c r="M74" s="354"/>
      <c r="N74" s="318"/>
      <c r="O74" s="354"/>
    </row>
    <row r="75" spans="1:15" ht="18" customHeight="1">
      <c r="A75" s="308"/>
      <c r="B75" s="313"/>
      <c r="C75" s="358">
        <f>SUM(C72:C74)</f>
        <v>0</v>
      </c>
      <c r="D75" s="313"/>
      <c r="E75" s="358">
        <f>SUM(E72:E74)</f>
        <v>240712329</v>
      </c>
      <c r="F75" s="313"/>
      <c r="G75" s="354"/>
      <c r="H75" s="318"/>
      <c r="I75" s="354"/>
      <c r="J75" s="318"/>
      <c r="K75" s="354"/>
      <c r="L75" s="318"/>
      <c r="M75" s="354"/>
      <c r="N75" s="318"/>
      <c r="O75" s="354"/>
    </row>
    <row r="76" spans="1:15" ht="9.75" customHeight="1">
      <c r="A76" s="308"/>
      <c r="B76" s="313"/>
      <c r="C76" s="349"/>
      <c r="D76" s="313"/>
      <c r="E76" s="349"/>
      <c r="F76" s="313"/>
      <c r="G76" s="325"/>
      <c r="H76" s="318"/>
      <c r="I76" s="325"/>
      <c r="J76" s="318"/>
      <c r="K76" s="325"/>
      <c r="L76" s="318"/>
      <c r="M76" s="325"/>
      <c r="N76" s="318"/>
      <c r="O76" s="325"/>
    </row>
    <row r="77" spans="1:15" ht="18.75">
      <c r="A77" s="312" t="s">
        <v>625</v>
      </c>
      <c r="B77" s="308"/>
      <c r="C77" s="338">
        <f>C65+C70+C75</f>
        <v>49133227413</v>
      </c>
      <c r="D77" s="308"/>
      <c r="E77" s="338">
        <f>E65+E70+E75</f>
        <v>56043066824</v>
      </c>
      <c r="F77" s="308"/>
      <c r="G77" s="325"/>
      <c r="H77" s="318"/>
      <c r="I77" s="339">
        <f>I65+I70</f>
        <v>18698292413</v>
      </c>
      <c r="J77" s="318"/>
      <c r="K77" s="339" t="e">
        <f>K65+#REF!+K70</f>
        <v>#REF!</v>
      </c>
      <c r="L77" s="318"/>
      <c r="M77" s="339" t="e">
        <f>M65+M70+#REF!</f>
        <v>#REF!</v>
      </c>
      <c r="N77" s="318"/>
      <c r="O77" s="339" t="e">
        <f>O65+O70+#REF!</f>
        <v>#REF!</v>
      </c>
    </row>
    <row r="78" spans="1:15" ht="15.75">
      <c r="A78" s="308"/>
      <c r="B78" s="313"/>
      <c r="C78" s="322"/>
      <c r="D78" s="313"/>
      <c r="E78" s="322"/>
      <c r="F78" s="313"/>
      <c r="G78" s="323"/>
      <c r="H78" s="318"/>
      <c r="I78" s="323"/>
      <c r="J78" s="318"/>
      <c r="K78" s="323"/>
      <c r="L78" s="318"/>
      <c r="M78" s="323"/>
      <c r="N78" s="318"/>
      <c r="O78" s="323"/>
    </row>
    <row r="79" spans="1:15" ht="19.5" thickBot="1">
      <c r="A79" s="312" t="s">
        <v>626</v>
      </c>
      <c r="B79" s="313"/>
      <c r="C79" s="359">
        <f>C40+C77</f>
        <v>104530739171</v>
      </c>
      <c r="D79" s="313"/>
      <c r="E79" s="359">
        <f>E40+E77</f>
        <v>102391821220</v>
      </c>
      <c r="F79" s="313"/>
      <c r="G79" s="360"/>
      <c r="H79" s="324"/>
      <c r="I79" s="361">
        <f>I40+I77</f>
        <v>43962871004</v>
      </c>
      <c r="J79" s="324"/>
      <c r="K79" s="361" t="e">
        <f>K40+K77</f>
        <v>#REF!</v>
      </c>
      <c r="L79" s="324"/>
      <c r="M79" s="361" t="e">
        <f>M40+M77</f>
        <v>#REF!</v>
      </c>
      <c r="N79" s="324"/>
      <c r="O79" s="361" t="e">
        <f>O40+O77</f>
        <v>#REF!</v>
      </c>
    </row>
    <row r="80" spans="1:15" ht="16.5" thickTop="1">
      <c r="A80" s="308"/>
      <c r="B80" s="308"/>
      <c r="C80" s="336"/>
      <c r="D80" s="308"/>
      <c r="E80" s="308"/>
      <c r="F80" s="308"/>
      <c r="G80" s="337"/>
      <c r="H80" s="324"/>
      <c r="I80" s="337"/>
      <c r="J80" s="324"/>
      <c r="K80" s="337"/>
      <c r="L80" s="324"/>
      <c r="M80" s="337"/>
      <c r="N80" s="324"/>
      <c r="O80" s="337"/>
    </row>
    <row r="81" spans="1:15" ht="15.75">
      <c r="A81" s="308"/>
      <c r="B81" s="308"/>
      <c r="C81" s="336"/>
      <c r="D81" s="308"/>
      <c r="E81" s="308"/>
      <c r="F81" s="308"/>
      <c r="G81" s="337"/>
      <c r="H81" s="324"/>
      <c r="I81" s="337"/>
      <c r="J81" s="324"/>
      <c r="K81" s="337"/>
      <c r="L81" s="324"/>
      <c r="M81" s="337"/>
      <c r="N81" s="324"/>
      <c r="O81" s="337"/>
    </row>
    <row r="82" spans="1:15" ht="15.75">
      <c r="A82" s="308"/>
      <c r="B82" s="308"/>
      <c r="C82" s="336"/>
      <c r="D82" s="308"/>
      <c r="E82" s="308"/>
      <c r="F82" s="308"/>
      <c r="G82" s="337"/>
      <c r="H82" s="324"/>
      <c r="I82" s="337"/>
      <c r="J82" s="324"/>
      <c r="K82" s="337"/>
      <c r="L82" s="324"/>
      <c r="M82" s="337"/>
      <c r="N82" s="324"/>
      <c r="O82" s="337"/>
    </row>
    <row r="83" spans="1:15" ht="27" customHeight="1">
      <c r="A83" s="308"/>
      <c r="B83" s="308"/>
      <c r="C83" s="336"/>
      <c r="D83" s="308"/>
      <c r="E83" s="308"/>
      <c r="F83" s="308"/>
      <c r="G83" s="337"/>
      <c r="H83" s="324"/>
      <c r="I83" s="337"/>
      <c r="J83" s="324"/>
      <c r="K83" s="337"/>
      <c r="L83" s="324"/>
      <c r="M83" s="337"/>
      <c r="N83" s="324"/>
      <c r="O83" s="337"/>
    </row>
    <row r="84" spans="1:15" ht="15.75">
      <c r="A84" s="308"/>
      <c r="B84" s="308"/>
      <c r="C84" s="336"/>
      <c r="D84" s="308"/>
      <c r="E84" s="308"/>
      <c r="F84" s="308"/>
      <c r="G84" s="337"/>
      <c r="H84" s="324"/>
      <c r="I84" s="337"/>
      <c r="J84" s="324"/>
      <c r="K84" s="337"/>
      <c r="L84" s="324"/>
      <c r="M84" s="337"/>
      <c r="N84" s="324"/>
      <c r="O84" s="337"/>
    </row>
    <row r="85" spans="1:15" ht="16.5">
      <c r="A85" s="340" t="s">
        <v>605</v>
      </c>
      <c r="B85" s="341"/>
      <c r="C85" s="342" t="s">
        <v>606</v>
      </c>
      <c r="D85" s="343"/>
      <c r="E85" s="344"/>
      <c r="F85" s="343"/>
      <c r="G85" s="344"/>
      <c r="H85" s="362"/>
      <c r="J85" s="345"/>
      <c r="L85" s="345"/>
      <c r="N85" s="345"/>
    </row>
    <row r="86" spans="1:15" ht="16.5">
      <c r="A86" s="342" t="s">
        <v>607</v>
      </c>
      <c r="B86" s="343"/>
      <c r="C86" s="346" t="s">
        <v>608</v>
      </c>
      <c r="D86" s="343"/>
      <c r="E86" s="344"/>
      <c r="F86" s="343"/>
      <c r="G86" s="344"/>
      <c r="H86" s="362"/>
      <c r="J86" s="345"/>
      <c r="L86" s="345"/>
      <c r="N86" s="345"/>
    </row>
    <row r="87" spans="1:15" ht="16.5">
      <c r="A87" s="343"/>
      <c r="B87" s="343"/>
      <c r="C87" s="363"/>
      <c r="D87" s="343"/>
      <c r="E87" s="344"/>
      <c r="F87" s="343"/>
      <c r="G87" s="344"/>
      <c r="H87" s="362"/>
      <c r="J87" s="345"/>
      <c r="L87" s="345"/>
      <c r="N87" s="345"/>
    </row>
    <row r="88" spans="1:15" ht="16.5">
      <c r="A88" s="343"/>
      <c r="B88" s="343"/>
      <c r="C88" s="363"/>
      <c r="D88" s="343"/>
      <c r="E88" s="344"/>
      <c r="F88" s="343"/>
      <c r="G88" s="344"/>
      <c r="H88" s="362"/>
      <c r="J88" s="345"/>
      <c r="L88" s="345"/>
      <c r="N88" s="345"/>
    </row>
    <row r="89" spans="1:15" ht="29.25" customHeight="1">
      <c r="A89" s="343"/>
      <c r="B89" s="343"/>
      <c r="C89" s="363"/>
      <c r="D89" s="343"/>
      <c r="E89" s="344"/>
      <c r="F89" s="343"/>
      <c r="G89" s="344"/>
      <c r="H89" s="362"/>
      <c r="J89" s="345"/>
      <c r="L89" s="345"/>
      <c r="N89" s="345"/>
    </row>
    <row r="90" spans="1:15" ht="16.5">
      <c r="A90" s="343"/>
      <c r="B90" s="343"/>
      <c r="C90" s="363"/>
      <c r="D90" s="343"/>
      <c r="E90" s="344"/>
      <c r="F90" s="343"/>
      <c r="G90" s="344"/>
      <c r="H90" s="362"/>
      <c r="J90" s="345"/>
      <c r="L90" s="345"/>
      <c r="N90" s="345"/>
    </row>
    <row r="91" spans="1:15" ht="16.5">
      <c r="A91" s="340" t="s">
        <v>609</v>
      </c>
      <c r="B91" s="341"/>
      <c r="C91" s="346" t="s">
        <v>610</v>
      </c>
      <c r="D91" s="343"/>
      <c r="E91" s="344"/>
      <c r="F91" s="343"/>
      <c r="G91" s="344"/>
      <c r="H91" s="362"/>
      <c r="J91" s="345"/>
      <c r="L91" s="345"/>
      <c r="N91" s="345"/>
    </row>
    <row r="92" spans="1:15" ht="16.5">
      <c r="A92" s="342" t="s">
        <v>611</v>
      </c>
      <c r="B92" s="343"/>
      <c r="C92" s="346" t="s">
        <v>612</v>
      </c>
      <c r="D92" s="343"/>
      <c r="E92" s="344"/>
      <c r="F92" s="343"/>
      <c r="G92" s="344"/>
      <c r="H92" s="362"/>
      <c r="J92" s="345"/>
      <c r="L92" s="345"/>
      <c r="N92" s="345"/>
    </row>
    <row r="93" spans="1:15" ht="18.75">
      <c r="A93" s="840"/>
      <c r="B93" s="840"/>
      <c r="C93" s="840"/>
      <c r="D93" s="840"/>
      <c r="E93" s="840"/>
      <c r="F93" s="840"/>
      <c r="G93" s="840"/>
      <c r="H93" s="840"/>
      <c r="I93" s="364"/>
      <c r="K93" s="364"/>
      <c r="M93" s="364"/>
      <c r="O93" s="364"/>
    </row>
    <row r="94" spans="1:15" ht="18.75">
      <c r="A94" s="364"/>
      <c r="B94" s="364"/>
      <c r="C94" s="365"/>
      <c r="D94" s="364"/>
      <c r="E94" s="364"/>
      <c r="F94" s="364"/>
      <c r="G94" s="364"/>
      <c r="H94" s="364"/>
      <c r="I94" s="364"/>
      <c r="K94" s="364"/>
      <c r="M94" s="364"/>
      <c r="O94" s="364"/>
    </row>
    <row r="95" spans="1:15" ht="18.75">
      <c r="A95" s="364"/>
      <c r="B95" s="364"/>
      <c r="C95" s="365"/>
      <c r="D95" s="364"/>
      <c r="E95" s="364"/>
      <c r="F95" s="364"/>
      <c r="G95" s="364"/>
      <c r="H95" s="364"/>
      <c r="I95" s="364"/>
      <c r="K95" s="364"/>
      <c r="M95" s="364"/>
      <c r="O95" s="364"/>
    </row>
    <row r="96" spans="1:15" ht="18.75">
      <c r="A96" s="364"/>
      <c r="B96" s="364"/>
      <c r="C96" s="365"/>
      <c r="D96" s="364"/>
      <c r="E96" s="364"/>
      <c r="F96" s="364"/>
      <c r="G96" s="364"/>
      <c r="H96" s="364"/>
      <c r="I96" s="364"/>
      <c r="K96" s="364"/>
      <c r="M96" s="364"/>
      <c r="O96" s="364"/>
    </row>
    <row r="97" spans="1:15" ht="18.75">
      <c r="A97" s="364"/>
      <c r="B97" s="364"/>
      <c r="C97" s="365"/>
      <c r="D97" s="364"/>
      <c r="E97" s="364"/>
      <c r="F97" s="364"/>
      <c r="G97" s="364"/>
      <c r="H97" s="364"/>
      <c r="I97" s="364"/>
      <c r="K97" s="364"/>
      <c r="M97" s="364"/>
      <c r="O97" s="364"/>
    </row>
    <row r="98" spans="1:15" ht="18.75">
      <c r="A98" s="364"/>
      <c r="B98" s="364"/>
      <c r="C98" s="365"/>
      <c r="D98" s="364"/>
      <c r="E98" s="364"/>
      <c r="F98" s="364"/>
      <c r="G98" s="364"/>
      <c r="H98" s="364"/>
      <c r="I98" s="364"/>
      <c r="K98" s="364"/>
      <c r="M98" s="364"/>
      <c r="O98" s="364"/>
    </row>
    <row r="99" spans="1:15" ht="18.75">
      <c r="A99" s="364"/>
      <c r="B99" s="364"/>
      <c r="C99" s="365"/>
      <c r="D99" s="364"/>
      <c r="E99" s="364"/>
      <c r="F99" s="364"/>
      <c r="G99" s="364"/>
      <c r="H99" s="364"/>
      <c r="I99" s="364"/>
      <c r="K99" s="364"/>
      <c r="M99" s="364"/>
      <c r="O99" s="364"/>
    </row>
    <row r="100" spans="1:15" ht="18.75">
      <c r="A100" s="364"/>
      <c r="B100" s="364"/>
      <c r="C100" s="365"/>
      <c r="D100" s="364"/>
      <c r="E100" s="364"/>
      <c r="F100" s="364"/>
      <c r="G100" s="364"/>
      <c r="H100" s="364"/>
      <c r="I100" s="364"/>
      <c r="K100" s="364"/>
      <c r="M100" s="364"/>
      <c r="O100" s="364"/>
    </row>
    <row r="101" spans="1:15" ht="18.75">
      <c r="A101" s="364"/>
      <c r="B101" s="364"/>
      <c r="C101" s="365"/>
      <c r="D101" s="364"/>
      <c r="E101" s="364"/>
      <c r="F101" s="364"/>
      <c r="G101" s="364"/>
      <c r="H101" s="364"/>
      <c r="I101" s="364"/>
      <c r="K101" s="364"/>
      <c r="M101" s="364"/>
      <c r="O101" s="364"/>
    </row>
    <row r="102" spans="1:15" ht="18.75">
      <c r="A102" s="364"/>
      <c r="B102" s="364"/>
      <c r="C102" s="365"/>
      <c r="D102" s="364"/>
      <c r="E102" s="364"/>
      <c r="F102" s="364"/>
      <c r="G102" s="364"/>
      <c r="H102" s="364"/>
      <c r="I102" s="364"/>
      <c r="K102" s="364"/>
      <c r="M102" s="364"/>
      <c r="O102" s="364"/>
    </row>
    <row r="103" spans="1:15" ht="18.75">
      <c r="A103" s="364"/>
      <c r="B103" s="364"/>
      <c r="C103" s="365"/>
      <c r="D103" s="364"/>
      <c r="E103" s="364"/>
      <c r="F103" s="364"/>
      <c r="G103" s="364"/>
      <c r="H103" s="364"/>
      <c r="I103" s="364"/>
      <c r="K103" s="364"/>
      <c r="M103" s="364"/>
      <c r="O103" s="364"/>
    </row>
    <row r="104" spans="1:15" ht="18.75">
      <c r="A104" s="364"/>
      <c r="B104" s="364"/>
      <c r="C104" s="365"/>
      <c r="D104" s="364"/>
      <c r="E104" s="364"/>
      <c r="F104" s="364"/>
      <c r="G104" s="364"/>
      <c r="H104" s="364"/>
      <c r="I104" s="364"/>
      <c r="K104" s="364"/>
      <c r="M104" s="364"/>
      <c r="O104" s="364"/>
    </row>
    <row r="105" spans="1:15" ht="18.75">
      <c r="A105" s="364"/>
      <c r="B105" s="364"/>
      <c r="C105" s="365"/>
      <c r="D105" s="364"/>
      <c r="E105" s="364"/>
      <c r="F105" s="364"/>
      <c r="G105" s="364"/>
      <c r="H105" s="364"/>
      <c r="I105" s="364"/>
      <c r="K105" s="364"/>
      <c r="M105" s="364"/>
      <c r="O105" s="364"/>
    </row>
    <row r="106" spans="1:15" ht="18.75">
      <c r="A106" s="364"/>
      <c r="B106" s="364"/>
      <c r="C106" s="365"/>
      <c r="D106" s="364"/>
      <c r="E106" s="364"/>
      <c r="F106" s="364"/>
      <c r="G106" s="364"/>
      <c r="H106" s="364"/>
      <c r="I106" s="364"/>
      <c r="K106" s="364"/>
      <c r="M106" s="364"/>
      <c r="O106" s="364"/>
    </row>
    <row r="107" spans="1:15" ht="18.75">
      <c r="A107" s="364"/>
      <c r="B107" s="364"/>
      <c r="C107" s="365"/>
      <c r="D107" s="364"/>
      <c r="E107" s="364"/>
      <c r="F107" s="364"/>
      <c r="G107" s="364"/>
      <c r="H107" s="364"/>
      <c r="I107" s="364"/>
      <c r="K107" s="364"/>
      <c r="M107" s="364"/>
      <c r="O107" s="364"/>
    </row>
    <row r="108" spans="1:15" ht="18.75">
      <c r="A108" s="364"/>
      <c r="B108" s="364"/>
      <c r="C108" s="365"/>
      <c r="D108" s="364"/>
      <c r="E108" s="364"/>
      <c r="F108" s="364"/>
      <c r="G108" s="364"/>
      <c r="H108" s="364"/>
      <c r="I108" s="364"/>
      <c r="K108" s="364"/>
      <c r="M108" s="364"/>
      <c r="O108" s="364"/>
    </row>
    <row r="109" spans="1:15" ht="9.75" customHeight="1">
      <c r="A109" s="364"/>
      <c r="B109" s="364"/>
      <c r="C109" s="365"/>
      <c r="D109" s="364"/>
      <c r="E109" s="364"/>
      <c r="F109" s="364"/>
      <c r="G109" s="364"/>
      <c r="H109" s="364"/>
      <c r="I109" s="364"/>
      <c r="K109" s="364"/>
      <c r="M109" s="364"/>
      <c r="O109" s="364"/>
    </row>
    <row r="110" spans="1:15" ht="6.75" customHeight="1">
      <c r="A110" s="364"/>
      <c r="B110" s="364"/>
      <c r="C110" s="365"/>
      <c r="D110" s="364"/>
      <c r="E110" s="364"/>
      <c r="F110" s="364"/>
      <c r="G110" s="364"/>
      <c r="H110" s="364"/>
      <c r="I110" s="364"/>
      <c r="K110" s="364"/>
      <c r="M110" s="364"/>
      <c r="O110" s="364"/>
    </row>
    <row r="111" spans="1:15" ht="18.75">
      <c r="A111" s="364"/>
      <c r="B111" s="364"/>
      <c r="C111" s="365"/>
      <c r="D111" s="364"/>
      <c r="E111" s="364"/>
      <c r="F111" s="364"/>
      <c r="G111" s="364"/>
      <c r="H111" s="364"/>
      <c r="I111" s="364"/>
      <c r="K111" s="364"/>
      <c r="M111" s="364"/>
      <c r="O111" s="364"/>
    </row>
    <row r="112" spans="1:15" ht="22.5">
      <c r="A112" s="837" t="s">
        <v>575</v>
      </c>
      <c r="B112" s="837"/>
      <c r="C112" s="837"/>
      <c r="D112" s="837"/>
      <c r="E112" s="837"/>
      <c r="F112" s="837"/>
      <c r="G112" s="837"/>
      <c r="H112" s="837"/>
      <c r="I112" s="304"/>
      <c r="K112" s="304"/>
      <c r="M112" s="304"/>
      <c r="O112" s="304"/>
    </row>
    <row r="113" spans="1:15" ht="22.5">
      <c r="A113" s="837" t="str">
        <f>+A55</f>
        <v>AL 30 DE JUNIO DE 2020 Y 2019</v>
      </c>
      <c r="B113" s="837"/>
      <c r="C113" s="837"/>
      <c r="D113" s="837"/>
      <c r="E113" s="837"/>
      <c r="F113" s="837"/>
      <c r="G113" s="837"/>
      <c r="H113" s="837"/>
      <c r="I113" s="304"/>
      <c r="K113" s="304"/>
      <c r="M113" s="304"/>
      <c r="O113" s="304"/>
    </row>
    <row r="114" spans="1:15" ht="18.75">
      <c r="A114" s="838" t="s">
        <v>576</v>
      </c>
      <c r="B114" s="838"/>
      <c r="C114" s="838"/>
      <c r="D114" s="838"/>
      <c r="E114" s="838"/>
      <c r="F114" s="838"/>
      <c r="G114" s="838"/>
      <c r="H114" s="838"/>
      <c r="I114" s="306"/>
      <c r="K114" s="306"/>
      <c r="M114" s="306"/>
      <c r="O114" s="306"/>
    </row>
    <row r="115" spans="1:15" ht="15.75">
      <c r="A115" s="308"/>
      <c r="B115" s="308"/>
      <c r="C115" s="311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</row>
    <row r="116" spans="1:15" ht="20.25">
      <c r="A116" s="307" t="s">
        <v>627</v>
      </c>
      <c r="B116" s="308"/>
      <c r="C116" s="309">
        <v>2020</v>
      </c>
      <c r="D116" s="308"/>
      <c r="E116" s="309">
        <v>2019</v>
      </c>
      <c r="F116" s="308"/>
      <c r="G116" s="306"/>
      <c r="H116" s="310"/>
      <c r="I116" s="309" t="s">
        <v>578</v>
      </c>
      <c r="J116" s="310"/>
      <c r="K116" s="309" t="s">
        <v>579</v>
      </c>
      <c r="L116" s="310"/>
      <c r="M116" s="309" t="s">
        <v>580</v>
      </c>
      <c r="N116" s="310"/>
      <c r="O116" s="309" t="s">
        <v>580</v>
      </c>
    </row>
    <row r="117" spans="1:15" ht="15.75">
      <c r="A117" s="308"/>
      <c r="B117" s="313"/>
      <c r="C117" s="314"/>
      <c r="D117" s="313"/>
      <c r="E117" s="313"/>
      <c r="F117" s="313"/>
      <c r="G117" s="313"/>
      <c r="H117" s="308"/>
      <c r="I117" s="313"/>
      <c r="J117" s="308"/>
      <c r="K117" s="313"/>
      <c r="L117" s="308"/>
      <c r="M117" s="313"/>
      <c r="N117" s="308"/>
      <c r="O117" s="313"/>
    </row>
    <row r="118" spans="1:15" ht="18.75">
      <c r="A118" s="366" t="s">
        <v>628</v>
      </c>
      <c r="B118" s="313"/>
      <c r="C118" s="314"/>
      <c r="D118" s="313"/>
      <c r="E118" s="313"/>
      <c r="F118" s="313"/>
      <c r="G118" s="313"/>
      <c r="H118" s="308"/>
      <c r="I118" s="313"/>
      <c r="J118" s="308"/>
      <c r="K118" s="313"/>
      <c r="L118" s="308"/>
      <c r="M118" s="313"/>
      <c r="N118" s="308"/>
      <c r="O118" s="313"/>
    </row>
    <row r="119" spans="1:15" ht="6.75" customHeight="1">
      <c r="A119" s="308"/>
      <c r="B119" s="313"/>
      <c r="C119" s="314"/>
      <c r="D119" s="313"/>
      <c r="E119" s="313"/>
      <c r="F119" s="313"/>
      <c r="G119" s="313"/>
      <c r="H119" s="308"/>
      <c r="I119" s="313"/>
      <c r="J119" s="308"/>
      <c r="K119" s="313"/>
      <c r="L119" s="308"/>
      <c r="M119" s="313"/>
      <c r="N119" s="308"/>
      <c r="O119" s="313"/>
    </row>
    <row r="120" spans="1:15" ht="18.75">
      <c r="A120" s="366" t="s">
        <v>629</v>
      </c>
      <c r="B120" s="313"/>
      <c r="C120" s="314"/>
      <c r="D120" s="313"/>
      <c r="E120" s="313"/>
      <c r="F120" s="313"/>
      <c r="G120" s="313"/>
      <c r="H120" s="308"/>
      <c r="I120" s="313"/>
      <c r="J120" s="308"/>
      <c r="K120" s="313"/>
      <c r="L120" s="308"/>
      <c r="M120" s="313"/>
      <c r="N120" s="308"/>
      <c r="O120" s="313"/>
    </row>
    <row r="121" spans="1:15" ht="15.75">
      <c r="A121" s="780" t="s">
        <v>1069</v>
      </c>
      <c r="B121" s="313"/>
      <c r="C121" s="368">
        <v>782893242</v>
      </c>
      <c r="D121" s="313"/>
      <c r="E121" s="368">
        <v>351761086</v>
      </c>
      <c r="F121" s="313"/>
      <c r="G121" s="318"/>
      <c r="H121" s="318"/>
      <c r="I121" s="318">
        <v>3588359698</v>
      </c>
      <c r="J121" s="318"/>
      <c r="K121" s="318">
        <v>1400292558</v>
      </c>
      <c r="L121" s="318"/>
      <c r="M121" s="318">
        <f>E121-I121</f>
        <v>-3236598612</v>
      </c>
      <c r="N121" s="318"/>
      <c r="O121" s="318">
        <f>G121-K121</f>
        <v>-1400292558</v>
      </c>
    </row>
    <row r="122" spans="1:15" ht="15.75">
      <c r="A122" s="780" t="s">
        <v>1070</v>
      </c>
      <c r="B122" s="313"/>
      <c r="C122" s="368">
        <f>153311317+17144685</f>
        <v>170456002</v>
      </c>
      <c r="D122" s="313"/>
      <c r="E122" s="368">
        <f>4888888892+144995768</f>
        <v>5033884660</v>
      </c>
      <c r="F122" s="313"/>
      <c r="G122" s="318"/>
      <c r="H122" s="318"/>
      <c r="I122" s="318">
        <v>5926718804</v>
      </c>
      <c r="J122" s="318"/>
      <c r="K122" s="318">
        <v>5090000000</v>
      </c>
      <c r="L122" s="318"/>
      <c r="M122" s="318">
        <f>E122-I122</f>
        <v>-892834144</v>
      </c>
      <c r="N122" s="318"/>
      <c r="O122" s="318">
        <f>G122-K122</f>
        <v>-5090000000</v>
      </c>
    </row>
    <row r="123" spans="1:15" ht="15.75">
      <c r="A123" s="781" t="s">
        <v>1071</v>
      </c>
      <c r="B123" s="313"/>
      <c r="C123" s="368">
        <v>2900005711</v>
      </c>
      <c r="D123" s="313"/>
      <c r="E123" s="368">
        <v>976281488</v>
      </c>
      <c r="F123" s="313"/>
      <c r="G123" s="318"/>
      <c r="H123" s="318"/>
      <c r="I123" s="318">
        <v>0</v>
      </c>
      <c r="J123" s="318"/>
      <c r="K123" s="318">
        <v>4828200101</v>
      </c>
      <c r="L123" s="318"/>
      <c r="M123" s="370">
        <v>0</v>
      </c>
      <c r="N123" s="318"/>
      <c r="O123" s="318">
        <f>G123-K123</f>
        <v>-4828200101</v>
      </c>
    </row>
    <row r="124" spans="1:15" ht="15.75">
      <c r="A124" s="780" t="s">
        <v>1035</v>
      </c>
      <c r="B124" s="313"/>
      <c r="C124" s="368">
        <v>203784320</v>
      </c>
      <c r="D124" s="313"/>
      <c r="E124" s="368">
        <v>127140393</v>
      </c>
      <c r="F124" s="313"/>
      <c r="G124" s="318"/>
      <c r="H124" s="318"/>
      <c r="I124" s="318"/>
      <c r="J124" s="318"/>
      <c r="K124" s="318"/>
      <c r="L124" s="318"/>
      <c r="M124" s="370"/>
      <c r="N124" s="318"/>
      <c r="O124" s="318"/>
    </row>
    <row r="125" spans="1:15" ht="15.75">
      <c r="A125" s="780" t="s">
        <v>1072</v>
      </c>
      <c r="B125" s="313"/>
      <c r="C125" s="368">
        <f>10882023000+1269366611</f>
        <v>12151389611</v>
      </c>
      <c r="D125" s="313"/>
      <c r="E125" s="368">
        <f>14854732541+2558267835</f>
        <v>17413000376</v>
      </c>
      <c r="F125" s="313"/>
      <c r="G125" s="318"/>
      <c r="H125" s="318"/>
      <c r="I125" s="318">
        <v>446908053</v>
      </c>
      <c r="J125" s="318"/>
      <c r="K125" s="318">
        <v>2923314683</v>
      </c>
      <c r="L125" s="318"/>
      <c r="M125" s="318">
        <f>E125-I125</f>
        <v>16966092323</v>
      </c>
      <c r="N125" s="318"/>
      <c r="O125" s="318">
        <f>G125-K125</f>
        <v>-2923314683</v>
      </c>
    </row>
    <row r="126" spans="1:15" ht="15.75">
      <c r="A126" s="780" t="s">
        <v>1073</v>
      </c>
      <c r="B126" s="313"/>
      <c r="C126" s="368">
        <v>2000000000</v>
      </c>
      <c r="D126" s="313"/>
      <c r="E126" s="368">
        <v>4000000000</v>
      </c>
      <c r="F126" s="313"/>
      <c r="G126" s="318"/>
      <c r="H126" s="318"/>
      <c r="I126" s="318"/>
      <c r="J126" s="318"/>
      <c r="K126" s="318"/>
      <c r="L126" s="318"/>
      <c r="M126" s="318"/>
      <c r="N126" s="318"/>
      <c r="O126" s="318"/>
    </row>
    <row r="127" spans="1:15" ht="15.75">
      <c r="A127" s="780" t="s">
        <v>630</v>
      </c>
      <c r="B127" s="313"/>
      <c r="C127" s="371">
        <v>388350740</v>
      </c>
      <c r="D127" s="313"/>
      <c r="E127" s="371">
        <v>523505635</v>
      </c>
      <c r="F127" s="313"/>
      <c r="G127" s="352"/>
      <c r="H127" s="318"/>
      <c r="I127" s="318">
        <v>2622687815</v>
      </c>
      <c r="J127" s="318"/>
      <c r="K127" s="318">
        <v>109363166</v>
      </c>
      <c r="L127" s="318"/>
      <c r="M127" s="318">
        <f>E127-I127</f>
        <v>-2099182180</v>
      </c>
      <c r="N127" s="318"/>
      <c r="O127" s="318">
        <f>G127-K127</f>
        <v>-109363166</v>
      </c>
    </row>
    <row r="128" spans="1:15" ht="15.75">
      <c r="A128" s="780" t="s">
        <v>1036</v>
      </c>
      <c r="B128" s="313"/>
      <c r="C128" s="371">
        <v>12688178464</v>
      </c>
      <c r="D128" s="313"/>
      <c r="E128" s="371">
        <v>3496714281</v>
      </c>
      <c r="F128" s="313"/>
      <c r="G128" s="352"/>
      <c r="H128" s="318"/>
      <c r="I128" s="318"/>
      <c r="J128" s="318"/>
      <c r="K128" s="318"/>
      <c r="L128" s="318"/>
      <c r="M128" s="318"/>
      <c r="N128" s="318"/>
      <c r="O128" s="318"/>
    </row>
    <row r="129" spans="1:15" ht="15.75">
      <c r="A129" s="780" t="s">
        <v>631</v>
      </c>
      <c r="B129" s="313"/>
      <c r="C129" s="368">
        <v>70910964</v>
      </c>
      <c r="D129" s="313"/>
      <c r="E129" s="368">
        <f>289315069+497671238</f>
        <v>786986307</v>
      </c>
      <c r="F129" s="313"/>
      <c r="G129" s="318"/>
      <c r="H129" s="318"/>
      <c r="I129" s="318">
        <v>705594910</v>
      </c>
      <c r="J129" s="318"/>
      <c r="K129" s="318">
        <v>139623862</v>
      </c>
      <c r="L129" s="318"/>
      <c r="M129" s="318">
        <f>E129-I129</f>
        <v>81391397</v>
      </c>
      <c r="N129" s="318"/>
      <c r="O129" s="318">
        <f>G129-K129</f>
        <v>-139623862</v>
      </c>
    </row>
    <row r="130" spans="1:15" ht="15.75">
      <c r="A130" s="780" t="s">
        <v>1074</v>
      </c>
      <c r="B130" s="313"/>
      <c r="C130" s="368">
        <f>55544333+1012291795+224866066+184099878+1716629332</f>
        <v>3193431404</v>
      </c>
      <c r="D130" s="313"/>
      <c r="E130" s="368">
        <f>97378747+1112505224+516629332</f>
        <v>1726513303</v>
      </c>
      <c r="F130" s="313"/>
      <c r="G130" s="318"/>
      <c r="H130" s="318"/>
      <c r="I130" s="318">
        <v>59435300</v>
      </c>
      <c r="J130" s="318"/>
      <c r="K130" s="318">
        <v>333381352</v>
      </c>
      <c r="L130" s="318"/>
      <c r="M130" s="318">
        <f>E130-I130</f>
        <v>1667078003</v>
      </c>
      <c r="N130" s="318"/>
      <c r="O130" s="318">
        <f>G130-K130</f>
        <v>-333381352</v>
      </c>
    </row>
    <row r="131" spans="1:15" ht="15.75">
      <c r="A131" s="780" t="s">
        <v>1037</v>
      </c>
      <c r="B131" s="313"/>
      <c r="C131" s="368">
        <v>80006821</v>
      </c>
      <c r="D131" s="313"/>
      <c r="E131" s="368">
        <v>61643908</v>
      </c>
      <c r="F131" s="313"/>
      <c r="G131" s="318"/>
      <c r="H131" s="318"/>
      <c r="I131" s="318">
        <v>9207774</v>
      </c>
      <c r="J131" s="318"/>
      <c r="K131" s="318">
        <v>409097888</v>
      </c>
      <c r="L131" s="318"/>
      <c r="M131" s="318" t="e">
        <f>#REF!</f>
        <v>#REF!</v>
      </c>
      <c r="N131" s="318"/>
      <c r="O131" s="318" t="e">
        <f>#REF!</f>
        <v>#REF!</v>
      </c>
    </row>
    <row r="132" spans="1:15" ht="18" customHeight="1">
      <c r="A132" s="372" t="s">
        <v>632</v>
      </c>
      <c r="B132" s="313"/>
      <c r="C132" s="373">
        <f>SUM(C121:C131)</f>
        <v>34629407279</v>
      </c>
      <c r="D132" s="313"/>
      <c r="E132" s="373">
        <f>SUM(E121:E131)</f>
        <v>34497431437</v>
      </c>
      <c r="F132" s="313"/>
      <c r="G132" s="360"/>
      <c r="H132" s="318"/>
      <c r="I132" s="374">
        <f>SUM(I121:I131)</f>
        <v>13358912354</v>
      </c>
      <c r="J132" s="318"/>
      <c r="K132" s="374">
        <f>SUM(K121:K131)</f>
        <v>15233273610</v>
      </c>
      <c r="L132" s="318"/>
      <c r="M132" s="374" t="e">
        <f>SUM(M121:M131)</f>
        <v>#REF!</v>
      </c>
      <c r="N132" s="318"/>
      <c r="O132" s="374" t="e">
        <f>SUM(O121:O131)</f>
        <v>#REF!</v>
      </c>
    </row>
    <row r="133" spans="1:15" ht="18" customHeight="1">
      <c r="A133" s="308"/>
      <c r="B133" s="313"/>
      <c r="C133" s="375"/>
      <c r="D133" s="313"/>
      <c r="E133" s="375"/>
      <c r="F133" s="313"/>
      <c r="G133" s="360"/>
      <c r="H133" s="318"/>
      <c r="I133" s="360"/>
      <c r="J133" s="318"/>
      <c r="K133" s="360"/>
      <c r="L133" s="318"/>
      <c r="M133" s="360"/>
      <c r="N133" s="318"/>
      <c r="O133" s="360"/>
    </row>
    <row r="134" spans="1:15" ht="18" customHeight="1">
      <c r="A134" s="366" t="s">
        <v>633</v>
      </c>
      <c r="B134" s="313"/>
      <c r="C134" s="314"/>
      <c r="D134" s="313"/>
      <c r="E134" s="314"/>
      <c r="F134" s="313"/>
      <c r="G134" s="313"/>
      <c r="H134" s="308"/>
      <c r="I134" s="313"/>
      <c r="J134" s="308"/>
      <c r="K134" s="313"/>
      <c r="L134" s="308"/>
      <c r="M134" s="313"/>
      <c r="N134" s="308"/>
      <c r="O134" s="313"/>
    </row>
    <row r="135" spans="1:15" ht="18" customHeight="1">
      <c r="A135" s="308"/>
      <c r="B135" s="313"/>
      <c r="C135" s="314"/>
      <c r="D135" s="313"/>
      <c r="E135" s="314"/>
      <c r="F135" s="313"/>
      <c r="G135" s="313"/>
      <c r="H135" s="308"/>
      <c r="I135" s="313"/>
      <c r="J135" s="308"/>
      <c r="K135" s="313"/>
      <c r="L135" s="308"/>
      <c r="M135" s="313"/>
      <c r="N135" s="308"/>
      <c r="O135" s="313"/>
    </row>
    <row r="136" spans="1:15" ht="18" customHeight="1">
      <c r="A136" s="366" t="s">
        <v>634</v>
      </c>
      <c r="B136" s="313"/>
      <c r="C136" s="314"/>
      <c r="D136" s="313"/>
      <c r="E136" s="314"/>
      <c r="F136" s="313"/>
      <c r="G136" s="313"/>
      <c r="H136" s="308"/>
      <c r="I136" s="313"/>
      <c r="J136" s="308"/>
      <c r="K136" s="313"/>
      <c r="L136" s="308"/>
      <c r="M136" s="313"/>
      <c r="N136" s="308"/>
      <c r="O136" s="313"/>
    </row>
    <row r="137" spans="1:15" ht="18" customHeight="1">
      <c r="A137" s="781" t="s">
        <v>1038</v>
      </c>
      <c r="B137" s="313"/>
      <c r="C137" s="376">
        <v>0</v>
      </c>
      <c r="D137" s="313"/>
      <c r="E137" s="376">
        <v>0</v>
      </c>
      <c r="F137" s="313"/>
      <c r="G137" s="318"/>
      <c r="H137" s="318"/>
      <c r="I137" s="318"/>
      <c r="J137" s="318"/>
      <c r="K137" s="318"/>
      <c r="L137" s="318"/>
      <c r="M137" s="370"/>
      <c r="N137" s="318"/>
      <c r="O137" s="318"/>
    </row>
    <row r="138" spans="1:15" ht="18" customHeight="1">
      <c r="A138" s="781" t="s">
        <v>1073</v>
      </c>
      <c r="B138" s="313"/>
      <c r="C138" s="377">
        <v>0</v>
      </c>
      <c r="D138" s="313"/>
      <c r="E138" s="377">
        <v>2000000000</v>
      </c>
      <c r="F138" s="313"/>
      <c r="G138" s="378"/>
      <c r="H138" s="318"/>
      <c r="I138" s="318">
        <v>1363000000</v>
      </c>
      <c r="J138" s="318"/>
      <c r="K138" s="318">
        <v>0</v>
      </c>
      <c r="L138" s="318"/>
      <c r="M138" s="318">
        <f>E138-I138</f>
        <v>637000000</v>
      </c>
      <c r="N138" s="318"/>
      <c r="O138" s="370">
        <v>0</v>
      </c>
    </row>
    <row r="139" spans="1:15" ht="18" customHeight="1">
      <c r="A139" s="781" t="str">
        <f>A129</f>
        <v xml:space="preserve">   Intereses a Pagar - Nota 8</v>
      </c>
      <c r="B139" s="313"/>
      <c r="C139" s="377">
        <v>0</v>
      </c>
      <c r="D139" s="313"/>
      <c r="E139" s="377">
        <v>70910959</v>
      </c>
      <c r="F139" s="313"/>
      <c r="G139" s="378"/>
      <c r="H139" s="318"/>
      <c r="I139" s="318">
        <v>1363000000</v>
      </c>
      <c r="J139" s="318"/>
      <c r="K139" s="318">
        <v>0</v>
      </c>
      <c r="L139" s="318"/>
      <c r="M139" s="318">
        <f>E139-I139</f>
        <v>-1292089041</v>
      </c>
      <c r="N139" s="318"/>
      <c r="O139" s="370">
        <v>0</v>
      </c>
    </row>
    <row r="140" spans="1:15" ht="18" customHeight="1">
      <c r="A140" s="781" t="s">
        <v>635</v>
      </c>
      <c r="B140" s="313"/>
      <c r="C140" s="377">
        <v>117393930</v>
      </c>
      <c r="D140" s="313"/>
      <c r="E140" s="377">
        <f>103823535+16485829+87498846+59460542+33634809</f>
        <v>300903561</v>
      </c>
      <c r="F140" s="313"/>
      <c r="G140" s="378"/>
      <c r="H140" s="318"/>
      <c r="I140" s="318"/>
      <c r="J140" s="318"/>
      <c r="K140" s="318"/>
      <c r="L140" s="318"/>
      <c r="M140" s="318"/>
      <c r="N140" s="318"/>
      <c r="O140" s="370"/>
    </row>
    <row r="141" spans="1:15" ht="18" customHeight="1">
      <c r="A141" s="372" t="s">
        <v>636</v>
      </c>
      <c r="B141" s="313"/>
      <c r="C141" s="379">
        <f>SUM(C137:C140)</f>
        <v>117393930</v>
      </c>
      <c r="D141" s="313"/>
      <c r="E141" s="379">
        <f>SUM(E137:E140)</f>
        <v>2371814520</v>
      </c>
      <c r="F141" s="313"/>
      <c r="G141" s="360"/>
      <c r="H141" s="318"/>
      <c r="I141" s="374">
        <f>SUM(I137:I139)</f>
        <v>2726000000</v>
      </c>
      <c r="J141" s="318"/>
      <c r="K141" s="374">
        <f>SUM(K137:K139)</f>
        <v>0</v>
      </c>
      <c r="L141" s="318"/>
      <c r="M141" s="374">
        <f>SUM(M137:M139)</f>
        <v>-655089041</v>
      </c>
      <c r="N141" s="318"/>
      <c r="O141" s="374">
        <f>SUM(O137:O139)</f>
        <v>0</v>
      </c>
    </row>
    <row r="142" spans="1:15" ht="18" customHeight="1">
      <c r="A142" s="308"/>
      <c r="B142" s="313"/>
      <c r="C142" s="375"/>
      <c r="D142" s="313"/>
      <c r="E142" s="375"/>
      <c r="F142" s="313"/>
      <c r="G142" s="360"/>
      <c r="H142" s="318"/>
      <c r="I142" s="360"/>
      <c r="J142" s="318"/>
      <c r="K142" s="360"/>
      <c r="L142" s="318"/>
      <c r="M142" s="360"/>
      <c r="N142" s="318"/>
      <c r="O142" s="360"/>
    </row>
    <row r="143" spans="1:15" ht="15.75">
      <c r="A143" s="308"/>
      <c r="B143" s="313"/>
      <c r="C143" s="322"/>
      <c r="D143" s="313"/>
      <c r="E143" s="322"/>
      <c r="F143" s="313"/>
      <c r="G143" s="323"/>
      <c r="H143" s="318"/>
      <c r="I143" s="323"/>
      <c r="J143" s="318"/>
      <c r="K143" s="323"/>
      <c r="L143" s="318"/>
      <c r="M143" s="323"/>
      <c r="N143" s="318"/>
      <c r="O143" s="323"/>
    </row>
    <row r="144" spans="1:15" ht="18.75">
      <c r="A144" s="312" t="s">
        <v>637</v>
      </c>
      <c r="B144" s="313"/>
      <c r="C144" s="380">
        <f>C132+C141</f>
        <v>34746801209</v>
      </c>
      <c r="D144" s="313"/>
      <c r="E144" s="380">
        <f>E132+E141</f>
        <v>36869245957</v>
      </c>
      <c r="F144" s="313"/>
      <c r="G144" s="360"/>
      <c r="H144" s="324"/>
      <c r="I144" s="381">
        <f>I132+I141</f>
        <v>16084912354</v>
      </c>
      <c r="J144" s="324"/>
      <c r="K144" s="381">
        <f>K132+K141</f>
        <v>15233273610</v>
      </c>
      <c r="L144" s="324"/>
      <c r="M144" s="381" t="e">
        <f>M132+M141</f>
        <v>#REF!</v>
      </c>
      <c r="N144" s="324"/>
      <c r="O144" s="381" t="e">
        <f>O132+O141</f>
        <v>#REF!</v>
      </c>
    </row>
    <row r="145" spans="1:15" ht="15.75">
      <c r="A145" s="308"/>
      <c r="B145" s="308"/>
      <c r="C145" s="336"/>
      <c r="D145" s="308"/>
      <c r="E145" s="308"/>
      <c r="F145" s="308"/>
      <c r="G145" s="337"/>
      <c r="H145" s="324"/>
      <c r="I145" s="337"/>
      <c r="J145" s="324"/>
      <c r="K145" s="337"/>
      <c r="L145" s="324"/>
      <c r="M145" s="337"/>
      <c r="N145" s="324"/>
      <c r="O145" s="337"/>
    </row>
    <row r="146" spans="1:15" ht="24" customHeight="1">
      <c r="A146" s="308"/>
      <c r="B146" s="308"/>
      <c r="C146" s="336"/>
      <c r="D146" s="308"/>
      <c r="E146" s="308"/>
      <c r="F146" s="308"/>
      <c r="G146" s="337"/>
      <c r="H146" s="324"/>
      <c r="I146" s="337"/>
      <c r="J146" s="324"/>
      <c r="K146" s="337"/>
      <c r="L146" s="324"/>
      <c r="M146" s="337"/>
      <c r="N146" s="324"/>
      <c r="O146" s="337"/>
    </row>
    <row r="147" spans="1:15" ht="21.75" customHeight="1">
      <c r="A147" s="308"/>
      <c r="B147" s="308"/>
      <c r="C147" s="336"/>
      <c r="D147" s="308"/>
      <c r="E147" s="308"/>
      <c r="F147" s="308"/>
      <c r="G147" s="337"/>
      <c r="H147" s="324"/>
      <c r="I147" s="337"/>
      <c r="J147" s="324"/>
      <c r="K147" s="337"/>
      <c r="L147" s="324"/>
      <c r="M147" s="337"/>
      <c r="N147" s="324"/>
      <c r="O147" s="337"/>
    </row>
    <row r="148" spans="1:15" ht="26.25" customHeight="1">
      <c r="A148" s="308"/>
      <c r="B148" s="308"/>
      <c r="C148" s="336"/>
      <c r="D148" s="308"/>
      <c r="E148" s="308"/>
      <c r="F148" s="308"/>
      <c r="G148" s="337"/>
      <c r="H148" s="324"/>
      <c r="I148" s="337"/>
      <c r="J148" s="324"/>
      <c r="K148" s="337"/>
      <c r="L148" s="324"/>
      <c r="M148" s="337"/>
      <c r="N148" s="324"/>
      <c r="O148" s="337"/>
    </row>
    <row r="149" spans="1:15" ht="16.5">
      <c r="A149" s="340" t="s">
        <v>605</v>
      </c>
      <c r="B149" s="341"/>
      <c r="C149" s="342" t="s">
        <v>606</v>
      </c>
      <c r="D149" s="343"/>
      <c r="E149" s="344"/>
      <c r="F149" s="341"/>
      <c r="H149" s="345"/>
      <c r="J149" s="345"/>
      <c r="L149" s="345"/>
      <c r="N149" s="345"/>
    </row>
    <row r="150" spans="1:15" ht="16.5">
      <c r="A150" s="340" t="s">
        <v>607</v>
      </c>
      <c r="B150" s="341"/>
      <c r="C150" s="346" t="s">
        <v>638</v>
      </c>
      <c r="D150" s="343"/>
      <c r="E150" s="344"/>
      <c r="F150" s="341"/>
      <c r="H150" s="345"/>
      <c r="J150" s="345"/>
      <c r="L150" s="345"/>
      <c r="N150" s="345"/>
    </row>
    <row r="151" spans="1:15" ht="16.5">
      <c r="A151" s="341"/>
      <c r="B151" s="341"/>
      <c r="C151" s="344"/>
      <c r="D151" s="343"/>
      <c r="E151" s="363"/>
      <c r="F151" s="341"/>
      <c r="H151" s="345"/>
      <c r="J151" s="345"/>
      <c r="L151" s="345"/>
      <c r="N151" s="345"/>
    </row>
    <row r="152" spans="1:15" ht="37.5" customHeight="1">
      <c r="A152" s="341"/>
      <c r="B152" s="341"/>
      <c r="C152" s="344"/>
      <c r="D152" s="343"/>
      <c r="E152" s="363"/>
      <c r="F152" s="341"/>
      <c r="H152" s="345"/>
      <c r="J152" s="345"/>
      <c r="L152" s="345"/>
      <c r="N152" s="345"/>
    </row>
    <row r="153" spans="1:15" ht="37.5" customHeight="1">
      <c r="A153" s="341"/>
      <c r="B153" s="341"/>
      <c r="C153" s="344"/>
      <c r="D153" s="343"/>
      <c r="E153" s="363"/>
      <c r="F153" s="341"/>
      <c r="H153" s="345"/>
      <c r="J153" s="345"/>
      <c r="L153" s="345"/>
      <c r="N153" s="345"/>
    </row>
    <row r="154" spans="1:15" ht="16.5">
      <c r="A154" s="340" t="s">
        <v>609</v>
      </c>
      <c r="B154" s="341"/>
      <c r="C154" s="346" t="s">
        <v>610</v>
      </c>
      <c r="D154" s="343"/>
      <c r="E154" s="344"/>
      <c r="F154" s="341"/>
      <c r="H154" s="345"/>
      <c r="J154" s="345"/>
      <c r="L154" s="345"/>
      <c r="N154" s="345"/>
    </row>
    <row r="155" spans="1:15" ht="16.5">
      <c r="A155" s="340" t="s">
        <v>611</v>
      </c>
      <c r="B155" s="341"/>
      <c r="C155" s="346" t="s">
        <v>612</v>
      </c>
      <c r="D155" s="343"/>
      <c r="E155" s="344"/>
      <c r="F155" s="341"/>
      <c r="H155" s="345"/>
      <c r="J155" s="345"/>
      <c r="L155" s="345"/>
      <c r="N155" s="345"/>
    </row>
    <row r="156" spans="1:15" ht="18.75">
      <c r="A156" s="839"/>
      <c r="B156" s="839"/>
      <c r="C156" s="839"/>
      <c r="D156" s="839"/>
      <c r="E156" s="839"/>
      <c r="F156" s="839"/>
      <c r="G156" s="839"/>
      <c r="H156" s="839"/>
      <c r="I156" s="364"/>
      <c r="K156" s="364"/>
      <c r="M156" s="364"/>
      <c r="O156" s="364"/>
    </row>
    <row r="157" spans="1:15" ht="22.5">
      <c r="A157" s="837" t="s">
        <v>575</v>
      </c>
      <c r="B157" s="837"/>
      <c r="C157" s="837"/>
      <c r="D157" s="837"/>
      <c r="E157" s="837"/>
      <c r="F157" s="837"/>
      <c r="G157" s="837"/>
      <c r="H157" s="837"/>
      <c r="I157" s="304"/>
      <c r="K157" s="304"/>
      <c r="M157" s="304"/>
      <c r="O157" s="304"/>
    </row>
    <row r="158" spans="1:15" ht="22.5">
      <c r="A158" s="837" t="str">
        <f>+A113</f>
        <v>AL 30 DE JUNIO DE 2020 Y 2019</v>
      </c>
      <c r="B158" s="837"/>
      <c r="C158" s="837"/>
      <c r="D158" s="837"/>
      <c r="E158" s="837"/>
      <c r="F158" s="837"/>
      <c r="G158" s="837"/>
      <c r="H158" s="837"/>
      <c r="I158" s="304"/>
      <c r="K158" s="304"/>
      <c r="M158" s="304"/>
      <c r="O158" s="304"/>
    </row>
    <row r="159" spans="1:15" ht="18.75">
      <c r="A159" s="838" t="s">
        <v>576</v>
      </c>
      <c r="B159" s="838"/>
      <c r="C159" s="838"/>
      <c r="D159" s="838"/>
      <c r="E159" s="838"/>
      <c r="F159" s="838"/>
      <c r="G159" s="838"/>
      <c r="H159" s="838"/>
      <c r="I159" s="306"/>
      <c r="K159" s="306"/>
      <c r="M159" s="306"/>
      <c r="O159" s="306"/>
    </row>
    <row r="160" spans="1:15" ht="15.75">
      <c r="A160" s="308"/>
      <c r="B160" s="308"/>
      <c r="C160" s="311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</row>
    <row r="161" spans="1:15" ht="20.25">
      <c r="A161" s="307" t="s">
        <v>639</v>
      </c>
      <c r="B161" s="308"/>
      <c r="C161" s="309">
        <v>2020</v>
      </c>
      <c r="D161" s="308"/>
      <c r="E161" s="309">
        <v>2019</v>
      </c>
      <c r="F161" s="308"/>
      <c r="G161" s="306"/>
      <c r="H161" s="310"/>
      <c r="I161" s="309" t="s">
        <v>578</v>
      </c>
      <c r="J161" s="310"/>
      <c r="K161" s="309" t="s">
        <v>579</v>
      </c>
      <c r="L161" s="310"/>
      <c r="M161" s="309" t="s">
        <v>580</v>
      </c>
      <c r="N161" s="310"/>
      <c r="O161" s="309" t="s">
        <v>580</v>
      </c>
    </row>
    <row r="162" spans="1:15" ht="9.75" customHeight="1">
      <c r="A162" s="366"/>
      <c r="B162" s="313"/>
      <c r="C162" s="382"/>
      <c r="D162" s="313"/>
      <c r="E162" s="313"/>
      <c r="F162" s="313"/>
      <c r="G162" s="318"/>
      <c r="H162" s="318"/>
      <c r="I162" s="318"/>
      <c r="J162" s="318"/>
      <c r="K162" s="318"/>
      <c r="L162" s="318"/>
      <c r="M162" s="318"/>
      <c r="N162" s="318"/>
      <c r="O162" s="318"/>
    </row>
    <row r="163" spans="1:15" ht="18.75">
      <c r="A163" s="383" t="s">
        <v>640</v>
      </c>
      <c r="B163" s="313"/>
      <c r="C163" s="384"/>
      <c r="D163" s="313"/>
      <c r="E163" s="313"/>
      <c r="F163" s="313"/>
      <c r="G163" s="324"/>
      <c r="H163" s="324"/>
      <c r="I163" s="324"/>
      <c r="J163" s="324"/>
      <c r="K163" s="324"/>
      <c r="L163" s="324"/>
      <c r="M163" s="324"/>
      <c r="N163" s="324"/>
      <c r="O163" s="324"/>
    </row>
    <row r="164" spans="1:15" ht="15.75">
      <c r="A164" s="369" t="s">
        <v>641</v>
      </c>
      <c r="B164" s="313"/>
      <c r="C164" s="385">
        <v>49200000000</v>
      </c>
      <c r="D164" s="313"/>
      <c r="E164" s="385">
        <v>48000000000</v>
      </c>
      <c r="F164" s="313"/>
      <c r="G164" s="352"/>
      <c r="H164" s="318"/>
      <c r="I164" s="352">
        <v>18500000000</v>
      </c>
      <c r="J164" s="318"/>
      <c r="K164" s="352">
        <v>11500000000</v>
      </c>
      <c r="L164" s="318"/>
      <c r="M164" s="318">
        <f>E164-I164</f>
        <v>29500000000</v>
      </c>
      <c r="N164" s="318"/>
      <c r="O164" s="318">
        <f>G164-K164</f>
        <v>-11500000000</v>
      </c>
    </row>
    <row r="165" spans="1:15" ht="18" customHeight="1">
      <c r="A165" s="308"/>
      <c r="B165" s="313"/>
      <c r="C165" s="373">
        <f>SUM(C164:C164)</f>
        <v>49200000000</v>
      </c>
      <c r="D165" s="313"/>
      <c r="E165" s="373">
        <f>SUM(E164:E164)</f>
        <v>48000000000</v>
      </c>
      <c r="F165" s="313"/>
      <c r="G165" s="360"/>
      <c r="H165" s="318"/>
      <c r="I165" s="374">
        <f>SUM(I164:I164)</f>
        <v>18500000000</v>
      </c>
      <c r="J165" s="318"/>
      <c r="K165" s="374">
        <f>SUM(K164:K164)</f>
        <v>11500000000</v>
      </c>
      <c r="L165" s="318"/>
      <c r="M165" s="374">
        <f>SUM(M164:M164)</f>
        <v>29500000000</v>
      </c>
      <c r="N165" s="318"/>
      <c r="O165" s="374">
        <f>SUM(O164:O164)</f>
        <v>-11500000000</v>
      </c>
    </row>
    <row r="166" spans="1:15" ht="18" customHeight="1">
      <c r="A166" s="308"/>
      <c r="B166" s="313"/>
      <c r="C166" s="386"/>
      <c r="D166" s="313"/>
      <c r="E166" s="386"/>
      <c r="F166" s="313"/>
      <c r="G166" s="360"/>
      <c r="H166" s="318"/>
      <c r="I166" s="360"/>
      <c r="J166" s="318"/>
      <c r="K166" s="360"/>
      <c r="L166" s="318"/>
      <c r="M166" s="360"/>
      <c r="N166" s="318"/>
      <c r="O166" s="360"/>
    </row>
    <row r="167" spans="1:15" ht="18.75">
      <c r="A167" s="366" t="s">
        <v>642</v>
      </c>
      <c r="B167" s="313"/>
      <c r="C167" s="387"/>
      <c r="D167" s="313"/>
      <c r="E167" s="387"/>
      <c r="F167" s="313"/>
      <c r="G167" s="324"/>
      <c r="H167" s="324"/>
      <c r="I167" s="324"/>
      <c r="J167" s="324"/>
      <c r="K167" s="324"/>
      <c r="L167" s="324"/>
      <c r="M167" s="324"/>
      <c r="N167" s="324"/>
      <c r="O167" s="324"/>
    </row>
    <row r="168" spans="1:15" ht="15.75">
      <c r="A168" s="367" t="s">
        <v>643</v>
      </c>
      <c r="B168" s="313"/>
      <c r="C168" s="317">
        <v>6931012994</v>
      </c>
      <c r="D168" s="313"/>
      <c r="E168" s="317">
        <v>5635521481</v>
      </c>
      <c r="F168" s="313"/>
      <c r="G168" s="318"/>
      <c r="H168" s="318"/>
      <c r="I168" s="318">
        <v>782829638</v>
      </c>
      <c r="J168" s="318"/>
      <c r="K168" s="318">
        <v>650268811</v>
      </c>
      <c r="L168" s="318"/>
      <c r="M168" s="318">
        <f>E168-I168</f>
        <v>4852691843</v>
      </c>
      <c r="N168" s="318"/>
      <c r="O168" s="318">
        <f>G168-K168</f>
        <v>-650268811</v>
      </c>
    </row>
    <row r="169" spans="1:15" ht="15.75">
      <c r="A169" s="308"/>
      <c r="B169" s="313"/>
      <c r="C169" s="373">
        <f>SUM(C168:C168)</f>
        <v>6931012994</v>
      </c>
      <c r="D169" s="313"/>
      <c r="E169" s="373">
        <f>SUM(E168:E168)</f>
        <v>5635521481</v>
      </c>
      <c r="F169" s="313"/>
      <c r="G169" s="360"/>
      <c r="H169" s="318"/>
      <c r="I169" s="374">
        <f>SUM(I168:I168)</f>
        <v>782829638</v>
      </c>
      <c r="J169" s="318"/>
      <c r="K169" s="374">
        <f>SUM(K168:K168)</f>
        <v>650268811</v>
      </c>
      <c r="L169" s="318"/>
      <c r="M169" s="374">
        <f>SUM(M168:M168)</f>
        <v>4852691843</v>
      </c>
      <c r="N169" s="318"/>
      <c r="O169" s="374">
        <f>SUM(O168:O168)</f>
        <v>-650268811</v>
      </c>
    </row>
    <row r="170" spans="1:15" ht="15.75">
      <c r="A170" s="308"/>
      <c r="B170" s="313"/>
      <c r="C170" s="386"/>
      <c r="D170" s="313"/>
      <c r="E170" s="386"/>
      <c r="F170" s="313"/>
      <c r="G170" s="360"/>
      <c r="H170" s="318"/>
      <c r="I170" s="360"/>
      <c r="J170" s="318"/>
      <c r="K170" s="360"/>
      <c r="L170" s="318"/>
      <c r="M170" s="360"/>
      <c r="N170" s="318"/>
      <c r="O170" s="360"/>
    </row>
    <row r="171" spans="1:15" ht="18.75">
      <c r="A171" s="383" t="s">
        <v>644</v>
      </c>
      <c r="B171" s="313"/>
      <c r="C171" s="387"/>
      <c r="D171" s="313"/>
      <c r="E171" s="387"/>
      <c r="F171" s="313"/>
      <c r="G171" s="324"/>
      <c r="H171" s="324"/>
      <c r="I171" s="324"/>
      <c r="J171" s="324"/>
      <c r="K171" s="324"/>
      <c r="L171" s="324"/>
      <c r="M171" s="324"/>
      <c r="N171" s="324"/>
      <c r="O171" s="324"/>
    </row>
    <row r="172" spans="1:15" ht="15.75">
      <c r="A172" s="308" t="s">
        <v>645</v>
      </c>
      <c r="B172" s="313"/>
      <c r="C172" s="376">
        <v>13652924968</v>
      </c>
      <c r="D172" s="313"/>
      <c r="E172" s="376">
        <v>11887053782</v>
      </c>
      <c r="F172" s="313"/>
      <c r="G172" s="318"/>
      <c r="H172" s="318"/>
      <c r="I172" s="318">
        <v>1718104649</v>
      </c>
      <c r="J172" s="318"/>
      <c r="K172" s="318">
        <v>842685312</v>
      </c>
      <c r="L172" s="318"/>
      <c r="M172" s="318">
        <f>E172-I172</f>
        <v>10168949133</v>
      </c>
      <c r="N172" s="318"/>
      <c r="O172" s="318">
        <f>G172-K172</f>
        <v>-842685312</v>
      </c>
    </row>
    <row r="173" spans="1:15" ht="18" customHeight="1">
      <c r="A173" s="308"/>
      <c r="B173" s="313"/>
      <c r="C173" s="388">
        <f>SUM(C172:C172)</f>
        <v>13652924968</v>
      </c>
      <c r="D173" s="313"/>
      <c r="E173" s="388">
        <f>SUM(E172:E172)</f>
        <v>11887053782</v>
      </c>
      <c r="F173" s="313"/>
      <c r="G173" s="360"/>
      <c r="H173" s="318"/>
      <c r="I173" s="374" t="e">
        <f>SUM(#REF!)</f>
        <v>#REF!</v>
      </c>
      <c r="J173" s="318"/>
      <c r="K173" s="374" t="e">
        <f>SUM(#REF!)</f>
        <v>#REF!</v>
      </c>
      <c r="L173" s="318"/>
      <c r="M173" s="374" t="e">
        <f>SUM(#REF!)</f>
        <v>#REF!</v>
      </c>
      <c r="N173" s="318"/>
      <c r="O173" s="374" t="e">
        <f>SUM(#REF!)</f>
        <v>#REF!</v>
      </c>
    </row>
    <row r="174" spans="1:15" ht="15.75">
      <c r="A174" s="308"/>
      <c r="B174" s="313"/>
      <c r="C174" s="389"/>
      <c r="D174" s="313"/>
      <c r="E174" s="389"/>
      <c r="F174" s="313"/>
      <c r="G174" s="324"/>
      <c r="H174" s="324"/>
      <c r="I174" s="324"/>
      <c r="J174" s="324"/>
      <c r="K174" s="324"/>
      <c r="L174" s="324"/>
      <c r="M174" s="324"/>
      <c r="N174" s="324"/>
      <c r="O174" s="324"/>
    </row>
    <row r="175" spans="1:15" ht="18.75">
      <c r="A175" s="383" t="s">
        <v>646</v>
      </c>
      <c r="B175" s="313"/>
      <c r="C175" s="390">
        <f>C165+C169+C173</f>
        <v>69783937962</v>
      </c>
      <c r="D175" s="390"/>
      <c r="E175" s="390">
        <f>E165+E169+E173</f>
        <v>65522575263</v>
      </c>
      <c r="F175" s="313"/>
      <c r="G175" s="360"/>
      <c r="H175" s="318"/>
      <c r="I175" s="381" t="e">
        <f>I165+I169+I173</f>
        <v>#REF!</v>
      </c>
      <c r="J175" s="318"/>
      <c r="K175" s="381" t="e">
        <f>K165+K169+K173</f>
        <v>#REF!</v>
      </c>
      <c r="L175" s="318"/>
      <c r="M175" s="381" t="e">
        <f>M165+M169+M173</f>
        <v>#REF!</v>
      </c>
      <c r="N175" s="318"/>
      <c r="O175" s="381" t="e">
        <f>O165+O169+O173</f>
        <v>#REF!</v>
      </c>
    </row>
    <row r="176" spans="1:15" ht="18.75">
      <c r="A176" s="383"/>
      <c r="B176" s="313"/>
      <c r="C176" s="391"/>
      <c r="D176" s="313"/>
      <c r="E176" s="391"/>
      <c r="F176" s="313"/>
      <c r="G176" s="360"/>
      <c r="H176" s="318"/>
      <c r="I176" s="360"/>
      <c r="J176" s="318"/>
      <c r="K176" s="360"/>
      <c r="L176" s="318"/>
      <c r="M176" s="360"/>
      <c r="N176" s="318"/>
      <c r="O176" s="360"/>
    </row>
    <row r="177" spans="1:15" ht="17.25" thickBot="1">
      <c r="A177" s="340" t="s">
        <v>647</v>
      </c>
      <c r="B177" s="313"/>
      <c r="C177" s="392">
        <f>C144+C175</f>
        <v>104530739171</v>
      </c>
      <c r="D177" s="392"/>
      <c r="E177" s="392">
        <f>E144+E175</f>
        <v>102391821220</v>
      </c>
      <c r="F177" s="313"/>
      <c r="G177" s="360"/>
      <c r="H177" s="318"/>
      <c r="I177" s="361" t="e">
        <f>I144+I175</f>
        <v>#REF!</v>
      </c>
      <c r="J177" s="318"/>
      <c r="K177" s="361" t="e">
        <f>K144+K175</f>
        <v>#REF!</v>
      </c>
      <c r="L177" s="318"/>
      <c r="M177" s="361" t="e">
        <f>M144+M175</f>
        <v>#REF!</v>
      </c>
      <c r="N177" s="318"/>
      <c r="O177" s="361" t="e">
        <f>O144+O175</f>
        <v>#REF!</v>
      </c>
    </row>
    <row r="178" spans="1:15" ht="16.5" thickTop="1">
      <c r="A178" s="308"/>
      <c r="B178" s="313"/>
      <c r="C178" s="384"/>
      <c r="D178" s="313"/>
      <c r="E178" s="384"/>
      <c r="F178" s="313"/>
      <c r="G178" s="324"/>
      <c r="H178" s="324"/>
      <c r="I178" s="324"/>
      <c r="J178" s="324"/>
      <c r="K178" s="324"/>
      <c r="L178" s="324"/>
      <c r="M178" s="324"/>
      <c r="N178" s="324"/>
      <c r="O178" s="324"/>
    </row>
    <row r="179" spans="1:15" s="333" customFormat="1" ht="17.25">
      <c r="A179" s="393" t="s">
        <v>648</v>
      </c>
      <c r="B179" s="327"/>
      <c r="C179" s="394"/>
      <c r="D179" s="327"/>
      <c r="E179" s="394"/>
      <c r="F179" s="330"/>
      <c r="G179" s="330"/>
      <c r="I179" s="330"/>
      <c r="K179" s="330"/>
      <c r="M179" s="330"/>
      <c r="O179" s="330"/>
    </row>
    <row r="180" spans="1:15" s="333" customFormat="1" ht="16.5">
      <c r="A180" s="395" t="s">
        <v>649</v>
      </c>
      <c r="B180" s="327"/>
      <c r="C180" s="352">
        <v>69493963604</v>
      </c>
      <c r="D180" s="313"/>
      <c r="E180" s="352">
        <v>57877364029</v>
      </c>
      <c r="F180" s="332"/>
      <c r="G180" s="396"/>
      <c r="I180" s="396"/>
      <c r="K180" s="396"/>
      <c r="M180" s="396"/>
      <c r="O180" s="396"/>
    </row>
    <row r="181" spans="1:15" s="333" customFormat="1" ht="16.5">
      <c r="A181" s="395" t="s">
        <v>650</v>
      </c>
      <c r="B181" s="327"/>
      <c r="C181" s="352">
        <v>6843816000</v>
      </c>
      <c r="D181" s="313"/>
      <c r="E181" s="352">
        <v>6020000000</v>
      </c>
      <c r="F181" s="332"/>
      <c r="G181" s="396"/>
      <c r="I181" s="396"/>
      <c r="K181" s="396"/>
      <c r="M181" s="396"/>
      <c r="O181" s="396"/>
    </row>
    <row r="182" spans="1:15" s="333" customFormat="1" ht="15.75">
      <c r="A182" s="395" t="s">
        <v>651</v>
      </c>
      <c r="B182" s="327"/>
      <c r="C182" s="352">
        <v>450463623</v>
      </c>
      <c r="D182" s="313"/>
      <c r="E182" s="352">
        <v>450463623</v>
      </c>
      <c r="F182" s="332"/>
      <c r="G182" s="396"/>
      <c r="I182" s="396"/>
      <c r="K182" s="396"/>
      <c r="M182" s="396"/>
      <c r="O182" s="396"/>
    </row>
    <row r="183" spans="1:15" s="333" customFormat="1" ht="16.5">
      <c r="A183" s="395" t="s">
        <v>652</v>
      </c>
      <c r="B183" s="327"/>
      <c r="C183" s="352">
        <f>8511400562+700000000</f>
        <v>9211400562</v>
      </c>
      <c r="D183" s="313"/>
      <c r="E183" s="352">
        <f>8511400562+700000000</f>
        <v>9211400562</v>
      </c>
      <c r="F183" s="332"/>
      <c r="G183" s="396"/>
      <c r="I183" s="396"/>
      <c r="K183" s="396"/>
      <c r="M183" s="396"/>
      <c r="O183" s="396"/>
    </row>
    <row r="184" spans="1:15" s="333" customFormat="1" ht="16.5">
      <c r="A184" s="395" t="s">
        <v>653</v>
      </c>
      <c r="B184" s="327"/>
      <c r="C184" s="352">
        <f>28410764000</f>
        <v>28410764000</v>
      </c>
      <c r="D184" s="313"/>
      <c r="E184" s="352">
        <v>27780764000</v>
      </c>
      <c r="F184" s="332"/>
      <c r="G184" s="396"/>
      <c r="I184" s="396"/>
      <c r="K184" s="396"/>
      <c r="M184" s="396"/>
      <c r="O184" s="396"/>
    </row>
    <row r="185" spans="1:15" s="333" customFormat="1" ht="16.5">
      <c r="B185" s="327"/>
      <c r="C185" s="321">
        <f>SUM(C180:C184)</f>
        <v>114410407789</v>
      </c>
      <c r="D185" s="313"/>
      <c r="E185" s="321">
        <f>SUM(E180:E184)</f>
        <v>101339992214</v>
      </c>
      <c r="F185" s="332"/>
      <c r="G185" s="397"/>
      <c r="I185" s="398"/>
      <c r="K185" s="398"/>
      <c r="M185" s="398"/>
      <c r="O185" s="398"/>
    </row>
    <row r="186" spans="1:15" ht="15.75">
      <c r="A186" s="308"/>
      <c r="B186" s="313"/>
      <c r="C186" s="384"/>
      <c r="D186" s="313"/>
      <c r="E186" s="313"/>
      <c r="F186" s="313"/>
      <c r="G186" s="324"/>
      <c r="H186" s="324"/>
      <c r="I186" s="324"/>
      <c r="J186" s="324"/>
      <c r="K186" s="324"/>
      <c r="L186" s="324"/>
      <c r="M186" s="324"/>
      <c r="N186" s="324"/>
      <c r="O186" s="324"/>
    </row>
    <row r="187" spans="1:15" ht="15.75">
      <c r="A187" s="836" t="s">
        <v>654</v>
      </c>
      <c r="B187" s="836"/>
      <c r="C187" s="836"/>
      <c r="D187" s="836"/>
      <c r="E187" s="836"/>
      <c r="F187" s="836"/>
      <c r="G187" s="836"/>
      <c r="H187" s="836"/>
      <c r="I187" s="399"/>
      <c r="K187" s="399"/>
      <c r="M187" s="399"/>
      <c r="O187" s="399"/>
    </row>
    <row r="188" spans="1:15" ht="15.75">
      <c r="A188" s="308"/>
      <c r="B188" s="308"/>
      <c r="C188" s="336"/>
      <c r="D188" s="308"/>
      <c r="E188" s="308"/>
      <c r="F188" s="308"/>
      <c r="G188" s="337"/>
      <c r="H188" s="324"/>
      <c r="I188" s="337"/>
      <c r="J188" s="324"/>
      <c r="K188" s="337"/>
      <c r="L188" s="324"/>
      <c r="M188" s="337"/>
      <c r="N188" s="324"/>
      <c r="O188" s="337"/>
    </row>
    <row r="189" spans="1:15" ht="15.75">
      <c r="A189" s="308"/>
      <c r="B189" s="308"/>
      <c r="C189" s="311"/>
      <c r="D189" s="308"/>
      <c r="E189" s="400"/>
      <c r="F189" s="308"/>
      <c r="G189" s="308"/>
      <c r="H189" s="324"/>
      <c r="I189" s="308"/>
      <c r="J189" s="324"/>
      <c r="K189" s="308"/>
      <c r="L189" s="324"/>
      <c r="M189" s="308"/>
      <c r="N189" s="324"/>
      <c r="O189" s="308"/>
    </row>
    <row r="190" spans="1:15" ht="33" customHeight="1">
      <c r="A190" s="308"/>
      <c r="B190" s="308"/>
      <c r="C190" s="311"/>
      <c r="D190" s="308"/>
      <c r="E190" s="400"/>
      <c r="F190" s="308"/>
      <c r="G190" s="308"/>
      <c r="H190" s="324"/>
      <c r="I190" s="308"/>
      <c r="J190" s="324"/>
      <c r="K190" s="308"/>
      <c r="L190" s="324"/>
      <c r="M190" s="308"/>
      <c r="N190" s="324"/>
      <c r="O190" s="308"/>
    </row>
    <row r="191" spans="1:15" ht="25.5" customHeight="1">
      <c r="A191" s="308"/>
      <c r="B191" s="308"/>
      <c r="C191" s="336"/>
      <c r="D191" s="308"/>
      <c r="E191" s="308"/>
      <c r="F191" s="308"/>
      <c r="G191" s="337"/>
      <c r="H191" s="324"/>
      <c r="I191" s="337"/>
      <c r="J191" s="324"/>
      <c r="K191" s="337"/>
      <c r="L191" s="324"/>
      <c r="M191" s="337"/>
      <c r="N191" s="324"/>
      <c r="O191" s="337"/>
    </row>
    <row r="192" spans="1:15" ht="15.75">
      <c r="A192" s="308"/>
      <c r="B192" s="308"/>
      <c r="C192" s="336"/>
      <c r="D192" s="308"/>
      <c r="E192" s="308"/>
      <c r="F192" s="308"/>
      <c r="G192" s="337"/>
      <c r="H192" s="324"/>
      <c r="I192" s="337"/>
      <c r="J192" s="324"/>
      <c r="K192" s="337"/>
      <c r="L192" s="324"/>
      <c r="M192" s="337"/>
      <c r="N192" s="324"/>
      <c r="O192" s="337"/>
    </row>
    <row r="193" spans="1:15" ht="16.5">
      <c r="A193" s="340" t="s">
        <v>605</v>
      </c>
      <c r="B193" s="341"/>
      <c r="C193" s="342" t="s">
        <v>606</v>
      </c>
      <c r="D193" s="343"/>
      <c r="E193" s="344"/>
      <c r="F193" s="341"/>
      <c r="H193" s="345"/>
      <c r="J193" s="345"/>
      <c r="L193" s="345"/>
      <c r="N193" s="345"/>
    </row>
    <row r="194" spans="1:15" ht="16.5">
      <c r="A194" s="340" t="s">
        <v>607</v>
      </c>
      <c r="B194" s="341"/>
      <c r="C194" s="346" t="s">
        <v>655</v>
      </c>
      <c r="D194" s="343"/>
      <c r="E194" s="344"/>
      <c r="F194" s="341"/>
      <c r="H194" s="345"/>
      <c r="J194" s="345"/>
      <c r="L194" s="345"/>
      <c r="N194" s="345"/>
    </row>
    <row r="195" spans="1:15" ht="16.5">
      <c r="A195" s="341"/>
      <c r="B195" s="341"/>
      <c r="C195" s="363"/>
      <c r="D195" s="343"/>
      <c r="E195" s="344"/>
      <c r="F195" s="341"/>
      <c r="H195" s="345"/>
      <c r="J195" s="345"/>
      <c r="L195" s="345"/>
      <c r="N195" s="345"/>
    </row>
    <row r="196" spans="1:15" ht="38.25" customHeight="1">
      <c r="A196" s="341"/>
      <c r="B196" s="341"/>
      <c r="C196" s="363"/>
      <c r="D196" s="343"/>
      <c r="E196" s="344"/>
      <c r="F196" s="341"/>
      <c r="H196" s="345"/>
      <c r="J196" s="345"/>
      <c r="L196" s="345"/>
      <c r="N196" s="345"/>
    </row>
    <row r="197" spans="1:15" ht="16.5">
      <c r="A197" s="341"/>
      <c r="B197" s="341"/>
      <c r="C197" s="363"/>
      <c r="D197" s="343"/>
      <c r="E197" s="344"/>
      <c r="F197" s="341"/>
      <c r="H197" s="345"/>
      <c r="J197" s="345"/>
      <c r="L197" s="345"/>
      <c r="N197" s="345"/>
    </row>
    <row r="198" spans="1:15" ht="16.5">
      <c r="A198" s="341"/>
      <c r="B198" s="341"/>
      <c r="C198" s="363"/>
      <c r="D198" s="343"/>
      <c r="E198" s="344"/>
      <c r="F198" s="341"/>
      <c r="H198" s="345"/>
      <c r="J198" s="345"/>
      <c r="L198" s="345"/>
      <c r="N198" s="345"/>
    </row>
    <row r="199" spans="1:15" ht="16.5">
      <c r="A199" s="340" t="s">
        <v>609</v>
      </c>
      <c r="B199" s="341"/>
      <c r="C199" s="346" t="s">
        <v>610</v>
      </c>
      <c r="D199" s="343"/>
      <c r="E199" s="344"/>
      <c r="F199" s="341"/>
      <c r="H199" s="345"/>
      <c r="J199" s="345"/>
      <c r="L199" s="345"/>
      <c r="N199" s="345"/>
    </row>
    <row r="200" spans="1:15" ht="16.5">
      <c r="A200" s="340" t="s">
        <v>611</v>
      </c>
      <c r="B200" s="341"/>
      <c r="C200" s="346" t="s">
        <v>612</v>
      </c>
      <c r="D200" s="343"/>
      <c r="E200" s="344"/>
      <c r="F200" s="341"/>
      <c r="H200" s="345"/>
      <c r="J200" s="345"/>
      <c r="L200" s="345"/>
      <c r="N200" s="345"/>
    </row>
    <row r="201" spans="1:15" ht="15.75">
      <c r="A201" s="399"/>
      <c r="B201" s="399"/>
      <c r="C201" s="401"/>
      <c r="D201" s="401"/>
      <c r="E201" s="401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</row>
    <row r="202" spans="1:15" ht="15.75">
      <c r="A202" s="399"/>
      <c r="B202" s="399"/>
      <c r="C202" s="402"/>
      <c r="D202" s="399"/>
      <c r="E202" s="399"/>
      <c r="F202" s="399"/>
      <c r="G202" s="399"/>
      <c r="H202" s="399"/>
      <c r="I202" s="399"/>
      <c r="J202" s="399"/>
      <c r="K202" s="399"/>
      <c r="L202" s="399"/>
      <c r="M202" s="399"/>
      <c r="N202" s="399"/>
      <c r="O202" s="399"/>
    </row>
    <row r="203" spans="1:15" ht="15.75">
      <c r="A203" s="399"/>
      <c r="B203" s="399"/>
      <c r="C203" s="402"/>
      <c r="D203" s="399"/>
      <c r="E203" s="399"/>
      <c r="F203" s="399"/>
      <c r="G203" s="399"/>
      <c r="H203" s="399"/>
      <c r="I203" s="399"/>
      <c r="J203" s="399"/>
      <c r="K203" s="399"/>
      <c r="L203" s="399"/>
      <c r="M203" s="399"/>
      <c r="N203" s="399"/>
      <c r="O203" s="399"/>
    </row>
    <row r="204" spans="1:15" ht="15.75">
      <c r="A204" s="399"/>
      <c r="B204" s="399"/>
      <c r="C204" s="402"/>
      <c r="D204" s="399"/>
      <c r="E204" s="399"/>
      <c r="F204" s="399"/>
      <c r="G204" s="399"/>
      <c r="H204" s="399"/>
      <c r="I204" s="399"/>
      <c r="J204" s="399"/>
      <c r="K204" s="399"/>
      <c r="L204" s="399"/>
      <c r="M204" s="399"/>
      <c r="N204" s="399"/>
      <c r="O204" s="399"/>
    </row>
    <row r="205" spans="1:15" ht="15.75">
      <c r="A205" s="399"/>
      <c r="B205" s="399"/>
      <c r="C205" s="402"/>
      <c r="D205" s="399"/>
      <c r="E205" s="399"/>
      <c r="F205" s="399"/>
      <c r="G205" s="399"/>
      <c r="H205" s="399"/>
      <c r="I205" s="399"/>
      <c r="J205" s="399"/>
      <c r="K205" s="399"/>
      <c r="L205" s="399"/>
      <c r="M205" s="399"/>
      <c r="N205" s="399"/>
      <c r="O205" s="399"/>
    </row>
    <row r="206" spans="1:15" ht="15.75">
      <c r="A206" s="399"/>
      <c r="B206" s="399"/>
      <c r="C206" s="402"/>
      <c r="D206" s="399"/>
      <c r="E206" s="399"/>
      <c r="F206" s="399"/>
      <c r="G206" s="399"/>
      <c r="H206" s="399"/>
      <c r="I206" s="399"/>
      <c r="J206" s="399"/>
      <c r="K206" s="399"/>
      <c r="L206" s="399"/>
      <c r="M206" s="399"/>
      <c r="N206" s="399"/>
      <c r="O206" s="399"/>
    </row>
    <row r="207" spans="1:15" ht="15.75">
      <c r="A207" s="399"/>
      <c r="B207" s="399"/>
      <c r="C207" s="402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</row>
    <row r="208" spans="1:15" ht="15.75">
      <c r="A208" s="399"/>
      <c r="B208" s="399"/>
      <c r="C208" s="402"/>
      <c r="D208" s="399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</row>
    <row r="209" spans="1:15" ht="15.75">
      <c r="A209" s="399"/>
      <c r="B209" s="399"/>
      <c r="C209" s="402"/>
      <c r="D209" s="399"/>
      <c r="E209" s="399"/>
      <c r="F209" s="399"/>
      <c r="G209" s="399"/>
      <c r="H209" s="399"/>
      <c r="I209" s="399"/>
      <c r="J209" s="399"/>
      <c r="K209" s="399"/>
      <c r="L209" s="399"/>
      <c r="M209" s="399"/>
      <c r="N209" s="399"/>
      <c r="O209" s="399"/>
    </row>
    <row r="210" spans="1:15" ht="15.75" hidden="1">
      <c r="A210" s="399"/>
      <c r="B210" s="399"/>
      <c r="C210" s="402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</row>
    <row r="211" spans="1:15" ht="15.75" hidden="1">
      <c r="A211" s="399"/>
      <c r="B211" s="399"/>
      <c r="C211" s="402"/>
      <c r="D211" s="399"/>
      <c r="E211" s="399"/>
      <c r="F211" s="399"/>
      <c r="G211" s="399"/>
      <c r="H211" s="399"/>
      <c r="I211" s="399"/>
      <c r="J211" s="399"/>
      <c r="K211" s="399"/>
      <c r="L211" s="399"/>
      <c r="M211" s="399"/>
      <c r="N211" s="399"/>
      <c r="O211" s="399"/>
    </row>
    <row r="212" spans="1:15" ht="15.75" hidden="1">
      <c r="A212" s="399"/>
      <c r="B212" s="399"/>
      <c r="C212" s="403">
        <f>C79-C177</f>
        <v>0</v>
      </c>
      <c r="D212" s="399"/>
      <c r="E212" s="352">
        <f>E79-E177</f>
        <v>0</v>
      </c>
      <c r="F212" s="399"/>
      <c r="G212" s="352">
        <f>G79-G177</f>
        <v>0</v>
      </c>
      <c r="H212" s="399"/>
      <c r="I212" s="352" t="e">
        <f>I79-I177</f>
        <v>#REF!</v>
      </c>
      <c r="J212" s="399"/>
      <c r="K212" s="352" t="e">
        <f>K79-K177</f>
        <v>#REF!</v>
      </c>
      <c r="L212" s="399"/>
      <c r="M212" s="352" t="e">
        <f>M79-M177</f>
        <v>#REF!</v>
      </c>
      <c r="N212" s="399"/>
      <c r="O212" s="352" t="e">
        <f>O79-O177</f>
        <v>#REF!</v>
      </c>
    </row>
    <row r="213" spans="1:15" ht="15.75" hidden="1">
      <c r="A213" s="399"/>
      <c r="B213" s="399"/>
      <c r="C213" s="403"/>
      <c r="D213" s="399"/>
      <c r="E213" s="352"/>
      <c r="F213" s="399"/>
      <c r="G213" s="352"/>
      <c r="H213" s="399"/>
      <c r="I213" s="352"/>
      <c r="J213" s="399"/>
      <c r="K213" s="352"/>
      <c r="L213" s="399"/>
      <c r="M213" s="352"/>
      <c r="N213" s="399"/>
      <c r="O213" s="352"/>
    </row>
    <row r="214" spans="1:15" ht="15.75" hidden="1">
      <c r="A214" s="399"/>
      <c r="B214" s="399"/>
      <c r="C214" s="403"/>
      <c r="D214" s="399"/>
      <c r="E214" s="352"/>
      <c r="F214" s="399"/>
      <c r="G214" s="352"/>
      <c r="H214" s="399"/>
      <c r="I214" s="352"/>
      <c r="J214" s="399"/>
      <c r="K214" s="352"/>
      <c r="L214" s="399"/>
      <c r="M214" s="352"/>
      <c r="N214" s="399"/>
      <c r="O214" s="352"/>
    </row>
    <row r="215" spans="1:15" ht="16.5" hidden="1" customHeight="1">
      <c r="A215" s="399"/>
      <c r="B215" s="399"/>
      <c r="C215" s="403"/>
      <c r="D215" s="399"/>
      <c r="E215" s="352"/>
      <c r="F215" s="399"/>
      <c r="G215" s="352"/>
      <c r="H215" s="399"/>
      <c r="I215" s="352"/>
      <c r="J215" s="399"/>
      <c r="K215" s="352"/>
      <c r="L215" s="399"/>
      <c r="M215" s="352"/>
      <c r="N215" s="399"/>
      <c r="O215" s="352"/>
    </row>
    <row r="216" spans="1:15" ht="16.5" hidden="1" customHeight="1">
      <c r="A216" s="399"/>
      <c r="B216" s="399"/>
      <c r="C216" s="403"/>
      <c r="D216" s="399"/>
      <c r="E216" s="352"/>
      <c r="F216" s="399"/>
      <c r="G216" s="352"/>
      <c r="H216" s="399"/>
      <c r="I216" s="352"/>
      <c r="J216" s="399"/>
      <c r="K216" s="352"/>
      <c r="L216" s="399"/>
      <c r="M216" s="352"/>
      <c r="N216" s="399"/>
      <c r="O216" s="352"/>
    </row>
    <row r="217" spans="1:15" ht="16.5" hidden="1" customHeight="1">
      <c r="A217" s="399"/>
      <c r="B217" s="399"/>
      <c r="C217" s="403"/>
      <c r="D217" s="399"/>
      <c r="E217" s="352"/>
      <c r="F217" s="399"/>
      <c r="G217" s="352"/>
      <c r="H217" s="399"/>
      <c r="I217" s="352"/>
      <c r="J217" s="399"/>
      <c r="K217" s="352"/>
      <c r="L217" s="399"/>
      <c r="M217" s="352"/>
      <c r="N217" s="399"/>
      <c r="O217" s="352"/>
    </row>
    <row r="218" spans="1:15" ht="16.5" hidden="1" customHeight="1">
      <c r="A218" s="399"/>
      <c r="B218" s="399"/>
      <c r="C218" s="403"/>
      <c r="D218" s="399"/>
      <c r="E218" s="352"/>
      <c r="F218" s="399"/>
      <c r="G218" s="352"/>
      <c r="H218" s="399"/>
      <c r="I218" s="352"/>
      <c r="J218" s="399"/>
      <c r="K218" s="352"/>
      <c r="L218" s="399"/>
      <c r="M218" s="352"/>
      <c r="N218" s="399"/>
      <c r="O218" s="352"/>
    </row>
    <row r="219" spans="1:15" ht="16.5" hidden="1" customHeight="1">
      <c r="A219" s="399"/>
      <c r="B219" s="399"/>
      <c r="C219" s="403"/>
      <c r="D219" s="399"/>
      <c r="E219" s="352"/>
      <c r="F219" s="399"/>
      <c r="G219" s="352"/>
      <c r="H219" s="399"/>
      <c r="I219" s="352"/>
      <c r="J219" s="399"/>
      <c r="K219" s="352"/>
      <c r="L219" s="399"/>
      <c r="M219" s="352"/>
      <c r="N219" s="399"/>
      <c r="O219" s="352"/>
    </row>
    <row r="220" spans="1:15" ht="16.5" hidden="1" customHeight="1">
      <c r="A220" s="399"/>
      <c r="B220" s="399"/>
      <c r="C220" s="403"/>
      <c r="D220" s="399"/>
      <c r="E220" s="352"/>
      <c r="F220" s="399"/>
      <c r="G220" s="352"/>
      <c r="H220" s="399"/>
      <c r="I220" s="352"/>
      <c r="J220" s="399"/>
      <c r="K220" s="352"/>
      <c r="L220" s="399"/>
      <c r="M220" s="352"/>
      <c r="N220" s="399"/>
      <c r="O220" s="352"/>
    </row>
    <row r="221" spans="1:15" ht="16.5" hidden="1" customHeight="1">
      <c r="A221" s="399"/>
      <c r="B221" s="399"/>
      <c r="C221" s="403"/>
      <c r="D221" s="399"/>
      <c r="E221" s="352"/>
      <c r="F221" s="399"/>
      <c r="G221" s="352"/>
      <c r="H221" s="399"/>
      <c r="I221" s="352"/>
      <c r="J221" s="399"/>
      <c r="K221" s="352"/>
      <c r="L221" s="399"/>
      <c r="M221" s="352"/>
      <c r="N221" s="399"/>
      <c r="O221" s="352"/>
    </row>
    <row r="222" spans="1:15" ht="16.5" hidden="1" customHeight="1">
      <c r="A222" s="399"/>
      <c r="B222" s="399"/>
      <c r="C222" s="403"/>
      <c r="D222" s="399"/>
      <c r="E222" s="352"/>
      <c r="F222" s="399"/>
      <c r="G222" s="352"/>
      <c r="H222" s="399"/>
      <c r="I222" s="352"/>
      <c r="J222" s="399"/>
      <c r="K222" s="352"/>
      <c r="L222" s="399"/>
      <c r="M222" s="352"/>
      <c r="N222" s="399"/>
      <c r="O222" s="352"/>
    </row>
    <row r="223" spans="1:15" ht="16.5" hidden="1" customHeight="1">
      <c r="A223" s="399"/>
      <c r="B223" s="399"/>
      <c r="C223" s="403"/>
      <c r="D223" s="399"/>
      <c r="E223" s="352"/>
      <c r="F223" s="399"/>
      <c r="G223" s="352"/>
      <c r="H223" s="399"/>
      <c r="I223" s="352"/>
      <c r="J223" s="399"/>
      <c r="K223" s="352"/>
      <c r="L223" s="399"/>
      <c r="M223" s="352"/>
      <c r="N223" s="399"/>
      <c r="O223" s="352"/>
    </row>
    <row r="224" spans="1:15" ht="15.75" hidden="1">
      <c r="A224" s="399"/>
      <c r="B224" s="399"/>
      <c r="C224" s="403"/>
      <c r="D224" s="399"/>
      <c r="E224" s="352"/>
      <c r="F224" s="399"/>
      <c r="G224" s="352"/>
      <c r="H224" s="399"/>
      <c r="I224" s="352"/>
      <c r="J224" s="399"/>
      <c r="K224" s="352"/>
      <c r="L224" s="399"/>
      <c r="M224" s="352"/>
      <c r="N224" s="399"/>
      <c r="O224" s="352"/>
    </row>
    <row r="225" spans="1:19" ht="15.75" hidden="1">
      <c r="A225" s="399"/>
      <c r="B225" s="399"/>
      <c r="C225" s="403"/>
      <c r="D225" s="399"/>
      <c r="E225" s="352"/>
      <c r="F225" s="399"/>
      <c r="G225" s="352"/>
      <c r="H225" s="399"/>
      <c r="I225" s="352"/>
      <c r="J225" s="399"/>
      <c r="K225" s="352"/>
      <c r="L225" s="399"/>
      <c r="M225" s="352"/>
      <c r="N225" s="399"/>
      <c r="O225" s="352"/>
    </row>
    <row r="226" spans="1:19" ht="15.75" hidden="1">
      <c r="A226" s="399"/>
      <c r="B226" s="399"/>
      <c r="C226" s="403"/>
      <c r="D226" s="399"/>
      <c r="E226" s="352"/>
      <c r="F226" s="399"/>
      <c r="G226" s="352"/>
      <c r="H226" s="399"/>
      <c r="I226" s="352"/>
      <c r="J226" s="399"/>
      <c r="K226" s="352"/>
      <c r="L226" s="399"/>
      <c r="M226" s="352"/>
      <c r="N226" s="399"/>
      <c r="O226" s="352"/>
    </row>
    <row r="227" spans="1:19" ht="15.75" hidden="1">
      <c r="A227" s="399"/>
      <c r="B227" s="399"/>
      <c r="C227" s="403"/>
      <c r="D227" s="399"/>
      <c r="E227" s="352"/>
      <c r="F227" s="399"/>
      <c r="G227" s="352"/>
      <c r="H227" s="399"/>
      <c r="I227" s="352"/>
      <c r="J227" s="399"/>
      <c r="K227" s="352"/>
      <c r="L227" s="399"/>
      <c r="M227" s="352"/>
      <c r="N227" s="399"/>
      <c r="O227" s="352"/>
    </row>
    <row r="228" spans="1:19" ht="15.75" hidden="1">
      <c r="A228" s="399"/>
      <c r="B228" s="399"/>
      <c r="C228" s="403"/>
      <c r="D228" s="399"/>
      <c r="E228" s="352"/>
      <c r="F228" s="399"/>
      <c r="G228" s="352"/>
      <c r="H228" s="399"/>
      <c r="I228" s="352"/>
      <c r="J228" s="399"/>
      <c r="K228" s="352"/>
      <c r="L228" s="399"/>
      <c r="M228" s="352"/>
      <c r="N228" s="399"/>
      <c r="O228" s="352"/>
    </row>
    <row r="229" spans="1:19" ht="15.75">
      <c r="A229" s="399"/>
      <c r="B229" s="399"/>
      <c r="C229" s="403"/>
      <c r="D229" s="399"/>
      <c r="E229" s="352"/>
      <c r="F229" s="399"/>
      <c r="G229" s="352"/>
      <c r="H229" s="399"/>
      <c r="I229" s="352"/>
      <c r="J229" s="399"/>
      <c r="K229" s="352"/>
      <c r="L229" s="399"/>
      <c r="M229" s="352"/>
      <c r="N229" s="399"/>
      <c r="O229" s="352"/>
    </row>
    <row r="230" spans="1:19" ht="15.75">
      <c r="A230" s="399"/>
      <c r="B230" s="399"/>
      <c r="C230" s="403"/>
      <c r="D230" s="399"/>
      <c r="E230" s="352"/>
      <c r="F230" s="399"/>
      <c r="G230" s="352"/>
      <c r="H230" s="399"/>
      <c r="I230" s="352"/>
      <c r="J230" s="399"/>
      <c r="K230" s="352"/>
      <c r="L230" s="399"/>
      <c r="M230" s="352"/>
      <c r="N230" s="399"/>
      <c r="O230" s="352"/>
    </row>
    <row r="231" spans="1:19" ht="15.75">
      <c r="A231" s="399"/>
      <c r="B231" s="399"/>
      <c r="C231" s="403"/>
      <c r="D231" s="399"/>
      <c r="E231" s="352"/>
      <c r="F231" s="399"/>
      <c r="G231" s="352"/>
      <c r="H231" s="399"/>
      <c r="I231" s="352"/>
      <c r="J231" s="399"/>
      <c r="K231" s="352"/>
      <c r="L231" s="399"/>
      <c r="M231" s="352"/>
      <c r="N231" s="399"/>
      <c r="O231" s="352"/>
    </row>
    <row r="232" spans="1:19" ht="15.75">
      <c r="A232" s="399"/>
      <c r="B232" s="399"/>
      <c r="C232" s="403"/>
      <c r="D232" s="399"/>
      <c r="E232" s="352"/>
      <c r="F232" s="399"/>
      <c r="G232" s="352"/>
      <c r="H232" s="399"/>
      <c r="I232" s="352"/>
      <c r="J232" s="399"/>
      <c r="K232" s="352"/>
      <c r="L232" s="399"/>
      <c r="M232" s="352"/>
      <c r="N232" s="399"/>
      <c r="O232" s="352"/>
    </row>
    <row r="233" spans="1:19" s="405" customFormat="1" ht="20.25">
      <c r="A233" s="835" t="s">
        <v>656</v>
      </c>
      <c r="B233" s="835"/>
      <c r="C233" s="835"/>
      <c r="D233" s="835"/>
      <c r="E233" s="835"/>
      <c r="F233" s="835"/>
      <c r="G233" s="835"/>
      <c r="H233" s="835"/>
      <c r="I233" s="404"/>
      <c r="K233" s="404"/>
      <c r="M233" s="404"/>
      <c r="O233" s="404"/>
    </row>
    <row r="234" spans="1:19" s="405" customFormat="1" ht="20.25">
      <c r="A234" s="834" t="s">
        <v>657</v>
      </c>
      <c r="B234" s="834"/>
      <c r="C234" s="834"/>
      <c r="D234" s="834"/>
      <c r="E234" s="834"/>
      <c r="F234" s="834"/>
      <c r="G234" s="834"/>
      <c r="H234" s="834"/>
      <c r="I234" s="406"/>
      <c r="K234" s="406"/>
      <c r="M234" s="406"/>
      <c r="O234" s="406"/>
    </row>
    <row r="235" spans="1:19" s="405" customFormat="1" ht="20.25">
      <c r="A235" s="834" t="s">
        <v>1081</v>
      </c>
      <c r="B235" s="834"/>
      <c r="C235" s="834"/>
      <c r="D235" s="834"/>
      <c r="E235" s="834"/>
      <c r="F235" s="834"/>
      <c r="G235" s="834"/>
      <c r="H235" s="834"/>
      <c r="I235" s="406"/>
      <c r="K235" s="406"/>
      <c r="M235" s="406"/>
      <c r="O235" s="406"/>
    </row>
    <row r="236" spans="1:19" s="405" customFormat="1" ht="20.25">
      <c r="A236" s="835" t="s">
        <v>576</v>
      </c>
      <c r="B236" s="835"/>
      <c r="C236" s="835"/>
      <c r="D236" s="835"/>
      <c r="E236" s="835"/>
      <c r="F236" s="835"/>
      <c r="G236" s="835"/>
      <c r="H236" s="835"/>
      <c r="I236" s="404"/>
      <c r="K236" s="404"/>
      <c r="M236" s="404"/>
      <c r="O236" s="404"/>
    </row>
    <row r="237" spans="1:19" ht="18.75">
      <c r="A237" s="407"/>
      <c r="B237" s="408"/>
      <c r="C237" s="309">
        <v>2020</v>
      </c>
      <c r="D237" s="408"/>
      <c r="E237" s="309">
        <v>2019</v>
      </c>
      <c r="F237" s="408"/>
      <c r="G237" s="306"/>
      <c r="H237" s="310"/>
      <c r="I237" s="309"/>
      <c r="J237" s="310"/>
      <c r="K237" s="309"/>
      <c r="L237" s="310"/>
      <c r="M237" s="309"/>
      <c r="N237" s="310"/>
      <c r="O237" s="309"/>
      <c r="Q237" s="409"/>
    </row>
    <row r="238" spans="1:19" ht="18.75">
      <c r="A238" s="366" t="s">
        <v>658</v>
      </c>
      <c r="B238" s="313"/>
      <c r="C238" s="311"/>
      <c r="D238" s="313"/>
      <c r="E238" s="313"/>
      <c r="F238" s="313"/>
      <c r="G238" s="308"/>
      <c r="H238" s="308"/>
      <c r="I238" s="308"/>
      <c r="J238" s="308"/>
      <c r="K238" s="308"/>
      <c r="L238" s="308"/>
      <c r="M238" s="308"/>
      <c r="N238" s="308"/>
      <c r="O238" s="308"/>
    </row>
    <row r="239" spans="1:19" ht="15.75">
      <c r="A239" s="367" t="s">
        <v>659</v>
      </c>
      <c r="B239" s="313"/>
      <c r="C239" s="317">
        <v>39828307075</v>
      </c>
      <c r="D239" s="313"/>
      <c r="E239" s="317">
        <v>41945733778</v>
      </c>
      <c r="F239" s="410"/>
      <c r="G239" s="318"/>
      <c r="H239" s="318"/>
      <c r="I239" s="318"/>
      <c r="J239" s="318"/>
      <c r="K239" s="318"/>
      <c r="L239" s="318"/>
      <c r="M239" s="318"/>
      <c r="N239" s="318"/>
      <c r="O239" s="318"/>
      <c r="Q239" s="411"/>
      <c r="R239" s="412">
        <f>C239/C244</f>
        <v>0.31088420137340256</v>
      </c>
      <c r="S239" s="411"/>
    </row>
    <row r="240" spans="1:19" ht="15.75">
      <c r="A240" s="367" t="s">
        <v>660</v>
      </c>
      <c r="B240" s="313"/>
      <c r="C240" s="368">
        <f>87872816340+411874605</f>
        <v>88284690945</v>
      </c>
      <c r="D240" s="313"/>
      <c r="E240" s="368">
        <f>96415539994+481045230</f>
        <v>96896585224</v>
      </c>
      <c r="F240" s="410"/>
      <c r="G240" s="318"/>
      <c r="H240" s="318"/>
      <c r="I240" s="318"/>
      <c r="J240" s="318"/>
      <c r="K240" s="318"/>
      <c r="L240" s="318"/>
      <c r="M240" s="318"/>
      <c r="N240" s="318"/>
      <c r="O240" s="318"/>
      <c r="Q240" s="411"/>
      <c r="R240" s="412">
        <f>C240/C244</f>
        <v>0.68911579862659744</v>
      </c>
      <c r="S240" s="411"/>
    </row>
    <row r="241" spans="1:17" ht="15.75" hidden="1">
      <c r="A241" s="413" t="s">
        <v>661</v>
      </c>
      <c r="B241" s="313"/>
      <c r="C241" s="317"/>
      <c r="D241" s="313"/>
      <c r="E241" s="317"/>
      <c r="F241" s="410"/>
      <c r="G241" s="318"/>
      <c r="H241" s="318"/>
      <c r="I241" s="318"/>
      <c r="J241" s="318"/>
      <c r="K241" s="318"/>
      <c r="L241" s="318"/>
      <c r="M241" s="318"/>
      <c r="N241" s="318"/>
      <c r="O241" s="318"/>
    </row>
    <row r="242" spans="1:17" ht="15.75" hidden="1">
      <c r="A242" s="367" t="s">
        <v>662</v>
      </c>
      <c r="B242" s="313"/>
      <c r="C242" s="317">
        <v>0</v>
      </c>
      <c r="D242" s="313"/>
      <c r="E242" s="317">
        <v>0</v>
      </c>
      <c r="F242" s="410"/>
      <c r="G242" s="318"/>
      <c r="H242" s="318"/>
      <c r="I242" s="318"/>
      <c r="J242" s="318"/>
      <c r="K242" s="318"/>
      <c r="L242" s="318"/>
      <c r="M242" s="318"/>
      <c r="N242" s="318"/>
      <c r="O242" s="318"/>
    </row>
    <row r="243" spans="1:17" ht="15.75" hidden="1">
      <c r="A243" s="367" t="s">
        <v>663</v>
      </c>
      <c r="B243" s="313"/>
      <c r="C243" s="317">
        <v>0</v>
      </c>
      <c r="D243" s="313"/>
      <c r="E243" s="317">
        <v>0</v>
      </c>
      <c r="F243" s="410"/>
      <c r="G243" s="318"/>
      <c r="H243" s="318"/>
      <c r="I243" s="318"/>
      <c r="J243" s="318"/>
      <c r="K243" s="318"/>
      <c r="L243" s="318"/>
      <c r="M243" s="318"/>
      <c r="N243" s="318"/>
      <c r="O243" s="318"/>
    </row>
    <row r="244" spans="1:17" ht="18.75">
      <c r="A244" s="366" t="s">
        <v>664</v>
      </c>
      <c r="B244" s="313"/>
      <c r="C244" s="373">
        <f>SUM(C239:C243)</f>
        <v>128112998020</v>
      </c>
      <c r="D244" s="313"/>
      <c r="E244" s="373">
        <f>SUM(E239:E243)</f>
        <v>138842319002</v>
      </c>
      <c r="F244" s="410"/>
      <c r="G244" s="360"/>
      <c r="H244" s="318"/>
      <c r="I244" s="374"/>
      <c r="J244" s="318"/>
      <c r="K244" s="374"/>
      <c r="L244" s="318"/>
      <c r="M244" s="374"/>
      <c r="N244" s="318"/>
      <c r="O244" s="374"/>
    </row>
    <row r="245" spans="1:17" ht="15.75">
      <c r="A245" s="413" t="s">
        <v>661</v>
      </c>
      <c r="B245" s="313"/>
      <c r="C245" s="387"/>
      <c r="D245" s="313"/>
      <c r="E245" s="387"/>
      <c r="F245" s="410"/>
      <c r="G245" s="324"/>
      <c r="H245" s="324"/>
      <c r="I245" s="324"/>
      <c r="J245" s="324"/>
      <c r="K245" s="324"/>
      <c r="L245" s="324"/>
      <c r="M245" s="324"/>
      <c r="N245" s="324"/>
      <c r="O245" s="324"/>
    </row>
    <row r="246" spans="1:17" ht="15.75">
      <c r="A246" s="367" t="s">
        <v>665</v>
      </c>
      <c r="B246" s="313"/>
      <c r="C246" s="414">
        <f>-13780126168</f>
        <v>-13780126168</v>
      </c>
      <c r="D246" s="313"/>
      <c r="E246" s="414">
        <v>-19300803321</v>
      </c>
      <c r="F246" s="410"/>
      <c r="G246" s="415"/>
      <c r="H246" s="318"/>
      <c r="I246" s="415"/>
      <c r="J246" s="318"/>
      <c r="K246" s="415"/>
      <c r="L246" s="318"/>
      <c r="M246" s="415"/>
      <c r="N246" s="318"/>
      <c r="O246" s="415"/>
    </row>
    <row r="247" spans="1:17" ht="16.5" customHeight="1">
      <c r="A247" s="367" t="s">
        <v>666</v>
      </c>
      <c r="B247" s="313"/>
      <c r="C247" s="416">
        <f>-78529170671</f>
        <v>-78529170671</v>
      </c>
      <c r="D247" s="313"/>
      <c r="E247" s="416">
        <v>-85954755612</v>
      </c>
      <c r="F247" s="410"/>
      <c r="G247" s="415"/>
      <c r="H247" s="324"/>
      <c r="I247" s="417"/>
      <c r="J247" s="324"/>
      <c r="K247" s="417"/>
      <c r="L247" s="324"/>
      <c r="M247" s="417"/>
      <c r="N247" s="324"/>
      <c r="O247" s="417"/>
    </row>
    <row r="248" spans="1:17" ht="16.5" customHeight="1">
      <c r="A248" s="367"/>
      <c r="B248" s="313"/>
      <c r="C248" s="418">
        <f>SUM(C246:C247)</f>
        <v>-92309296839</v>
      </c>
      <c r="D248" s="418"/>
      <c r="E248" s="418">
        <f>SUM(E246:E247)</f>
        <v>-105255558933</v>
      </c>
      <c r="F248" s="410"/>
      <c r="G248" s="419"/>
      <c r="H248" s="324"/>
      <c r="I248" s="420"/>
      <c r="J248" s="324"/>
      <c r="K248" s="420"/>
      <c r="L248" s="324"/>
      <c r="M248" s="420"/>
      <c r="N248" s="324"/>
      <c r="O248" s="420"/>
    </row>
    <row r="249" spans="1:17" ht="18.75">
      <c r="A249" s="383" t="s">
        <v>667</v>
      </c>
      <c r="B249" s="313"/>
      <c r="C249" s="380">
        <f>C244+C248</f>
        <v>35803701181</v>
      </c>
      <c r="D249" s="380"/>
      <c r="E249" s="380">
        <f>E244+E248</f>
        <v>33586760069</v>
      </c>
      <c r="F249" s="410"/>
      <c r="G249" s="360"/>
      <c r="H249" s="318"/>
      <c r="I249" s="381"/>
      <c r="J249" s="318"/>
      <c r="K249" s="381"/>
      <c r="L249" s="318"/>
      <c r="M249" s="381"/>
      <c r="N249" s="318"/>
      <c r="O249" s="381"/>
      <c r="Q249" s="421"/>
    </row>
    <row r="250" spans="1:17" ht="15.75">
      <c r="A250" s="422" t="s">
        <v>668</v>
      </c>
      <c r="B250" s="313"/>
      <c r="C250" s="384"/>
      <c r="D250" s="313"/>
      <c r="E250" s="384"/>
      <c r="F250" s="410"/>
      <c r="G250" s="324"/>
      <c r="H250" s="324"/>
      <c r="I250" s="324"/>
      <c r="J250" s="324"/>
      <c r="K250" s="324"/>
      <c r="L250" s="324"/>
      <c r="M250" s="324"/>
      <c r="N250" s="324"/>
      <c r="O250" s="324"/>
      <c r="Q250" s="421"/>
    </row>
    <row r="251" spans="1:17" ht="18.75">
      <c r="A251" s="366" t="s">
        <v>669</v>
      </c>
      <c r="B251" s="313"/>
      <c r="C251" s="384"/>
      <c r="D251" s="313"/>
      <c r="E251" s="384"/>
      <c r="F251" s="410"/>
      <c r="G251" s="324"/>
      <c r="H251" s="324"/>
      <c r="I251" s="324"/>
      <c r="J251" s="324"/>
      <c r="K251" s="324"/>
      <c r="L251" s="324"/>
      <c r="M251" s="324"/>
      <c r="N251" s="324"/>
      <c r="O251" s="324"/>
      <c r="Q251" s="421"/>
    </row>
    <row r="252" spans="1:17" ht="15.75">
      <c r="A252" s="367" t="s">
        <v>670</v>
      </c>
      <c r="B252" s="313"/>
      <c r="C252" s="368">
        <v>4913496</v>
      </c>
      <c r="D252" s="313"/>
      <c r="E252" s="368">
        <v>9784102</v>
      </c>
      <c r="F252" s="410"/>
      <c r="G252" s="318"/>
      <c r="H252" s="318"/>
      <c r="I252" s="318"/>
      <c r="J252" s="318"/>
      <c r="K252" s="318"/>
      <c r="L252" s="318"/>
      <c r="M252" s="318"/>
      <c r="N252" s="318"/>
      <c r="O252" s="318"/>
    </row>
    <row r="253" spans="1:17" ht="15.75">
      <c r="A253" s="369" t="s">
        <v>671</v>
      </c>
      <c r="B253" s="313"/>
      <c r="C253" s="368">
        <v>183560000</v>
      </c>
      <c r="D253" s="313"/>
      <c r="E253" s="368">
        <v>23840000</v>
      </c>
      <c r="F253" s="410"/>
      <c r="G253" s="318"/>
      <c r="H253" s="318"/>
      <c r="I253" s="318"/>
      <c r="J253" s="318"/>
      <c r="K253" s="318"/>
      <c r="L253" s="318"/>
      <c r="M253" s="318"/>
      <c r="N253" s="318"/>
      <c r="O253" s="318"/>
    </row>
    <row r="254" spans="1:17" ht="15.75">
      <c r="A254" s="369" t="s">
        <v>672</v>
      </c>
      <c r="B254" s="313"/>
      <c r="C254" s="368">
        <f>36803134+71132400</f>
        <v>107935534</v>
      </c>
      <c r="D254" s="313"/>
      <c r="E254" s="368">
        <f>11707556+74172400</f>
        <v>85879956</v>
      </c>
      <c r="F254" s="410"/>
      <c r="G254" s="318"/>
      <c r="H254" s="318"/>
      <c r="I254" s="318"/>
      <c r="J254" s="318"/>
      <c r="K254" s="318"/>
      <c r="L254" s="318"/>
      <c r="M254" s="318"/>
      <c r="N254" s="318"/>
      <c r="O254" s="318"/>
    </row>
    <row r="255" spans="1:17" ht="15.75">
      <c r="A255" s="369" t="s">
        <v>673</v>
      </c>
      <c r="B255" s="313"/>
      <c r="C255" s="368">
        <f>146000+32593858</f>
        <v>32739858</v>
      </c>
      <c r="D255" s="313"/>
      <c r="E255" s="368">
        <f>72727+35476187</f>
        <v>35548914</v>
      </c>
      <c r="F255" s="410"/>
      <c r="G255" s="318"/>
      <c r="H255" s="318"/>
      <c r="I255" s="318"/>
      <c r="J255" s="318"/>
      <c r="K255" s="318"/>
      <c r="L255" s="318"/>
      <c r="M255" s="318"/>
      <c r="N255" s="318"/>
      <c r="O255" s="318"/>
    </row>
    <row r="256" spans="1:17" ht="15.75">
      <c r="A256" s="369" t="s">
        <v>674</v>
      </c>
      <c r="B256" s="313"/>
      <c r="C256" s="368">
        <v>0</v>
      </c>
      <c r="D256" s="313"/>
      <c r="E256" s="368">
        <v>0</v>
      </c>
      <c r="F256" s="410"/>
      <c r="G256" s="318"/>
      <c r="H256" s="318"/>
      <c r="I256" s="318"/>
      <c r="J256" s="318"/>
      <c r="K256" s="318"/>
      <c r="L256" s="318"/>
      <c r="M256" s="318"/>
      <c r="N256" s="318"/>
      <c r="O256" s="318"/>
    </row>
    <row r="257" spans="1:17" ht="15.75">
      <c r="A257" s="369" t="s">
        <v>675</v>
      </c>
      <c r="B257" s="313"/>
      <c r="C257" s="368">
        <f>1017854627-C252-C258</f>
        <v>392272165</v>
      </c>
      <c r="D257" s="313"/>
      <c r="E257" s="368">
        <f>208108+631286582</f>
        <v>631494690</v>
      </c>
      <c r="F257" s="410"/>
      <c r="G257" s="318"/>
      <c r="H257" s="318"/>
      <c r="I257" s="318"/>
      <c r="J257" s="318"/>
      <c r="K257" s="318"/>
      <c r="L257" s="318"/>
      <c r="M257" s="318"/>
      <c r="N257" s="318"/>
      <c r="O257" s="318"/>
    </row>
    <row r="258" spans="1:17" ht="15.75">
      <c r="A258" s="369" t="s">
        <v>676</v>
      </c>
      <c r="B258" s="313"/>
      <c r="C258" s="368">
        <f>58336208+562332758</f>
        <v>620668966</v>
      </c>
      <c r="D258" s="313"/>
      <c r="E258" s="368">
        <f>33144021+120868254</f>
        <v>154012275</v>
      </c>
      <c r="F258" s="410"/>
      <c r="G258" s="318"/>
      <c r="H258" s="318"/>
      <c r="I258" s="318"/>
      <c r="J258" s="318"/>
      <c r="K258" s="318"/>
      <c r="L258" s="318"/>
      <c r="M258" s="318"/>
      <c r="N258" s="318"/>
      <c r="O258" s="318"/>
      <c r="Q258" s="421"/>
    </row>
    <row r="259" spans="1:17" ht="15.75">
      <c r="A259" s="308"/>
      <c r="B259" s="313"/>
      <c r="C259" s="373">
        <f>SUM(C252:C258)</f>
        <v>1342090019</v>
      </c>
      <c r="D259" s="373"/>
      <c r="E259" s="373">
        <f>SUM(E252:E258)</f>
        <v>940559937</v>
      </c>
      <c r="F259" s="410"/>
      <c r="G259" s="360"/>
      <c r="H259" s="318"/>
      <c r="I259" s="374"/>
      <c r="J259" s="318"/>
      <c r="K259" s="374"/>
      <c r="L259" s="318"/>
      <c r="M259" s="374"/>
      <c r="N259" s="318"/>
      <c r="O259" s="374"/>
      <c r="Q259" s="421"/>
    </row>
    <row r="260" spans="1:17" ht="15.75">
      <c r="A260" s="422" t="s">
        <v>661</v>
      </c>
      <c r="B260" s="313"/>
      <c r="C260" s="384"/>
      <c r="D260" s="313"/>
      <c r="E260" s="384"/>
      <c r="F260" s="410"/>
      <c r="G260" s="324"/>
      <c r="H260" s="324"/>
      <c r="I260" s="324"/>
      <c r="J260" s="324"/>
      <c r="K260" s="324"/>
      <c r="L260" s="324"/>
      <c r="M260" s="324"/>
      <c r="N260" s="324"/>
      <c r="O260" s="324"/>
      <c r="Q260" s="421"/>
    </row>
    <row r="261" spans="1:17" ht="20.25" customHeight="1">
      <c r="A261" s="366" t="s">
        <v>677</v>
      </c>
      <c r="B261" s="313"/>
      <c r="C261" s="384"/>
      <c r="D261" s="313"/>
      <c r="E261" s="384"/>
      <c r="F261" s="410"/>
      <c r="G261" s="324"/>
      <c r="H261" s="324"/>
      <c r="I261" s="324"/>
      <c r="J261" s="324"/>
      <c r="K261" s="324"/>
      <c r="L261" s="324"/>
      <c r="M261" s="324"/>
      <c r="N261" s="324"/>
      <c r="O261" s="324"/>
      <c r="Q261" s="421"/>
    </row>
    <row r="262" spans="1:17" ht="15.75">
      <c r="A262" s="369" t="s">
        <v>678</v>
      </c>
      <c r="B262" s="313"/>
      <c r="C262" s="368">
        <v>-5070411142</v>
      </c>
      <c r="D262" s="313"/>
      <c r="E262" s="368">
        <v>-3850550131</v>
      </c>
      <c r="F262" s="410"/>
      <c r="G262" s="318"/>
      <c r="H262" s="318"/>
      <c r="I262" s="318"/>
      <c r="J262" s="318"/>
      <c r="K262" s="318"/>
      <c r="L262" s="318"/>
      <c r="M262" s="318"/>
      <c r="N262" s="318"/>
      <c r="O262" s="318"/>
    </row>
    <row r="263" spans="1:17" ht="15.75">
      <c r="A263" s="369" t="s">
        <v>679</v>
      </c>
      <c r="B263" s="313"/>
      <c r="C263" s="368">
        <v>-7032901402</v>
      </c>
      <c r="D263" s="313"/>
      <c r="E263" s="368">
        <v>-6547114718</v>
      </c>
      <c r="F263" s="410"/>
      <c r="G263" s="318"/>
      <c r="H263" s="318"/>
      <c r="I263" s="318"/>
      <c r="J263" s="318"/>
      <c r="K263" s="318"/>
      <c r="L263" s="318"/>
      <c r="M263" s="318"/>
      <c r="N263" s="318"/>
      <c r="O263" s="318"/>
      <c r="Q263" s="421"/>
    </row>
    <row r="264" spans="1:17" ht="15.75">
      <c r="A264" s="369" t="s">
        <v>680</v>
      </c>
      <c r="B264" s="313"/>
      <c r="C264" s="368">
        <v>-7565852814</v>
      </c>
      <c r="D264" s="313"/>
      <c r="E264" s="368">
        <v>-7508896151</v>
      </c>
      <c r="F264" s="410"/>
      <c r="G264" s="318"/>
      <c r="H264" s="318"/>
      <c r="I264" s="318"/>
      <c r="J264" s="318"/>
      <c r="K264" s="318"/>
      <c r="L264" s="318"/>
      <c r="M264" s="318"/>
      <c r="N264" s="318"/>
      <c r="O264" s="318"/>
    </row>
    <row r="265" spans="1:17" ht="15.75">
      <c r="A265" s="369" t="s">
        <v>681</v>
      </c>
      <c r="B265" s="313"/>
      <c r="C265" s="368">
        <v>-914184680</v>
      </c>
      <c r="D265" s="313"/>
      <c r="E265" s="368">
        <v>-1527751613</v>
      </c>
      <c r="F265" s="410"/>
      <c r="G265" s="318"/>
      <c r="H265" s="318"/>
      <c r="I265" s="318"/>
      <c r="J265" s="318"/>
      <c r="K265" s="318"/>
      <c r="L265" s="318"/>
      <c r="M265" s="318"/>
      <c r="N265" s="318"/>
      <c r="O265" s="318"/>
    </row>
    <row r="266" spans="1:17" ht="15.75">
      <c r="A266" s="369" t="s">
        <v>682</v>
      </c>
      <c r="B266" s="313"/>
      <c r="C266" s="368">
        <v>-2909516194</v>
      </c>
      <c r="D266" s="313"/>
      <c r="E266" s="368">
        <v>-3205953611</v>
      </c>
      <c r="F266" s="410"/>
      <c r="G266" s="318"/>
      <c r="H266" s="318"/>
      <c r="I266" s="318"/>
      <c r="J266" s="318"/>
      <c r="K266" s="318"/>
      <c r="L266" s="318"/>
      <c r="M266" s="318"/>
      <c r="N266" s="318"/>
      <c r="O266" s="318"/>
    </row>
    <row r="267" spans="1:17" ht="15.75">
      <c r="A267" s="308"/>
      <c r="B267" s="313"/>
      <c r="C267" s="373">
        <f>SUM(C262:C266)</f>
        <v>-23492866232</v>
      </c>
      <c r="D267" s="373"/>
      <c r="E267" s="373">
        <f>SUM(E262:E266)</f>
        <v>-22640266224</v>
      </c>
      <c r="F267" s="410"/>
      <c r="G267" s="360"/>
      <c r="H267" s="318"/>
      <c r="I267" s="374"/>
      <c r="J267" s="318"/>
      <c r="K267" s="374"/>
      <c r="L267" s="318"/>
      <c r="M267" s="374"/>
      <c r="N267" s="318"/>
      <c r="O267" s="374"/>
    </row>
    <row r="268" spans="1:17" ht="18.75">
      <c r="A268" s="366" t="s">
        <v>683</v>
      </c>
      <c r="B268" s="423"/>
      <c r="C268" s="386">
        <f>C259+C267+C249</f>
        <v>13652924968</v>
      </c>
      <c r="D268" s="386"/>
      <c r="E268" s="386">
        <f>E259+E267+E249</f>
        <v>11887053782</v>
      </c>
      <c r="F268" s="424"/>
      <c r="G268" s="360"/>
      <c r="H268" s="318"/>
      <c r="I268" s="360"/>
      <c r="J268" s="318"/>
      <c r="K268" s="360"/>
      <c r="L268" s="318"/>
      <c r="M268" s="360"/>
      <c r="N268" s="318"/>
      <c r="O268" s="360"/>
    </row>
    <row r="269" spans="1:17" ht="18.75" customHeight="1">
      <c r="A269" s="367" t="s">
        <v>684</v>
      </c>
      <c r="B269" s="313"/>
      <c r="C269" s="425">
        <v>0</v>
      </c>
      <c r="D269" s="313"/>
      <c r="E269" s="425">
        <v>0</v>
      </c>
      <c r="F269" s="410"/>
      <c r="G269" s="352"/>
      <c r="H269" s="318"/>
      <c r="I269" s="426"/>
      <c r="J269" s="318"/>
      <c r="K269" s="426"/>
      <c r="L269" s="318"/>
      <c r="M269" s="426"/>
      <c r="N269" s="318"/>
      <c r="O269" s="426"/>
    </row>
    <row r="270" spans="1:17" ht="20.25" customHeight="1">
      <c r="A270" s="413" t="s">
        <v>685</v>
      </c>
      <c r="B270" s="313"/>
      <c r="C270" s="385">
        <f>C268+C269</f>
        <v>13652924968</v>
      </c>
      <c r="D270" s="385"/>
      <c r="E270" s="385">
        <f>E268+E269</f>
        <v>11887053782</v>
      </c>
      <c r="F270" s="410"/>
      <c r="G270" s="352"/>
      <c r="H270" s="318"/>
      <c r="I270" s="352"/>
      <c r="J270" s="318"/>
      <c r="K270" s="352"/>
      <c r="L270" s="318"/>
      <c r="M270" s="352"/>
      <c r="N270" s="318"/>
      <c r="O270" s="352"/>
    </row>
    <row r="271" spans="1:17" ht="15.75">
      <c r="A271" s="367" t="s">
        <v>686</v>
      </c>
      <c r="B271" s="313"/>
      <c r="C271" s="385">
        <v>0</v>
      </c>
      <c r="D271" s="313"/>
      <c r="E271" s="385">
        <v>0</v>
      </c>
      <c r="F271" s="410"/>
      <c r="G271" s="352"/>
      <c r="H271" s="318"/>
      <c r="I271" s="352"/>
      <c r="J271" s="318"/>
      <c r="K271" s="352"/>
      <c r="L271" s="318"/>
      <c r="M271" s="352"/>
      <c r="N271" s="318"/>
      <c r="O271" s="352"/>
    </row>
    <row r="272" spans="1:17" ht="17.25" thickBot="1">
      <c r="A272" s="427" t="s">
        <v>687</v>
      </c>
      <c r="B272" s="423"/>
      <c r="C272" s="359">
        <f>C270+C271</f>
        <v>13652924968</v>
      </c>
      <c r="D272" s="359"/>
      <c r="E272" s="359">
        <f>E270+E271</f>
        <v>11887053782</v>
      </c>
      <c r="F272" s="424"/>
      <c r="G272" s="360"/>
      <c r="H272" s="318"/>
      <c r="I272" s="361"/>
      <c r="J272" s="318"/>
      <c r="K272" s="361"/>
      <c r="L272" s="318"/>
      <c r="M272" s="361"/>
      <c r="N272" s="318"/>
      <c r="O272" s="361"/>
    </row>
    <row r="273" spans="1:15" ht="16.5" thickTop="1">
      <c r="A273" s="836" t="s">
        <v>654</v>
      </c>
      <c r="B273" s="836"/>
      <c r="C273" s="836"/>
      <c r="D273" s="836"/>
      <c r="E273" s="836"/>
      <c r="F273" s="836"/>
      <c r="G273" s="836"/>
      <c r="H273" s="836"/>
      <c r="I273" s="399"/>
      <c r="K273" s="399"/>
      <c r="M273" s="399"/>
      <c r="O273" s="399"/>
    </row>
    <row r="274" spans="1:15" ht="15.75">
      <c r="A274" s="399"/>
      <c r="B274" s="399"/>
      <c r="C274" s="399"/>
      <c r="D274" s="399"/>
      <c r="E274" s="399"/>
      <c r="F274" s="399"/>
      <c r="G274" s="399"/>
      <c r="H274" s="399"/>
      <c r="I274" s="399"/>
      <c r="K274" s="399"/>
      <c r="M274" s="399"/>
      <c r="O274" s="399"/>
    </row>
    <row r="275" spans="1:15" ht="15.75">
      <c r="A275" s="399"/>
      <c r="B275" s="399"/>
      <c r="C275" s="399"/>
      <c r="D275" s="399"/>
      <c r="E275" s="399"/>
      <c r="F275" s="399"/>
      <c r="G275" s="399"/>
      <c r="H275" s="399"/>
      <c r="I275" s="399"/>
      <c r="K275" s="399"/>
      <c r="M275" s="399"/>
      <c r="O275" s="399"/>
    </row>
    <row r="276" spans="1:15" ht="24.75" customHeight="1">
      <c r="A276" s="399"/>
      <c r="B276" s="399"/>
      <c r="C276" s="402"/>
      <c r="D276" s="399"/>
      <c r="E276" s="399"/>
      <c r="F276" s="399"/>
      <c r="G276" s="399"/>
      <c r="H276" s="399"/>
      <c r="I276" s="399"/>
      <c r="K276" s="399"/>
      <c r="M276" s="399"/>
      <c r="O276" s="399"/>
    </row>
    <row r="277" spans="1:15" ht="36" customHeight="1">
      <c r="A277" s="308"/>
      <c r="B277" s="308"/>
      <c r="C277" s="336"/>
      <c r="D277" s="308"/>
      <c r="E277" s="308"/>
      <c r="F277" s="308"/>
      <c r="G277" s="337"/>
      <c r="H277" s="324"/>
      <c r="I277" s="337"/>
      <c r="J277" s="324"/>
      <c r="K277" s="337"/>
      <c r="L277" s="324"/>
      <c r="M277" s="337"/>
      <c r="N277" s="324"/>
      <c r="O277" s="337"/>
    </row>
    <row r="278" spans="1:15" ht="16.5">
      <c r="A278" s="340" t="s">
        <v>605</v>
      </c>
      <c r="B278" s="341"/>
      <c r="C278" s="342" t="s">
        <v>606</v>
      </c>
      <c r="D278" s="343"/>
      <c r="E278" s="344"/>
      <c r="F278" s="341"/>
      <c r="H278" s="345"/>
      <c r="J278" s="345"/>
      <c r="L278" s="345"/>
      <c r="N278" s="345"/>
    </row>
    <row r="279" spans="1:15" ht="16.5">
      <c r="A279" s="340" t="s">
        <v>607</v>
      </c>
      <c r="B279" s="341"/>
      <c r="C279" s="346" t="s">
        <v>655</v>
      </c>
      <c r="D279" s="341"/>
      <c r="F279" s="341"/>
      <c r="H279" s="345"/>
      <c r="J279" s="345"/>
      <c r="L279" s="345"/>
      <c r="N279" s="345"/>
    </row>
    <row r="280" spans="1:15" ht="16.5">
      <c r="A280" s="340"/>
      <c r="B280" s="341"/>
      <c r="C280" s="346"/>
      <c r="D280" s="341"/>
      <c r="F280" s="341"/>
      <c r="H280" s="345"/>
      <c r="J280" s="345"/>
      <c r="L280" s="345"/>
      <c r="N280" s="345"/>
    </row>
    <row r="281" spans="1:15" ht="16.5">
      <c r="A281" s="340"/>
      <c r="B281" s="341"/>
      <c r="C281" s="346"/>
      <c r="D281" s="341"/>
      <c r="F281" s="341"/>
      <c r="H281" s="345"/>
      <c r="J281" s="345"/>
      <c r="L281" s="345"/>
      <c r="N281" s="345"/>
    </row>
    <row r="282" spans="1:15" ht="34.5" customHeight="1">
      <c r="A282" s="340"/>
      <c r="B282" s="341"/>
      <c r="C282" s="346"/>
      <c r="D282" s="341"/>
      <c r="F282" s="341"/>
      <c r="H282" s="345"/>
      <c r="J282" s="345"/>
      <c r="L282" s="345"/>
      <c r="N282" s="345"/>
    </row>
    <row r="283" spans="1:15" ht="28.5" customHeight="1">
      <c r="A283" s="341"/>
      <c r="B283" s="341"/>
      <c r="C283" s="344"/>
      <c r="D283" s="341"/>
      <c r="E283" s="428"/>
      <c r="F283" s="341"/>
      <c r="H283" s="345"/>
      <c r="J283" s="345"/>
      <c r="L283" s="345"/>
      <c r="N283" s="345"/>
    </row>
    <row r="284" spans="1:15" ht="16.5">
      <c r="A284" s="340" t="s">
        <v>609</v>
      </c>
      <c r="B284" s="341"/>
      <c r="C284" s="346" t="s">
        <v>610</v>
      </c>
      <c r="D284" s="343"/>
      <c r="E284" s="344"/>
      <c r="F284" s="341"/>
      <c r="H284" s="345"/>
      <c r="J284" s="345"/>
      <c r="L284" s="345"/>
      <c r="N284" s="345"/>
    </row>
    <row r="285" spans="1:15" ht="16.5">
      <c r="A285" s="340" t="s">
        <v>611</v>
      </c>
      <c r="B285" s="341"/>
      <c r="C285" s="346" t="s">
        <v>612</v>
      </c>
      <c r="D285" s="341"/>
      <c r="F285" s="341"/>
      <c r="H285" s="345"/>
      <c r="J285" s="345"/>
      <c r="L285" s="345"/>
      <c r="N285" s="345"/>
    </row>
  </sheetData>
  <mergeCells count="20">
    <mergeCell ref="A156:H156"/>
    <mergeCell ref="A2:H2"/>
    <mergeCell ref="A3:H3"/>
    <mergeCell ref="A4:H4"/>
    <mergeCell ref="A54:H54"/>
    <mergeCell ref="A55:H55"/>
    <mergeCell ref="A56:H56"/>
    <mergeCell ref="A93:H93"/>
    <mergeCell ref="A112:H112"/>
    <mergeCell ref="A113:H113"/>
    <mergeCell ref="A114:H114"/>
    <mergeCell ref="A235:H235"/>
    <mergeCell ref="A236:H236"/>
    <mergeCell ref="A273:H273"/>
    <mergeCell ref="A157:H157"/>
    <mergeCell ref="A158:H158"/>
    <mergeCell ref="A159:H159"/>
    <mergeCell ref="A187:H187"/>
    <mergeCell ref="A233:H233"/>
    <mergeCell ref="A234:H234"/>
  </mergeCells>
  <printOptions horizontalCentered="1"/>
  <pageMargins left="0.78740157480314965" right="0.78740157480314965" top="1.5748031496062993" bottom="1.5748031496062993" header="0" footer="0"/>
  <pageSetup paperSize="5" scale="80" firstPageNumber="0" fitToHeight="0" orientation="portrait" r:id="rId1"/>
  <headerFooter alignWithMargins="0"/>
  <rowBreaks count="2" manualBreakCount="2">
    <brk id="5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57"/>
  <sheetViews>
    <sheetView showGridLines="0" zoomScale="106" zoomScaleNormal="106" workbookViewId="0">
      <selection activeCell="K12" sqref="K12"/>
    </sheetView>
  </sheetViews>
  <sheetFormatPr baseColWidth="10" defaultRowHeight="15"/>
  <cols>
    <col min="1" max="1" width="7.7109375" customWidth="1"/>
    <col min="2" max="2" width="33.140625" customWidth="1"/>
    <col min="3" max="3" width="13.85546875" customWidth="1"/>
    <col min="4" max="4" width="15.28515625" customWidth="1"/>
    <col min="5" max="5" width="14.5703125" customWidth="1"/>
    <col min="6" max="6" width="11.7109375" bestFit="1" customWidth="1"/>
  </cols>
  <sheetData>
    <row r="3" spans="1:5" ht="30.75">
      <c r="A3" s="870" t="s">
        <v>132</v>
      </c>
      <c r="B3" s="870"/>
      <c r="C3" s="870"/>
      <c r="D3" s="870"/>
      <c r="E3" s="870"/>
    </row>
    <row r="4" spans="1:5" ht="30.75">
      <c r="A4" s="871" t="s">
        <v>1082</v>
      </c>
      <c r="B4" s="871"/>
      <c r="C4" s="871"/>
      <c r="D4" s="871"/>
      <c r="E4" s="871"/>
    </row>
    <row r="6" spans="1:5" ht="18.75">
      <c r="A6" s="872" t="s">
        <v>140</v>
      </c>
      <c r="B6" s="872"/>
    </row>
    <row r="7" spans="1:5" ht="16.5">
      <c r="A7" s="101" t="s">
        <v>134</v>
      </c>
      <c r="B7" s="101"/>
      <c r="C7" s="101"/>
      <c r="D7" s="101"/>
      <c r="E7" s="101"/>
    </row>
    <row r="8" spans="1:5" ht="15.75">
      <c r="A8" s="100" t="s">
        <v>135</v>
      </c>
      <c r="B8" s="100"/>
      <c r="C8" s="100"/>
      <c r="D8" s="100"/>
      <c r="E8" s="100"/>
    </row>
    <row r="9" spans="1:5" ht="15.75">
      <c r="A9" s="99" t="s">
        <v>136</v>
      </c>
    </row>
    <row r="10" spans="1:5" ht="15.75">
      <c r="A10" s="99" t="s">
        <v>137</v>
      </c>
    </row>
    <row r="11" spans="1:5" ht="15.75">
      <c r="A11" s="99" t="s">
        <v>138</v>
      </c>
    </row>
    <row r="12" spans="1:5" ht="15.75">
      <c r="A12" s="99" t="s">
        <v>139</v>
      </c>
    </row>
    <row r="14" spans="1:5" ht="15.75">
      <c r="A14" s="102" t="s">
        <v>133</v>
      </c>
    </row>
    <row r="16" spans="1:5" ht="16.5">
      <c r="A16" s="98" t="s">
        <v>141</v>
      </c>
    </row>
    <row r="17" spans="1:1" ht="15.75">
      <c r="A17" s="99" t="s">
        <v>143</v>
      </c>
    </row>
    <row r="18" spans="1:1">
      <c r="A18" t="s">
        <v>142</v>
      </c>
    </row>
    <row r="19" spans="1:1" ht="15.75">
      <c r="A19" s="99" t="s">
        <v>144</v>
      </c>
    </row>
    <row r="20" spans="1:1" ht="15.75">
      <c r="A20" s="99" t="s">
        <v>145</v>
      </c>
    </row>
    <row r="21" spans="1:1" ht="15.75">
      <c r="A21" s="39" t="s">
        <v>146</v>
      </c>
    </row>
    <row r="23" spans="1:1" ht="16.5">
      <c r="A23" s="98" t="s">
        <v>147</v>
      </c>
    </row>
    <row r="24" spans="1:1" ht="15.75">
      <c r="A24" s="99" t="s">
        <v>148</v>
      </c>
    </row>
    <row r="25" spans="1:1" ht="15.75">
      <c r="A25" s="99" t="s">
        <v>149</v>
      </c>
    </row>
    <row r="26" spans="1:1" ht="15.75">
      <c r="A26" s="99" t="s">
        <v>150</v>
      </c>
    </row>
    <row r="27" spans="1:1" ht="15.75">
      <c r="A27" s="99" t="s">
        <v>151</v>
      </c>
    </row>
    <row r="29" spans="1:1" ht="16.5">
      <c r="A29" s="98" t="s">
        <v>152</v>
      </c>
    </row>
    <row r="30" spans="1:1" ht="15.75">
      <c r="A30" s="99" t="s">
        <v>153</v>
      </c>
    </row>
    <row r="31" spans="1:1" ht="15.75">
      <c r="A31" s="99" t="s">
        <v>154</v>
      </c>
    </row>
    <row r="32" spans="1:1" ht="15.75">
      <c r="A32" s="99" t="s">
        <v>155</v>
      </c>
    </row>
    <row r="33" spans="1:1" ht="15.75">
      <c r="A33" s="99" t="s">
        <v>156</v>
      </c>
    </row>
    <row r="34" spans="1:1" ht="15.75">
      <c r="A34" s="102" t="s">
        <v>157</v>
      </c>
    </row>
    <row r="36" spans="1:1" ht="16.5">
      <c r="A36" s="98" t="s">
        <v>158</v>
      </c>
    </row>
    <row r="37" spans="1:1" ht="15.75">
      <c r="A37" s="99" t="s">
        <v>159</v>
      </c>
    </row>
    <row r="38" spans="1:1" ht="15.75">
      <c r="A38" s="99" t="s">
        <v>160</v>
      </c>
    </row>
    <row r="39" spans="1:1" ht="15.75">
      <c r="A39" s="99" t="s">
        <v>161</v>
      </c>
    </row>
    <row r="40" spans="1:1" ht="15.75">
      <c r="A40" s="99" t="s">
        <v>162</v>
      </c>
    </row>
    <row r="41" spans="1:1" ht="15.75">
      <c r="A41" s="99" t="s">
        <v>163</v>
      </c>
    </row>
    <row r="42" spans="1:1" ht="15.75">
      <c r="A42" s="102" t="s">
        <v>164</v>
      </c>
    </row>
    <row r="43" spans="1:1" s="103" customFormat="1"/>
    <row r="44" spans="1:1" s="103" customFormat="1" ht="16.5">
      <c r="A44" s="98" t="s">
        <v>165</v>
      </c>
    </row>
    <row r="45" spans="1:1" s="103" customFormat="1" ht="15.75">
      <c r="A45" s="99" t="s">
        <v>166</v>
      </c>
    </row>
    <row r="46" spans="1:1" s="103" customFormat="1" ht="15.75">
      <c r="A46" s="99" t="s">
        <v>167</v>
      </c>
    </row>
    <row r="47" spans="1:1" s="103" customFormat="1" ht="15.75">
      <c r="A47" s="99" t="s">
        <v>168</v>
      </c>
    </row>
    <row r="48" spans="1:1" s="103" customFormat="1" ht="15.75">
      <c r="A48" s="99" t="s">
        <v>169</v>
      </c>
    </row>
    <row r="49" spans="1:1" s="103" customFormat="1" ht="15.75">
      <c r="A49" s="99" t="s">
        <v>170</v>
      </c>
    </row>
    <row r="50" spans="1:1" s="103" customFormat="1" ht="15.75">
      <c r="A50" s="102" t="s">
        <v>171</v>
      </c>
    </row>
    <row r="51" spans="1:1" s="103" customFormat="1"/>
    <row r="52" spans="1:1" s="103" customFormat="1"/>
    <row r="53" spans="1:1" s="103" customFormat="1"/>
    <row r="54" spans="1:1" s="103" customFormat="1"/>
    <row r="55" spans="1:1" s="103" customFormat="1"/>
    <row r="56" spans="1:1" s="103" customFormat="1"/>
    <row r="57" spans="1:1" s="103" customFormat="1"/>
    <row r="58" spans="1:1" s="103" customFormat="1"/>
    <row r="59" spans="1:1" s="103" customFormat="1"/>
    <row r="60" spans="1:1" s="103" customFormat="1"/>
    <row r="61" spans="1:1" s="103" customFormat="1"/>
    <row r="62" spans="1:1" s="103" customFormat="1"/>
    <row r="63" spans="1:1" s="103" customFormat="1" ht="16.5">
      <c r="A63" s="98" t="s">
        <v>172</v>
      </c>
    </row>
    <row r="64" spans="1:1" s="103" customFormat="1" ht="15.75">
      <c r="A64" s="99" t="s">
        <v>173</v>
      </c>
    </row>
    <row r="65" spans="1:1" s="103" customFormat="1" ht="15.75">
      <c r="A65" s="99" t="s">
        <v>174</v>
      </c>
    </row>
    <row r="66" spans="1:1" s="103" customFormat="1" ht="15.75">
      <c r="A66" s="99" t="s">
        <v>175</v>
      </c>
    </row>
    <row r="67" spans="1:1" s="103" customFormat="1" ht="15.75">
      <c r="A67" s="99" t="s">
        <v>176</v>
      </c>
    </row>
    <row r="68" spans="1:1" s="103" customFormat="1" ht="15.75">
      <c r="A68" s="99" t="s">
        <v>177</v>
      </c>
    </row>
    <row r="69" spans="1:1" s="103" customFormat="1" ht="15.75">
      <c r="A69" s="99" t="s">
        <v>178</v>
      </c>
    </row>
    <row r="70" spans="1:1" s="103" customFormat="1" ht="15.75">
      <c r="A70" s="99" t="s">
        <v>179</v>
      </c>
    </row>
    <row r="71" spans="1:1" s="103" customFormat="1" ht="15.75">
      <c r="A71" s="99" t="s">
        <v>180</v>
      </c>
    </row>
    <row r="72" spans="1:1" s="103" customFormat="1" ht="15.75">
      <c r="A72" s="99" t="s">
        <v>181</v>
      </c>
    </row>
    <row r="73" spans="1:1" s="103" customFormat="1" ht="15.75">
      <c r="A73" s="99" t="s">
        <v>182</v>
      </c>
    </row>
    <row r="74" spans="1:1" s="103" customFormat="1"/>
    <row r="75" spans="1:1" s="103" customFormat="1" ht="16.5">
      <c r="A75" s="98" t="s">
        <v>183</v>
      </c>
    </row>
    <row r="76" spans="1:1" s="103" customFormat="1" ht="15.75">
      <c r="A76" s="99" t="s">
        <v>184</v>
      </c>
    </row>
    <row r="77" spans="1:1" s="103" customFormat="1" ht="15.75">
      <c r="A77" s="99" t="s">
        <v>185</v>
      </c>
    </row>
    <row r="78" spans="1:1" s="103" customFormat="1" ht="15.75">
      <c r="A78" s="99" t="s">
        <v>186</v>
      </c>
    </row>
    <row r="79" spans="1:1" s="103" customFormat="1" ht="15.75">
      <c r="A79" s="99" t="s">
        <v>187</v>
      </c>
    </row>
    <row r="80" spans="1:1" s="103" customFormat="1" ht="15.75">
      <c r="A80" s="99" t="s">
        <v>188</v>
      </c>
    </row>
    <row r="81" spans="1:1" s="103" customFormat="1" ht="15.75">
      <c r="A81" s="102" t="s">
        <v>189</v>
      </c>
    </row>
    <row r="82" spans="1:1" s="103" customFormat="1"/>
    <row r="83" spans="1:1" s="103" customFormat="1" ht="16.5">
      <c r="A83" s="98" t="s">
        <v>190</v>
      </c>
    </row>
    <row r="84" spans="1:1" s="103" customFormat="1" ht="15.75">
      <c r="A84" s="99" t="s">
        <v>191</v>
      </c>
    </row>
    <row r="85" spans="1:1" s="103" customFormat="1" ht="15.75">
      <c r="A85" s="99" t="s">
        <v>192</v>
      </c>
    </row>
    <row r="86" spans="1:1" s="103" customFormat="1" ht="15.75">
      <c r="A86" s="99" t="s">
        <v>193</v>
      </c>
    </row>
    <row r="87" spans="1:1" s="103" customFormat="1" ht="15.75">
      <c r="A87" s="99" t="s">
        <v>194</v>
      </c>
    </row>
    <row r="88" spans="1:1" s="103" customFormat="1" ht="15.75">
      <c r="A88" s="99" t="s">
        <v>195</v>
      </c>
    </row>
    <row r="89" spans="1:1" s="103" customFormat="1" ht="15.75">
      <c r="A89" s="99" t="s">
        <v>196</v>
      </c>
    </row>
    <row r="90" spans="1:1" s="103" customFormat="1"/>
    <row r="91" spans="1:1" s="103" customFormat="1" ht="16.5">
      <c r="A91" s="98" t="s">
        <v>197</v>
      </c>
    </row>
    <row r="92" spans="1:1" s="103" customFormat="1" ht="15.75">
      <c r="A92" s="99" t="s">
        <v>184</v>
      </c>
    </row>
    <row r="93" spans="1:1" s="103" customFormat="1" ht="15.75">
      <c r="A93" s="99" t="s">
        <v>198</v>
      </c>
    </row>
    <row r="94" spans="1:1" s="103" customFormat="1" ht="15.75">
      <c r="A94" s="99" t="s">
        <v>186</v>
      </c>
    </row>
    <row r="95" spans="1:1" s="103" customFormat="1" ht="15.75">
      <c r="A95" s="99" t="s">
        <v>199</v>
      </c>
    </row>
    <row r="96" spans="1:1" s="103" customFormat="1" ht="15.75">
      <c r="A96" s="99" t="s">
        <v>200</v>
      </c>
    </row>
    <row r="97" spans="1:1" s="103" customFormat="1" ht="15.75">
      <c r="A97" s="99" t="s">
        <v>201</v>
      </c>
    </row>
    <row r="98" spans="1:1" s="103" customFormat="1"/>
    <row r="99" spans="1:1" s="103" customFormat="1" ht="16.5">
      <c r="A99" s="98" t="s">
        <v>190</v>
      </c>
    </row>
    <row r="100" spans="1:1" s="103" customFormat="1" ht="15.75">
      <c r="A100" s="99" t="s">
        <v>202</v>
      </c>
    </row>
    <row r="101" spans="1:1" s="103" customFormat="1" ht="15.75">
      <c r="A101" s="99" t="s">
        <v>203</v>
      </c>
    </row>
    <row r="102" spans="1:1" s="103" customFormat="1" ht="15.75">
      <c r="A102" s="99" t="s">
        <v>204</v>
      </c>
    </row>
    <row r="103" spans="1:1" s="103" customFormat="1" ht="15.75">
      <c r="A103" s="102" t="s">
        <v>205</v>
      </c>
    </row>
    <row r="104" spans="1:1" s="103" customFormat="1"/>
    <row r="105" spans="1:1" s="103" customFormat="1" ht="16.5">
      <c r="A105" s="98" t="s">
        <v>206</v>
      </c>
    </row>
    <row r="106" spans="1:1" s="103" customFormat="1" ht="15.75">
      <c r="A106" s="99" t="s">
        <v>184</v>
      </c>
    </row>
    <row r="107" spans="1:1" s="103" customFormat="1" ht="15.75">
      <c r="A107" s="99" t="s">
        <v>207</v>
      </c>
    </row>
    <row r="108" spans="1:1" s="103" customFormat="1" ht="15.75">
      <c r="A108" s="99" t="s">
        <v>208</v>
      </c>
    </row>
    <row r="109" spans="1:1" s="103" customFormat="1" ht="15.75">
      <c r="A109" s="99" t="s">
        <v>209</v>
      </c>
    </row>
    <row r="110" spans="1:1" s="103" customFormat="1" ht="15.75">
      <c r="A110" s="102" t="s">
        <v>210</v>
      </c>
    </row>
    <row r="111" spans="1:1" s="103" customFormat="1"/>
    <row r="112" spans="1:1" s="103" customFormat="1"/>
    <row r="113" spans="1:1" s="103" customFormat="1"/>
    <row r="114" spans="1:1" s="103" customFormat="1"/>
    <row r="115" spans="1:1" s="103" customFormat="1"/>
    <row r="116" spans="1:1" s="103" customFormat="1"/>
    <row r="117" spans="1:1" s="103" customFormat="1"/>
    <row r="118" spans="1:1" s="103" customFormat="1"/>
    <row r="119" spans="1:1" s="103" customFormat="1"/>
    <row r="120" spans="1:1" s="103" customFormat="1"/>
    <row r="121" spans="1:1" s="103" customFormat="1" ht="16.5">
      <c r="A121" s="98" t="s">
        <v>190</v>
      </c>
    </row>
    <row r="122" spans="1:1" s="103" customFormat="1" ht="15.75">
      <c r="A122" s="99" t="s">
        <v>202</v>
      </c>
    </row>
    <row r="123" spans="1:1" s="103" customFormat="1" ht="15.75">
      <c r="A123" s="99" t="s">
        <v>211</v>
      </c>
    </row>
    <row r="124" spans="1:1" s="103" customFormat="1" ht="15.75">
      <c r="A124" s="99" t="s">
        <v>212</v>
      </c>
    </row>
    <row r="125" spans="1:1" s="103" customFormat="1" ht="15.75">
      <c r="A125" s="99" t="s">
        <v>213</v>
      </c>
    </row>
    <row r="126" spans="1:1" s="103" customFormat="1" ht="15.75">
      <c r="A126" s="102" t="s">
        <v>214</v>
      </c>
    </row>
    <row r="127" spans="1:1" s="103" customFormat="1"/>
    <row r="128" spans="1:1" s="103" customFormat="1" ht="16.5">
      <c r="A128" s="98" t="s">
        <v>215</v>
      </c>
    </row>
    <row r="129" spans="1:1" s="103" customFormat="1" ht="15.75">
      <c r="A129" s="99" t="s">
        <v>184</v>
      </c>
    </row>
    <row r="130" spans="1:1" s="103" customFormat="1" ht="15.75">
      <c r="A130" s="99" t="s">
        <v>216</v>
      </c>
    </row>
    <row r="131" spans="1:1" s="103" customFormat="1" ht="15.75">
      <c r="A131" s="99" t="s">
        <v>217</v>
      </c>
    </row>
    <row r="132" spans="1:1" s="103" customFormat="1" ht="15.75">
      <c r="A132" s="99" t="s">
        <v>218</v>
      </c>
    </row>
    <row r="133" spans="1:1" s="103" customFormat="1" ht="15.75">
      <c r="A133" s="99" t="s">
        <v>219</v>
      </c>
    </row>
    <row r="134" spans="1:1" s="103" customFormat="1" ht="15.75">
      <c r="A134" s="102" t="s">
        <v>220</v>
      </c>
    </row>
    <row r="135" spans="1:1" s="103" customFormat="1"/>
    <row r="136" spans="1:1" s="103" customFormat="1" ht="16.5">
      <c r="A136" s="98" t="s">
        <v>190</v>
      </c>
    </row>
    <row r="137" spans="1:1" s="103" customFormat="1" ht="15.75">
      <c r="A137" s="99" t="s">
        <v>202</v>
      </c>
    </row>
    <row r="138" spans="1:1" s="103" customFormat="1" ht="15.75">
      <c r="A138" s="99" t="s">
        <v>221</v>
      </c>
    </row>
    <row r="139" spans="1:1" s="103" customFormat="1" ht="15.75">
      <c r="A139" s="99" t="s">
        <v>222</v>
      </c>
    </row>
    <row r="140" spans="1:1" s="103" customFormat="1" ht="15.75">
      <c r="A140" s="99" t="s">
        <v>223</v>
      </c>
    </row>
    <row r="141" spans="1:1" s="103" customFormat="1" ht="15.75">
      <c r="A141" s="102" t="s">
        <v>224</v>
      </c>
    </row>
    <row r="142" spans="1:1" s="103" customFormat="1"/>
    <row r="143" spans="1:1" s="103" customFormat="1" ht="16.5">
      <c r="A143" s="98" t="s">
        <v>225</v>
      </c>
    </row>
    <row r="144" spans="1:1" s="103" customFormat="1" ht="15.75">
      <c r="A144" s="99" t="s">
        <v>226</v>
      </c>
    </row>
    <row r="145" spans="1:1" s="103" customFormat="1" ht="15.75">
      <c r="A145" s="99" t="s">
        <v>227</v>
      </c>
    </row>
    <row r="146" spans="1:1" s="103" customFormat="1" ht="15.75">
      <c r="A146" s="99" t="s">
        <v>228</v>
      </c>
    </row>
    <row r="147" spans="1:1" s="103" customFormat="1" ht="15.75">
      <c r="A147" s="99" t="s">
        <v>229</v>
      </c>
    </row>
    <row r="148" spans="1:1" s="103" customFormat="1" ht="15.75">
      <c r="A148" s="99" t="s">
        <v>230</v>
      </c>
    </row>
    <row r="149" spans="1:1" s="103" customFormat="1" ht="15.75">
      <c r="A149" s="99" t="s">
        <v>231</v>
      </c>
    </row>
    <row r="150" spans="1:1" s="103" customFormat="1" ht="15.75">
      <c r="A150" s="99" t="s">
        <v>232</v>
      </c>
    </row>
    <row r="151" spans="1:1" s="103" customFormat="1" ht="15.75">
      <c r="A151" s="102" t="s">
        <v>233</v>
      </c>
    </row>
    <row r="152" spans="1:1" s="103" customFormat="1"/>
    <row r="153" spans="1:1" s="103" customFormat="1" ht="16.5">
      <c r="A153" s="98" t="s">
        <v>234</v>
      </c>
    </row>
    <row r="154" spans="1:1" s="103" customFormat="1" ht="15.75">
      <c r="A154" s="99" t="s">
        <v>235</v>
      </c>
    </row>
    <row r="155" spans="1:1" s="103" customFormat="1" ht="15.75">
      <c r="A155" s="99" t="s">
        <v>236</v>
      </c>
    </row>
    <row r="156" spans="1:1" s="103" customFormat="1" ht="15.75">
      <c r="A156" s="99" t="s">
        <v>237</v>
      </c>
    </row>
    <row r="157" spans="1:1" s="103" customFormat="1" ht="15.75">
      <c r="A157" s="99" t="s">
        <v>238</v>
      </c>
    </row>
    <row r="158" spans="1:1" s="103" customFormat="1" ht="15.75">
      <c r="A158" s="99" t="s">
        <v>239</v>
      </c>
    </row>
    <row r="159" spans="1:1" s="103" customFormat="1" ht="15.75">
      <c r="A159" s="99" t="s">
        <v>240</v>
      </c>
    </row>
    <row r="160" spans="1:1" s="103" customFormat="1" ht="15.75">
      <c r="A160" s="99" t="s">
        <v>241</v>
      </c>
    </row>
    <row r="161" spans="1:1" s="103" customFormat="1"/>
    <row r="162" spans="1:1" s="103" customFormat="1" ht="16.5">
      <c r="A162" s="98" t="s">
        <v>190</v>
      </c>
    </row>
    <row r="163" spans="1:1" s="103" customFormat="1" ht="15.75">
      <c r="A163" s="99" t="s">
        <v>202</v>
      </c>
    </row>
    <row r="164" spans="1:1" s="103" customFormat="1" ht="15.75">
      <c r="A164" s="99" t="s">
        <v>242</v>
      </c>
    </row>
    <row r="165" spans="1:1" s="103" customFormat="1" ht="15.75">
      <c r="A165" s="99" t="s">
        <v>222</v>
      </c>
    </row>
    <row r="166" spans="1:1" s="103" customFormat="1" ht="15.75">
      <c r="A166" s="99" t="s">
        <v>243</v>
      </c>
    </row>
    <row r="167" spans="1:1" s="103" customFormat="1" ht="15.75">
      <c r="A167" s="102" t="s">
        <v>244</v>
      </c>
    </row>
    <row r="168" spans="1:1" s="103" customFormat="1"/>
    <row r="169" spans="1:1" s="103" customFormat="1"/>
    <row r="170" spans="1:1" s="103" customFormat="1"/>
    <row r="171" spans="1:1" s="103" customFormat="1"/>
    <row r="172" spans="1:1" s="103" customFormat="1"/>
    <row r="173" spans="1:1" s="103" customFormat="1"/>
    <row r="174" spans="1:1" s="103" customFormat="1"/>
    <row r="175" spans="1:1" s="103" customFormat="1"/>
    <row r="176" spans="1:1" s="103" customFormat="1"/>
    <row r="177" spans="1:5" s="103" customFormat="1"/>
    <row r="178" spans="1:5" s="103" customFormat="1"/>
    <row r="179" spans="1:5" s="103" customFormat="1"/>
    <row r="180" spans="1:5" s="103" customFormat="1"/>
    <row r="181" spans="1:5" s="103" customFormat="1" ht="16.5">
      <c r="A181" s="801" t="s">
        <v>1083</v>
      </c>
      <c r="B181" s="802"/>
      <c r="C181" s="802"/>
      <c r="D181" s="802"/>
      <c r="E181" s="802"/>
    </row>
    <row r="182" spans="1:5" s="103" customFormat="1" ht="15.75">
      <c r="A182" s="803" t="s">
        <v>235</v>
      </c>
    </row>
    <row r="183" spans="1:5" s="103" customFormat="1" ht="15.75">
      <c r="A183" s="803" t="s">
        <v>1084</v>
      </c>
    </row>
    <row r="184" spans="1:5" s="103" customFormat="1" ht="15.75">
      <c r="A184" s="803" t="s">
        <v>1085</v>
      </c>
    </row>
    <row r="185" spans="1:5" s="103" customFormat="1" ht="15.75">
      <c r="A185" s="803" t="s">
        <v>238</v>
      </c>
    </row>
    <row r="186" spans="1:5" s="103" customFormat="1" ht="15.75">
      <c r="A186" s="803" t="s">
        <v>1086</v>
      </c>
    </row>
    <row r="187" spans="1:5" s="103" customFormat="1" ht="15.75">
      <c r="A187" s="803" t="s">
        <v>1087</v>
      </c>
    </row>
    <row r="188" spans="1:5" s="103" customFormat="1" ht="15.75">
      <c r="A188" s="803" t="s">
        <v>1088</v>
      </c>
    </row>
    <row r="189" spans="1:5" s="103" customFormat="1"/>
    <row r="190" spans="1:5" s="103" customFormat="1" ht="15.75">
      <c r="A190" s="99" t="s">
        <v>245</v>
      </c>
    </row>
    <row r="191" spans="1:5" s="103" customFormat="1" ht="15.75">
      <c r="A191" s="99" t="s">
        <v>1089</v>
      </c>
    </row>
    <row r="192" spans="1:5" s="103" customFormat="1" ht="15.75">
      <c r="A192" s="99" t="s">
        <v>1090</v>
      </c>
    </row>
    <row r="193" spans="1:1" s="103" customFormat="1" ht="15.75">
      <c r="A193" s="102" t="s">
        <v>1091</v>
      </c>
    </row>
    <row r="194" spans="1:1" s="103" customFormat="1"/>
    <row r="195" spans="1:1" s="103" customFormat="1" ht="15.75">
      <c r="A195" s="99" t="s">
        <v>246</v>
      </c>
    </row>
    <row r="196" spans="1:1" s="103" customFormat="1" ht="15.75">
      <c r="A196" s="99" t="s">
        <v>247</v>
      </c>
    </row>
    <row r="197" spans="1:1" s="103" customFormat="1" ht="15.75">
      <c r="A197" s="99" t="s">
        <v>248</v>
      </c>
    </row>
    <row r="198" spans="1:1" s="103" customFormat="1" ht="15.75">
      <c r="A198" s="99" t="s">
        <v>249</v>
      </c>
    </row>
    <row r="199" spans="1:1" s="103" customFormat="1" ht="15.75">
      <c r="A199" s="99" t="s">
        <v>250</v>
      </c>
    </row>
    <row r="200" spans="1:1" s="103" customFormat="1" ht="15.75">
      <c r="A200" s="99" t="s">
        <v>251</v>
      </c>
    </row>
    <row r="201" spans="1:1" s="103" customFormat="1" ht="15.75">
      <c r="A201" s="99" t="s">
        <v>252</v>
      </c>
    </row>
    <row r="202" spans="1:1" s="103" customFormat="1" ht="15.75">
      <c r="A202" s="99" t="s">
        <v>253</v>
      </c>
    </row>
    <row r="203" spans="1:1" s="103" customFormat="1" ht="15.75">
      <c r="A203" s="99" t="s">
        <v>254</v>
      </c>
    </row>
    <row r="204" spans="1:1" s="103" customFormat="1" ht="15.75">
      <c r="A204" s="99" t="s">
        <v>255</v>
      </c>
    </row>
    <row r="205" spans="1:1" s="103" customFormat="1" ht="15.75">
      <c r="A205" s="99" t="s">
        <v>256</v>
      </c>
    </row>
    <row r="206" spans="1:1" s="103" customFormat="1" ht="15.75">
      <c r="A206" s="99" t="s">
        <v>257</v>
      </c>
    </row>
    <row r="207" spans="1:1" s="103" customFormat="1" ht="15.75">
      <c r="A207" s="102" t="s">
        <v>258</v>
      </c>
    </row>
    <row r="208" spans="1:1" s="103" customFormat="1"/>
    <row r="209" spans="1:5" s="103" customFormat="1" ht="15.75">
      <c r="A209" s="99" t="s">
        <v>259</v>
      </c>
    </row>
    <row r="210" spans="1:5" s="103" customFormat="1" ht="15.75">
      <c r="A210" s="99" t="s">
        <v>260</v>
      </c>
    </row>
    <row r="211" spans="1:5" s="103" customFormat="1" ht="15.75">
      <c r="A211" s="99" t="s">
        <v>261</v>
      </c>
    </row>
    <row r="212" spans="1:5" s="103" customFormat="1" ht="15.75">
      <c r="A212" s="99" t="s">
        <v>262</v>
      </c>
    </row>
    <row r="213" spans="1:5" s="103" customFormat="1" ht="15.75">
      <c r="A213" s="99" t="s">
        <v>263</v>
      </c>
    </row>
    <row r="214" spans="1:5" s="103" customFormat="1" ht="15.75">
      <c r="A214" s="99" t="s">
        <v>264</v>
      </c>
    </row>
    <row r="215" spans="1:5" s="103" customFormat="1" ht="15.75">
      <c r="A215" s="99" t="s">
        <v>265</v>
      </c>
    </row>
    <row r="216" spans="1:5" s="103" customFormat="1" ht="15.75">
      <c r="A216" s="99" t="s">
        <v>266</v>
      </c>
    </row>
    <row r="217" spans="1:5" s="103" customFormat="1" ht="15.75">
      <c r="A217" s="102" t="s">
        <v>267</v>
      </c>
    </row>
    <row r="218" spans="1:5" s="103" customFormat="1"/>
    <row r="219" spans="1:5" s="103" customFormat="1" ht="15.75">
      <c r="A219" s="99" t="s">
        <v>1092</v>
      </c>
    </row>
    <row r="220" spans="1:5" s="103" customFormat="1" ht="15.75">
      <c r="A220" s="99" t="s">
        <v>1093</v>
      </c>
    </row>
    <row r="221" spans="1:5" s="103" customFormat="1" ht="15.75">
      <c r="A221" s="99" t="s">
        <v>1094</v>
      </c>
    </row>
    <row r="222" spans="1:5" ht="15.75">
      <c r="A222" s="99" t="s">
        <v>1095</v>
      </c>
      <c r="B222" s="103"/>
      <c r="C222" s="103"/>
      <c r="D222" s="103"/>
      <c r="E222" s="103"/>
    </row>
    <row r="223" spans="1:5" ht="15.75">
      <c r="A223" s="39"/>
      <c r="B223" s="103"/>
      <c r="C223" s="103"/>
      <c r="D223" s="103"/>
      <c r="E223" s="103"/>
    </row>
    <row r="224" spans="1:5">
      <c r="A224" s="103"/>
      <c r="B224" s="103"/>
      <c r="C224" s="103"/>
      <c r="D224" s="103"/>
      <c r="E224" s="103"/>
    </row>
    <row r="225" spans="1:5" ht="15.75">
      <c r="A225" s="99" t="s">
        <v>268</v>
      </c>
      <c r="B225" s="103"/>
      <c r="C225" s="103"/>
      <c r="D225" s="103"/>
      <c r="E225" s="103"/>
    </row>
    <row r="226" spans="1:5" ht="15.75">
      <c r="A226" s="99" t="s">
        <v>269</v>
      </c>
      <c r="B226" s="103"/>
      <c r="C226" s="103"/>
      <c r="D226" s="103"/>
      <c r="E226" s="103"/>
    </row>
    <row r="227" spans="1:5" ht="15.75">
      <c r="A227" s="99" t="s">
        <v>270</v>
      </c>
      <c r="B227" s="103"/>
      <c r="C227" s="103"/>
      <c r="D227" s="103"/>
      <c r="E227" s="103"/>
    </row>
    <row r="228" spans="1:5" ht="15.75">
      <c r="A228" s="99" t="s">
        <v>271</v>
      </c>
      <c r="B228" s="103"/>
      <c r="C228" s="103"/>
      <c r="D228" s="103"/>
      <c r="E228" s="103"/>
    </row>
    <row r="229" spans="1:5" ht="15.75">
      <c r="A229" s="102" t="s">
        <v>272</v>
      </c>
      <c r="B229" s="103"/>
      <c r="C229" s="103"/>
      <c r="D229" s="103"/>
      <c r="E229" s="103"/>
    </row>
    <row r="230" spans="1:5">
      <c r="A230" s="103"/>
      <c r="B230" s="103"/>
      <c r="C230" s="103"/>
      <c r="D230" s="103"/>
      <c r="E230" s="103"/>
    </row>
    <row r="231" spans="1:5">
      <c r="A231" s="103"/>
      <c r="B231" s="103"/>
      <c r="C231" s="103"/>
      <c r="D231" s="103"/>
      <c r="E231" s="103"/>
    </row>
    <row r="232" spans="1:5">
      <c r="A232" s="103"/>
      <c r="B232" s="103"/>
      <c r="C232" s="103"/>
      <c r="D232" s="103"/>
      <c r="E232" s="103"/>
    </row>
    <row r="233" spans="1:5">
      <c r="A233" s="103"/>
      <c r="B233" s="103"/>
      <c r="C233" s="103"/>
      <c r="D233" s="103"/>
      <c r="E233" s="103"/>
    </row>
    <row r="234" spans="1:5">
      <c r="A234" s="103"/>
      <c r="B234" s="103"/>
      <c r="C234" s="103"/>
      <c r="D234" s="103"/>
      <c r="E234" s="103"/>
    </row>
    <row r="235" spans="1:5">
      <c r="A235" s="103"/>
      <c r="B235" s="103"/>
      <c r="C235" s="103"/>
      <c r="D235" s="103"/>
      <c r="E235" s="103"/>
    </row>
    <row r="236" spans="1:5">
      <c r="A236" s="103"/>
      <c r="B236" s="103"/>
      <c r="C236" s="103"/>
      <c r="D236" s="103"/>
      <c r="E236" s="103"/>
    </row>
    <row r="237" spans="1:5">
      <c r="A237" s="103"/>
      <c r="B237" s="103"/>
      <c r="C237" s="103"/>
      <c r="D237" s="103"/>
      <c r="E237" s="103"/>
    </row>
    <row r="238" spans="1:5">
      <c r="A238" s="103"/>
      <c r="B238" s="103"/>
      <c r="C238" s="103"/>
      <c r="D238" s="103"/>
      <c r="E238" s="103"/>
    </row>
    <row r="239" spans="1:5">
      <c r="A239" s="103"/>
      <c r="B239" s="103"/>
      <c r="C239" s="103"/>
      <c r="D239" s="103"/>
      <c r="E239" s="103"/>
    </row>
    <row r="240" spans="1:5" ht="15.75">
      <c r="A240" s="99" t="s">
        <v>273</v>
      </c>
      <c r="B240" s="103"/>
      <c r="C240" s="103"/>
      <c r="D240" s="103"/>
      <c r="E240" s="103"/>
    </row>
    <row r="241" spans="1:1" ht="15.75">
      <c r="A241" s="99" t="s">
        <v>274</v>
      </c>
    </row>
    <row r="242" spans="1:1" ht="15.75">
      <c r="A242" s="99" t="s">
        <v>275</v>
      </c>
    </row>
    <row r="243" spans="1:1" ht="15.75">
      <c r="A243" s="99" t="s">
        <v>276</v>
      </c>
    </row>
    <row r="244" spans="1:1" ht="15.75">
      <c r="A244" s="99" t="s">
        <v>277</v>
      </c>
    </row>
    <row r="245" spans="1:1" ht="8.25" customHeight="1">
      <c r="A245" s="99"/>
    </row>
    <row r="246" spans="1:1" ht="18.75">
      <c r="A246" s="798" t="s">
        <v>278</v>
      </c>
    </row>
    <row r="247" spans="1:1" ht="15.75">
      <c r="A247" s="99" t="s">
        <v>279</v>
      </c>
    </row>
    <row r="248" spans="1:1" ht="15.75">
      <c r="A248" s="99" t="s">
        <v>280</v>
      </c>
    </row>
    <row r="249" spans="1:1" ht="15.75">
      <c r="A249" s="99" t="s">
        <v>281</v>
      </c>
    </row>
    <row r="250" spans="1:1" ht="7.5" customHeight="1">
      <c r="A250" s="99"/>
    </row>
    <row r="251" spans="1:1" ht="18.75">
      <c r="A251" s="104" t="s">
        <v>282</v>
      </c>
    </row>
    <row r="252" spans="1:1" ht="15.75">
      <c r="A252" s="99" t="s">
        <v>283</v>
      </c>
    </row>
    <row r="253" spans="1:1" ht="15.75">
      <c r="A253" s="102" t="s">
        <v>284</v>
      </c>
    </row>
    <row r="254" spans="1:1" ht="6.75" customHeight="1">
      <c r="A254" s="99"/>
    </row>
    <row r="255" spans="1:1" ht="18.75">
      <c r="A255" s="104" t="s">
        <v>1096</v>
      </c>
    </row>
    <row r="256" spans="1:1" ht="15.75">
      <c r="A256" s="99" t="s">
        <v>285</v>
      </c>
    </row>
    <row r="257" spans="1:1" ht="15.75">
      <c r="A257" s="99" t="s">
        <v>286</v>
      </c>
    </row>
    <row r="258" spans="1:1" ht="15.75">
      <c r="A258" s="99" t="s">
        <v>287</v>
      </c>
    </row>
    <row r="259" spans="1:1" ht="15.75">
      <c r="A259" s="99" t="s">
        <v>288</v>
      </c>
    </row>
    <row r="260" spans="1:1" ht="15.75">
      <c r="A260" s="99" t="s">
        <v>289</v>
      </c>
    </row>
    <row r="261" spans="1:1" ht="15.75">
      <c r="A261" s="99" t="s">
        <v>290</v>
      </c>
    </row>
    <row r="262" spans="1:1" ht="15.75">
      <c r="A262" s="99" t="s">
        <v>291</v>
      </c>
    </row>
    <row r="263" spans="1:1" ht="15.75">
      <c r="A263" s="102" t="s">
        <v>292</v>
      </c>
    </row>
    <row r="264" spans="1:1" ht="5.25" customHeight="1">
      <c r="A264" s="99"/>
    </row>
    <row r="265" spans="1:1" ht="18.75">
      <c r="A265" s="104" t="s">
        <v>293</v>
      </c>
    </row>
    <row r="266" spans="1:1" ht="15.75">
      <c r="A266" s="99" t="s">
        <v>294</v>
      </c>
    </row>
    <row r="267" spans="1:1" ht="15.75">
      <c r="A267" s="102" t="s">
        <v>295</v>
      </c>
    </row>
    <row r="268" spans="1:1" ht="15.75">
      <c r="A268" s="99" t="s">
        <v>1097</v>
      </c>
    </row>
    <row r="269" spans="1:1" ht="15.75">
      <c r="A269" s="99" t="s">
        <v>1098</v>
      </c>
    </row>
    <row r="270" spans="1:1" ht="15.75">
      <c r="A270" s="102" t="s">
        <v>1099</v>
      </c>
    </row>
    <row r="271" spans="1:1" ht="15.75">
      <c r="A271" s="99" t="s">
        <v>296</v>
      </c>
    </row>
    <row r="272" spans="1:1" ht="15.75">
      <c r="A272" s="99" t="s">
        <v>297</v>
      </c>
    </row>
    <row r="273" spans="1:2" ht="15.75">
      <c r="A273" s="99" t="s">
        <v>298</v>
      </c>
    </row>
    <row r="274" spans="1:2" ht="15.75">
      <c r="A274" s="102" t="s">
        <v>299</v>
      </c>
    </row>
    <row r="275" spans="1:2" ht="5.25" customHeight="1">
      <c r="A275" s="99"/>
    </row>
    <row r="276" spans="1:2" ht="18.75">
      <c r="A276" s="105" t="s">
        <v>1051</v>
      </c>
      <c r="B276" s="104"/>
    </row>
    <row r="277" spans="1:2" ht="15.75">
      <c r="A277" s="99" t="s">
        <v>300</v>
      </c>
    </row>
    <row r="278" spans="1:2" ht="15.75">
      <c r="A278" s="102" t="s">
        <v>301</v>
      </c>
    </row>
    <row r="279" spans="1:2" ht="5.25" customHeight="1">
      <c r="A279" s="99"/>
      <c r="B279" s="104"/>
    </row>
    <row r="280" spans="1:2" ht="18.75">
      <c r="A280" s="104" t="s">
        <v>1052</v>
      </c>
      <c r="B280" s="97"/>
    </row>
    <row r="281" spans="1:2" ht="15.75">
      <c r="A281" s="99" t="s">
        <v>302</v>
      </c>
    </row>
    <row r="282" spans="1:2" ht="15.75">
      <c r="A282" s="99" t="s">
        <v>303</v>
      </c>
    </row>
    <row r="283" spans="1:2" ht="15.75">
      <c r="A283" s="102" t="s">
        <v>304</v>
      </c>
    </row>
    <row r="284" spans="1:2" ht="15.75">
      <c r="A284" s="99" t="s">
        <v>305</v>
      </c>
    </row>
    <row r="285" spans="1:2" ht="15.75">
      <c r="A285" s="99" t="s">
        <v>306</v>
      </c>
    </row>
    <row r="286" spans="1:2" ht="15.75">
      <c r="A286" s="99" t="s">
        <v>307</v>
      </c>
    </row>
    <row r="287" spans="1:2" ht="15.75">
      <c r="A287" s="99" t="s">
        <v>308</v>
      </c>
    </row>
    <row r="288" spans="1:2" ht="15.75">
      <c r="A288" s="99" t="s">
        <v>309</v>
      </c>
    </row>
    <row r="289" spans="1:2" ht="15.75">
      <c r="A289" s="99" t="s">
        <v>310</v>
      </c>
    </row>
    <row r="290" spans="1:2" ht="15.75">
      <c r="A290" s="99" t="s">
        <v>311</v>
      </c>
    </row>
    <row r="291" spans="1:2" ht="15.75">
      <c r="A291" s="102" t="s">
        <v>312</v>
      </c>
    </row>
    <row r="292" spans="1:2" ht="15.75">
      <c r="A292" s="99" t="s">
        <v>313</v>
      </c>
    </row>
    <row r="293" spans="1:2" ht="15.75">
      <c r="A293" s="99" t="s">
        <v>314</v>
      </c>
    </row>
    <row r="294" spans="1:2" ht="15.75">
      <c r="A294" s="99"/>
    </row>
    <row r="295" spans="1:2" ht="15.75">
      <c r="A295" s="99"/>
    </row>
    <row r="296" spans="1:2" ht="15.75">
      <c r="A296" s="99"/>
    </row>
    <row r="297" spans="1:2" ht="15.75">
      <c r="A297" s="99"/>
    </row>
    <row r="298" spans="1:2" ht="15.75">
      <c r="A298" s="99"/>
    </row>
    <row r="299" spans="1:2" ht="18.75">
      <c r="A299" s="104" t="s">
        <v>1053</v>
      </c>
      <c r="B299" s="97"/>
    </row>
    <row r="300" spans="1:2" ht="15.75">
      <c r="A300" s="99" t="s">
        <v>315</v>
      </c>
    </row>
    <row r="301" spans="1:2" ht="15.75">
      <c r="A301" s="99" t="s">
        <v>316</v>
      </c>
    </row>
    <row r="302" spans="1:2" ht="15.75">
      <c r="A302" s="102" t="s">
        <v>317</v>
      </c>
    </row>
    <row r="303" spans="1:2" ht="15.75">
      <c r="A303" s="99"/>
    </row>
    <row r="304" spans="1:2" ht="18.75">
      <c r="A304" s="104" t="s">
        <v>1054</v>
      </c>
      <c r="B304" s="97"/>
    </row>
    <row r="305" spans="1:5" ht="15.75">
      <c r="A305" s="99" t="s">
        <v>318</v>
      </c>
    </row>
    <row r="306" spans="1:5" ht="15.75">
      <c r="A306" s="99" t="s">
        <v>319</v>
      </c>
    </row>
    <row r="307" spans="1:5" ht="15.75">
      <c r="A307" s="102" t="s">
        <v>320</v>
      </c>
    </row>
    <row r="308" spans="1:5" ht="15.75">
      <c r="A308" s="99" t="s">
        <v>321</v>
      </c>
    </row>
    <row r="309" spans="1:5" ht="15.75">
      <c r="A309" s="99" t="s">
        <v>322</v>
      </c>
    </row>
    <row r="310" spans="1:5" ht="16.5" thickBot="1">
      <c r="A310" s="99" t="s">
        <v>323</v>
      </c>
    </row>
    <row r="311" spans="1:5" ht="30.75" thickBot="1">
      <c r="A311" s="99"/>
      <c r="B311" s="106" t="s">
        <v>324</v>
      </c>
      <c r="C311" s="107" t="s">
        <v>325</v>
      </c>
      <c r="D311" s="108" t="s">
        <v>326</v>
      </c>
    </row>
    <row r="312" spans="1:5" ht="16.5" thickBot="1">
      <c r="A312" s="99"/>
      <c r="B312" s="109" t="s">
        <v>19</v>
      </c>
      <c r="C312" s="110" t="s">
        <v>327</v>
      </c>
      <c r="D312" s="111">
        <v>0.15</v>
      </c>
    </row>
    <row r="313" spans="1:5" ht="16.5" thickBot="1">
      <c r="A313" s="99"/>
      <c r="B313" s="109" t="s">
        <v>328</v>
      </c>
      <c r="C313" s="110" t="s">
        <v>329</v>
      </c>
      <c r="D313" s="111">
        <v>0.5</v>
      </c>
    </row>
    <row r="314" spans="1:5" ht="16.5" thickBot="1">
      <c r="A314" s="99"/>
      <c r="B314" s="109" t="s">
        <v>330</v>
      </c>
      <c r="C314" s="110" t="s">
        <v>329</v>
      </c>
      <c r="D314" s="111">
        <v>0.5</v>
      </c>
    </row>
    <row r="315" spans="1:5" ht="15.75">
      <c r="A315" s="99"/>
    </row>
    <row r="316" spans="1:5" ht="18.75">
      <c r="A316" s="104" t="s">
        <v>332</v>
      </c>
    </row>
    <row r="317" spans="1:5" ht="15.75">
      <c r="A317" s="102" t="s">
        <v>331</v>
      </c>
    </row>
    <row r="318" spans="1:5" s="114" customFormat="1">
      <c r="B318" s="5"/>
      <c r="C318" s="50">
        <v>2020</v>
      </c>
      <c r="D318" s="50">
        <v>2019</v>
      </c>
      <c r="E318" s="125"/>
    </row>
    <row r="319" spans="1:5" s="114" customFormat="1">
      <c r="B319" s="29" t="s">
        <v>0</v>
      </c>
      <c r="C319" s="1">
        <v>20000000</v>
      </c>
      <c r="D319" s="1">
        <v>20000000</v>
      </c>
      <c r="E319" s="10"/>
    </row>
    <row r="320" spans="1:5" s="114" customFormat="1">
      <c r="B320" s="29" t="s">
        <v>1</v>
      </c>
      <c r="C320" s="1">
        <v>14500000</v>
      </c>
      <c r="D320" s="1">
        <v>14500000</v>
      </c>
      <c r="E320" s="10"/>
    </row>
    <row r="321" spans="2:5" s="114" customFormat="1">
      <c r="B321" s="29" t="s">
        <v>2</v>
      </c>
      <c r="C321" s="1">
        <v>300000</v>
      </c>
      <c r="D321" s="1">
        <v>300000</v>
      </c>
      <c r="E321" s="10"/>
    </row>
    <row r="322" spans="2:5" s="114" customFormat="1">
      <c r="B322" s="29" t="s">
        <v>3</v>
      </c>
      <c r="C322" s="1">
        <v>500000</v>
      </c>
      <c r="D322" s="1">
        <v>500000</v>
      </c>
      <c r="E322" s="10"/>
    </row>
    <row r="323" spans="2:5" s="114" customFormat="1">
      <c r="B323" s="29" t="s">
        <v>1055</v>
      </c>
      <c r="C323" s="1">
        <v>500000</v>
      </c>
      <c r="D323" s="1">
        <v>500000</v>
      </c>
      <c r="E323" s="10"/>
    </row>
    <row r="324" spans="2:5" s="114" customFormat="1">
      <c r="B324" s="29" t="s">
        <v>333</v>
      </c>
      <c r="C324" s="1">
        <v>600000</v>
      </c>
      <c r="D324" s="1">
        <v>600000</v>
      </c>
      <c r="E324" s="10"/>
    </row>
    <row r="325" spans="2:5" s="115" customFormat="1" ht="15.75" thickBot="1">
      <c r="B325" s="29" t="s">
        <v>334</v>
      </c>
      <c r="C325" s="41">
        <v>45600000</v>
      </c>
      <c r="D325" s="41">
        <v>45600000</v>
      </c>
      <c r="E325" s="88"/>
    </row>
    <row r="326" spans="2:5" s="114" customFormat="1" ht="15.75" thickBot="1">
      <c r="B326" s="42" t="s">
        <v>4</v>
      </c>
      <c r="C326" s="45">
        <f>SUM(C319:C325)</f>
        <v>82000000</v>
      </c>
      <c r="D326" s="45">
        <f>SUM(D319:D325)</f>
        <v>82000000</v>
      </c>
      <c r="E326" s="11"/>
    </row>
    <row r="327" spans="2:5" s="114" customFormat="1">
      <c r="B327" s="29"/>
      <c r="C327" s="44"/>
      <c r="D327" s="119"/>
      <c r="E327" s="866"/>
    </row>
    <row r="328" spans="2:5" s="114" customFormat="1">
      <c r="B328" s="29" t="s">
        <v>335</v>
      </c>
      <c r="C328" s="46">
        <v>227143816</v>
      </c>
      <c r="D328" s="46">
        <v>733009940</v>
      </c>
      <c r="E328" s="866"/>
    </row>
    <row r="329" spans="2:5" s="114" customFormat="1">
      <c r="B329" s="29" t="s">
        <v>5</v>
      </c>
      <c r="C329" s="46">
        <v>6202706</v>
      </c>
      <c r="D329" s="46">
        <v>6312706</v>
      </c>
      <c r="E329" s="10"/>
    </row>
    <row r="330" spans="2:5" s="114" customFormat="1">
      <c r="B330" s="29" t="s">
        <v>336</v>
      </c>
      <c r="C330" s="46">
        <v>4712471587</v>
      </c>
      <c r="D330" s="46">
        <v>3041143353</v>
      </c>
      <c r="E330" s="10"/>
    </row>
    <row r="331" spans="2:5" s="114" customFormat="1">
      <c r="B331" s="29" t="s">
        <v>337</v>
      </c>
      <c r="C331" s="46">
        <v>440861939</v>
      </c>
      <c r="D331" s="46">
        <v>220152924</v>
      </c>
      <c r="E331" s="10"/>
    </row>
    <row r="332" spans="2:5" s="114" customFormat="1">
      <c r="B332" s="29" t="s">
        <v>6</v>
      </c>
      <c r="C332" s="46">
        <v>10588285</v>
      </c>
      <c r="D332" s="46">
        <v>10588285</v>
      </c>
      <c r="E332" s="10"/>
    </row>
    <row r="333" spans="2:5" s="114" customFormat="1">
      <c r="B333" s="29" t="s">
        <v>7</v>
      </c>
      <c r="C333" s="46">
        <v>49956504</v>
      </c>
      <c r="D333" s="46">
        <v>45466751</v>
      </c>
      <c r="E333" s="10"/>
    </row>
    <row r="334" spans="2:5" s="114" customFormat="1">
      <c r="B334" s="29" t="s">
        <v>338</v>
      </c>
      <c r="C334" s="46">
        <v>427453275</v>
      </c>
      <c r="D334" s="46">
        <v>268980049</v>
      </c>
      <c r="E334" s="10"/>
    </row>
    <row r="335" spans="2:5" s="114" customFormat="1">
      <c r="B335" s="29" t="s">
        <v>10</v>
      </c>
      <c r="C335" s="46">
        <v>9050640</v>
      </c>
      <c r="D335" s="46">
        <v>9215640</v>
      </c>
      <c r="E335" s="10"/>
    </row>
    <row r="336" spans="2:5" s="114" customFormat="1">
      <c r="B336" s="29" t="s">
        <v>339</v>
      </c>
      <c r="C336" s="46">
        <v>3822843</v>
      </c>
      <c r="D336" s="46">
        <v>3044547</v>
      </c>
      <c r="E336" s="10"/>
    </row>
    <row r="337" spans="2:5" s="114" customFormat="1">
      <c r="B337" s="29" t="s">
        <v>340</v>
      </c>
      <c r="C337" s="46">
        <v>2451259407</v>
      </c>
      <c r="D337" s="46">
        <v>1215744477</v>
      </c>
      <c r="E337" s="10"/>
    </row>
    <row r="338" spans="2:5" s="114" customFormat="1">
      <c r="B338" s="29" t="s">
        <v>341</v>
      </c>
      <c r="C338" s="46">
        <v>0</v>
      </c>
      <c r="D338" s="46">
        <v>222393817</v>
      </c>
      <c r="E338" s="10"/>
    </row>
    <row r="339" spans="2:5" s="114" customFormat="1">
      <c r="B339" s="29" t="s">
        <v>1100</v>
      </c>
      <c r="C339" s="46">
        <v>1187962257</v>
      </c>
      <c r="D339" s="46">
        <v>6902667</v>
      </c>
      <c r="E339" s="10"/>
    </row>
    <row r="340" spans="2:5" s="114" customFormat="1">
      <c r="B340" s="29" t="s">
        <v>1101</v>
      </c>
      <c r="C340" s="46">
        <v>4000000</v>
      </c>
      <c r="D340" s="46">
        <v>0</v>
      </c>
      <c r="E340" s="799"/>
    </row>
    <row r="341" spans="2:5" s="114" customFormat="1">
      <c r="B341" s="29" t="s">
        <v>8</v>
      </c>
      <c r="C341" s="46">
        <v>25747445</v>
      </c>
      <c r="D341" s="46">
        <v>18656909</v>
      </c>
      <c r="E341" s="10"/>
    </row>
    <row r="342" spans="2:5" s="114" customFormat="1">
      <c r="B342" s="29" t="s">
        <v>11</v>
      </c>
      <c r="C342" s="46">
        <v>42474187</v>
      </c>
      <c r="D342" s="46">
        <v>8130546</v>
      </c>
      <c r="E342" s="10"/>
    </row>
    <row r="343" spans="2:5" s="115" customFormat="1" ht="15.75" thickBot="1">
      <c r="B343" s="29" t="s">
        <v>9</v>
      </c>
      <c r="C343" s="46">
        <v>2717071007</v>
      </c>
      <c r="D343" s="46">
        <v>2153424444</v>
      </c>
      <c r="E343" s="10"/>
    </row>
    <row r="344" spans="2:5" s="114" customFormat="1" ht="15.75" thickBot="1">
      <c r="B344" s="42" t="s">
        <v>12</v>
      </c>
      <c r="C344" s="120">
        <f>SUM(C328:C343)</f>
        <v>12316065898</v>
      </c>
      <c r="D344" s="51">
        <f>SUM(D328:D343)</f>
        <v>7963167055</v>
      </c>
      <c r="E344" s="11"/>
    </row>
    <row r="345" spans="2:5" s="114" customFormat="1">
      <c r="B345" s="3"/>
      <c r="C345" s="121"/>
      <c r="D345" s="93"/>
      <c r="E345" s="90"/>
    </row>
    <row r="346" spans="2:5" s="114" customFormat="1" ht="15.75" thickBot="1">
      <c r="B346" s="42" t="s">
        <v>342</v>
      </c>
      <c r="C346" s="122">
        <v>819113186</v>
      </c>
      <c r="D346" s="122">
        <v>1189885187</v>
      </c>
      <c r="E346" s="10"/>
    </row>
    <row r="347" spans="2:5" s="114" customFormat="1" ht="15.75" thickBot="1">
      <c r="B347" s="42" t="s">
        <v>13</v>
      </c>
      <c r="C347" s="123">
        <f>SUM(C346)</f>
        <v>819113186</v>
      </c>
      <c r="D347" s="45">
        <f>SUM(D346)</f>
        <v>1189885187</v>
      </c>
      <c r="E347" s="11"/>
    </row>
    <row r="348" spans="2:5" s="115" customFormat="1" ht="15.75" thickBot="1">
      <c r="B348" s="42"/>
      <c r="C348" s="123"/>
      <c r="D348" s="48"/>
      <c r="E348" s="9"/>
    </row>
    <row r="349" spans="2:5" s="114" customFormat="1" ht="15.75" thickBot="1">
      <c r="B349" s="42" t="s">
        <v>14</v>
      </c>
      <c r="C349" s="124">
        <f>C326+C344+C347</f>
        <v>13217179084</v>
      </c>
      <c r="D349" s="54">
        <f>D326+D344+D347</f>
        <v>9235052242</v>
      </c>
      <c r="E349" s="11"/>
    </row>
    <row r="350" spans="2:5" s="115" customFormat="1" ht="16.5" thickTop="1">
      <c r="B350" s="116"/>
      <c r="C350" s="117"/>
      <c r="D350" s="117"/>
    </row>
    <row r="358" spans="1:5" s="59" customFormat="1" ht="24" customHeight="1">
      <c r="A358" s="104" t="s">
        <v>345</v>
      </c>
      <c r="B358" s="127"/>
      <c r="C358" s="127"/>
      <c r="D358" s="127"/>
    </row>
    <row r="359" spans="1:5" s="59" customFormat="1" ht="13.5" customHeight="1">
      <c r="A359" s="99" t="s">
        <v>343</v>
      </c>
      <c r="B359" s="126"/>
      <c r="C359" s="126"/>
      <c r="D359" s="126"/>
    </row>
    <row r="360" spans="1:5" s="59" customFormat="1" ht="13.5" customHeight="1">
      <c r="A360" s="102" t="s">
        <v>344</v>
      </c>
      <c r="B360" s="126"/>
      <c r="C360" s="126"/>
      <c r="D360" s="126"/>
    </row>
    <row r="361" spans="1:5">
      <c r="B361" s="5" t="s">
        <v>15</v>
      </c>
      <c r="C361" s="6"/>
      <c r="D361" s="6"/>
      <c r="E361" s="863"/>
    </row>
    <row r="362" spans="1:5" ht="15.75" thickBot="1">
      <c r="B362" s="5"/>
      <c r="C362" s="8">
        <v>2020</v>
      </c>
      <c r="D362" s="8">
        <v>2019</v>
      </c>
      <c r="E362" s="863"/>
    </row>
    <row r="363" spans="1:5">
      <c r="B363" s="5"/>
      <c r="C363" s="2"/>
      <c r="D363" s="2"/>
      <c r="E363" s="9"/>
    </row>
    <row r="364" spans="1:5">
      <c r="B364" s="7" t="s">
        <v>16</v>
      </c>
      <c r="C364" s="1">
        <v>2000793633</v>
      </c>
      <c r="D364" s="1">
        <v>1109739190</v>
      </c>
      <c r="E364" s="10"/>
    </row>
    <row r="365" spans="1:5">
      <c r="B365" s="7" t="s">
        <v>17</v>
      </c>
      <c r="C365" s="1">
        <v>2312606760</v>
      </c>
      <c r="D365" s="1">
        <v>1652936209</v>
      </c>
      <c r="E365" s="10"/>
    </row>
    <row r="366" spans="1:5">
      <c r="B366" s="7" t="s">
        <v>18</v>
      </c>
      <c r="C366" s="1">
        <v>85689000</v>
      </c>
      <c r="D366" s="1">
        <v>82704750</v>
      </c>
      <c r="E366" s="10"/>
    </row>
    <row r="367" spans="1:5">
      <c r="B367" s="7" t="s">
        <v>19</v>
      </c>
      <c r="C367" s="1">
        <v>2515914747</v>
      </c>
      <c r="D367" s="1">
        <v>3080038974</v>
      </c>
      <c r="E367" s="10"/>
    </row>
    <row r="368" spans="1:5" s="4" customFormat="1" ht="21" customHeight="1" thickBot="1">
      <c r="B368" s="5" t="s">
        <v>20</v>
      </c>
      <c r="C368" s="13">
        <f>SUM(C364:C367)</f>
        <v>6915004140</v>
      </c>
      <c r="D368" s="13">
        <f>SUM(D364:D367)</f>
        <v>5925419123</v>
      </c>
      <c r="E368" s="11"/>
    </row>
    <row r="369" spans="1:5" ht="15" customHeight="1" thickTop="1">
      <c r="E369" s="12"/>
    </row>
    <row r="372" spans="1:5" ht="18.75">
      <c r="A372" s="104" t="s">
        <v>346</v>
      </c>
      <c r="B372" s="128"/>
      <c r="C372" s="58"/>
      <c r="D372" s="58"/>
    </row>
    <row r="373" spans="1:5" s="269" customFormat="1" ht="14.25" customHeight="1">
      <c r="A373" s="150" t="s">
        <v>347</v>
      </c>
      <c r="B373" s="303"/>
      <c r="C373" s="58"/>
      <c r="D373" s="58"/>
    </row>
    <row r="374" spans="1:5" ht="14.25" customHeight="1">
      <c r="A374" s="102" t="s">
        <v>348</v>
      </c>
      <c r="B374" s="128"/>
      <c r="C374" s="58"/>
      <c r="D374" s="58"/>
    </row>
    <row r="375" spans="1:5" ht="14.25" customHeight="1">
      <c r="A375" s="102"/>
      <c r="B375" s="128"/>
      <c r="C375" s="58"/>
      <c r="D375" s="58"/>
    </row>
    <row r="376" spans="1:5" ht="24.75" customHeight="1" thickBot="1">
      <c r="B376" s="14"/>
      <c r="C376" s="15">
        <v>2020</v>
      </c>
      <c r="D376" s="16">
        <v>2018</v>
      </c>
      <c r="E376" s="22"/>
    </row>
    <row r="377" spans="1:5">
      <c r="B377" s="17"/>
      <c r="C377" s="25"/>
      <c r="D377" s="18"/>
      <c r="E377" s="23"/>
    </row>
    <row r="378" spans="1:5">
      <c r="B378" s="17" t="s">
        <v>21</v>
      </c>
      <c r="C378" s="19">
        <v>3254040183</v>
      </c>
      <c r="D378" s="19">
        <v>3251752733</v>
      </c>
      <c r="E378" s="24"/>
    </row>
    <row r="379" spans="1:5" ht="15.75" thickBot="1">
      <c r="B379" s="17" t="s">
        <v>22</v>
      </c>
      <c r="C379" s="19">
        <v>10077557065</v>
      </c>
      <c r="D379" s="19">
        <v>3829082343</v>
      </c>
      <c r="E379" s="24"/>
    </row>
    <row r="380" spans="1:5">
      <c r="B380" s="20"/>
      <c r="C380" s="848">
        <f>SUM(C378:C379)</f>
        <v>13331597248</v>
      </c>
      <c r="D380" s="848">
        <f>SUM(D378:D379)</f>
        <v>7080835076</v>
      </c>
      <c r="E380" s="861"/>
    </row>
    <row r="381" spans="1:5" ht="15.75" thickBot="1">
      <c r="B381" s="20" t="s">
        <v>23</v>
      </c>
      <c r="C381" s="849"/>
      <c r="D381" s="850"/>
      <c r="E381" s="861"/>
    </row>
    <row r="382" spans="1:5" ht="9" customHeight="1" thickTop="1"/>
    <row r="383" spans="1:5" ht="30.75" customHeight="1">
      <c r="B383" s="20" t="s">
        <v>24</v>
      </c>
      <c r="C383" s="21">
        <v>-3254040183</v>
      </c>
      <c r="D383" s="21">
        <v>-3254040183</v>
      </c>
    </row>
    <row r="384" spans="1:5" ht="30.75" customHeight="1">
      <c r="B384" s="20"/>
      <c r="C384" s="21"/>
      <c r="D384" s="21"/>
    </row>
    <row r="385" spans="1:4" ht="15" customHeight="1">
      <c r="B385" s="20"/>
      <c r="C385" s="21"/>
      <c r="D385" s="21"/>
    </row>
    <row r="386" spans="1:4" ht="18.75">
      <c r="A386" s="104" t="s">
        <v>349</v>
      </c>
    </row>
    <row r="387" spans="1:4" ht="15" customHeight="1">
      <c r="A387" s="99" t="s">
        <v>350</v>
      </c>
    </row>
    <row r="388" spans="1:4" ht="15.75">
      <c r="A388" s="99" t="s">
        <v>351</v>
      </c>
    </row>
    <row r="389" spans="1:4" ht="15.75">
      <c r="A389" s="99"/>
    </row>
    <row r="390" spans="1:4" ht="15.75" thickBot="1">
      <c r="B390" s="26"/>
      <c r="C390" s="27">
        <v>2020</v>
      </c>
      <c r="D390" s="28">
        <v>2019</v>
      </c>
    </row>
    <row r="391" spans="1:4">
      <c r="B391" s="26" t="s">
        <v>1048</v>
      </c>
      <c r="C391" s="790">
        <v>343913759</v>
      </c>
      <c r="D391" s="790">
        <v>4000000</v>
      </c>
    </row>
    <row r="392" spans="1:4">
      <c r="B392" s="26" t="s">
        <v>352</v>
      </c>
      <c r="C392" s="35">
        <v>4073896</v>
      </c>
      <c r="D392" s="35">
        <v>3707762</v>
      </c>
    </row>
    <row r="393" spans="1:4">
      <c r="B393" s="26" t="s">
        <v>25</v>
      </c>
      <c r="C393" s="36">
        <v>21297445</v>
      </c>
      <c r="D393" s="36">
        <v>24823362</v>
      </c>
    </row>
    <row r="394" spans="1:4">
      <c r="B394" s="26" t="s">
        <v>26</v>
      </c>
      <c r="C394" s="36">
        <v>0</v>
      </c>
      <c r="D394" s="36">
        <v>35126198</v>
      </c>
    </row>
    <row r="395" spans="1:4">
      <c r="B395" s="26" t="s">
        <v>27</v>
      </c>
      <c r="C395" s="36">
        <v>64036294</v>
      </c>
      <c r="D395" s="36">
        <v>58281144</v>
      </c>
    </row>
    <row r="396" spans="1:4">
      <c r="B396" s="26" t="s">
        <v>28</v>
      </c>
      <c r="C396" s="36">
        <v>1023857225</v>
      </c>
      <c r="D396" s="36">
        <v>378806372</v>
      </c>
    </row>
    <row r="397" spans="1:4" ht="15.75" thickBot="1">
      <c r="B397" s="31" t="s">
        <v>29</v>
      </c>
      <c r="C397" s="37">
        <f>SUM(C391:C396)</f>
        <v>1457178619</v>
      </c>
      <c r="D397" s="38">
        <f>SUM(D391:D396)</f>
        <v>504744838</v>
      </c>
    </row>
    <row r="398" spans="1:4" ht="15.75" thickTop="1"/>
    <row r="401" spans="1:2" ht="18.75">
      <c r="A401" s="104"/>
    </row>
    <row r="402" spans="1:2" ht="15.75">
      <c r="A402" s="102"/>
    </row>
    <row r="403" spans="1:2" ht="15.75">
      <c r="B403" s="39"/>
    </row>
    <row r="404" spans="1:2" ht="15.75">
      <c r="B404" s="39"/>
    </row>
    <row r="405" spans="1:2" ht="15.75">
      <c r="B405" s="39"/>
    </row>
    <row r="406" spans="1:2" ht="15.75">
      <c r="B406" s="39"/>
    </row>
    <row r="407" spans="1:2" ht="15.75">
      <c r="B407" s="39"/>
    </row>
    <row r="408" spans="1:2" ht="15.75">
      <c r="B408" s="39"/>
    </row>
    <row r="409" spans="1:2" ht="15.75">
      <c r="B409" s="39"/>
    </row>
    <row r="410" spans="1:2" ht="15.75">
      <c r="B410" s="39"/>
    </row>
    <row r="411" spans="1:2" ht="15.75">
      <c r="B411" s="39"/>
    </row>
    <row r="412" spans="1:2" ht="15.75">
      <c r="B412" s="39"/>
    </row>
    <row r="413" spans="1:2" ht="15.75">
      <c r="B413" s="39"/>
    </row>
    <row r="414" spans="1:2" ht="15.75">
      <c r="B414" s="39"/>
    </row>
    <row r="415" spans="1:2" ht="18.75">
      <c r="A415" s="104" t="s">
        <v>353</v>
      </c>
      <c r="B415" s="39"/>
    </row>
    <row r="416" spans="1:2" ht="18.75">
      <c r="A416" s="104"/>
      <c r="B416" s="39"/>
    </row>
    <row r="417" spans="1:5" ht="15.75">
      <c r="A417" s="102" t="s">
        <v>354</v>
      </c>
      <c r="B417" s="39"/>
    </row>
    <row r="418" spans="1:5" ht="15.75">
      <c r="B418" s="39"/>
    </row>
    <row r="419" spans="1:5" s="12" customFormat="1" ht="15.75" thickBot="1">
      <c r="B419" s="29"/>
      <c r="C419" s="8">
        <v>2020</v>
      </c>
      <c r="D419" s="131">
        <v>2019</v>
      </c>
      <c r="E419" s="96"/>
    </row>
    <row r="420" spans="1:5" s="12" customFormat="1" ht="15.75" thickBot="1">
      <c r="B420" s="40" t="s">
        <v>30</v>
      </c>
      <c r="C420" s="87"/>
      <c r="D420" s="118"/>
      <c r="E420" s="88"/>
    </row>
    <row r="421" spans="1:5" s="12" customFormat="1">
      <c r="B421" s="29" t="s">
        <v>15</v>
      </c>
      <c r="C421" s="1"/>
      <c r="D421" s="132"/>
      <c r="E421" s="866"/>
    </row>
    <row r="422" spans="1:5" s="12" customFormat="1">
      <c r="B422" s="29" t="s">
        <v>368</v>
      </c>
      <c r="C422" s="1">
        <v>3801088698</v>
      </c>
      <c r="D422" s="1">
        <v>4528872329</v>
      </c>
      <c r="E422" s="866"/>
    </row>
    <row r="423" spans="1:5" s="12" customFormat="1" ht="15.75" thickBot="1">
      <c r="B423" s="42" t="s">
        <v>31</v>
      </c>
      <c r="C423" s="62">
        <f>SUM(C422)</f>
        <v>3801088698</v>
      </c>
      <c r="D423" s="62">
        <f>D422</f>
        <v>4528872329</v>
      </c>
      <c r="E423" s="11"/>
    </row>
    <row r="424" spans="1:5" s="12" customFormat="1">
      <c r="B424" s="42"/>
      <c r="C424" s="2"/>
      <c r="D424" s="885"/>
      <c r="E424" s="886"/>
    </row>
    <row r="425" spans="1:5" s="12" customFormat="1" ht="15.75" thickBot="1">
      <c r="B425" s="43" t="s">
        <v>370</v>
      </c>
      <c r="C425" s="2"/>
      <c r="D425" s="885"/>
      <c r="E425" s="886"/>
    </row>
    <row r="426" spans="1:5" s="12" customFormat="1">
      <c r="B426" s="29"/>
      <c r="C426" s="87"/>
      <c r="D426" s="87"/>
      <c r="E426" s="88"/>
    </row>
    <row r="427" spans="1:5" s="12" customFormat="1">
      <c r="B427" s="29" t="s">
        <v>363</v>
      </c>
      <c r="C427" s="1">
        <f>52176512+3936392</f>
        <v>56112904</v>
      </c>
      <c r="D427" s="1">
        <f>52114639+5506985</f>
        <v>57621624</v>
      </c>
      <c r="E427" s="10"/>
    </row>
    <row r="428" spans="1:5" s="12" customFormat="1">
      <c r="B428" s="134" t="s">
        <v>364</v>
      </c>
      <c r="C428" s="1">
        <v>227587134</v>
      </c>
      <c r="D428" s="1">
        <v>260365172</v>
      </c>
      <c r="E428" s="10"/>
    </row>
    <row r="429" spans="1:5" s="12" customFormat="1">
      <c r="B429" s="29" t="s">
        <v>365</v>
      </c>
      <c r="C429" s="1">
        <v>113622897</v>
      </c>
      <c r="D429" s="1">
        <v>108337812</v>
      </c>
      <c r="E429" s="10"/>
    </row>
    <row r="430" spans="1:5" s="12" customFormat="1">
      <c r="B430" s="29" t="s">
        <v>1042</v>
      </c>
      <c r="C430" s="1">
        <v>234446841</v>
      </c>
      <c r="D430" s="1">
        <v>188098591</v>
      </c>
      <c r="E430" s="10"/>
    </row>
    <row r="431" spans="1:5" s="12" customFormat="1">
      <c r="B431" s="29" t="s">
        <v>366</v>
      </c>
      <c r="C431" s="1">
        <v>152373385</v>
      </c>
      <c r="D431" s="1">
        <v>152954694</v>
      </c>
      <c r="E431" s="10"/>
    </row>
    <row r="432" spans="1:5" s="12" customFormat="1" ht="15.75" thickBot="1">
      <c r="B432" s="29" t="s">
        <v>367</v>
      </c>
      <c r="C432" s="41">
        <v>0</v>
      </c>
      <c r="D432" s="41">
        <v>0</v>
      </c>
      <c r="E432" s="10"/>
    </row>
    <row r="433" spans="2:5" s="12" customFormat="1" ht="15.75" thickBot="1">
      <c r="B433" s="42" t="s">
        <v>32</v>
      </c>
      <c r="C433" s="32">
        <f>SUM(C427:C432)</f>
        <v>784143161</v>
      </c>
      <c r="D433" s="32">
        <f>SUM(D427:D432)</f>
        <v>767377893</v>
      </c>
      <c r="E433" s="11"/>
    </row>
    <row r="434" spans="2:5" s="12" customFormat="1">
      <c r="B434" s="42"/>
      <c r="C434" s="91"/>
      <c r="D434" s="891"/>
      <c r="E434" s="865"/>
    </row>
    <row r="435" spans="2:5" s="12" customFormat="1" ht="29.25" customHeight="1" thickBot="1">
      <c r="B435" s="40" t="s">
        <v>33</v>
      </c>
      <c r="C435" s="92"/>
      <c r="D435" s="865"/>
      <c r="E435" s="865"/>
    </row>
    <row r="436" spans="2:5" s="12" customFormat="1">
      <c r="B436" s="29" t="s">
        <v>355</v>
      </c>
      <c r="C436" s="10"/>
      <c r="D436" s="132"/>
      <c r="E436" s="866"/>
    </row>
    <row r="437" spans="2:5" s="12" customFormat="1">
      <c r="B437" s="29" t="s">
        <v>34</v>
      </c>
      <c r="C437" s="1">
        <f>14622713250+2198998</f>
        <v>14624912248</v>
      </c>
      <c r="D437" s="1">
        <f>14731215232+2198998</f>
        <v>14733414230</v>
      </c>
      <c r="E437" s="866"/>
    </row>
    <row r="438" spans="2:5" s="12" customFormat="1">
      <c r="B438" s="29" t="s">
        <v>35</v>
      </c>
      <c r="C438" s="1">
        <v>64130783</v>
      </c>
      <c r="D438" s="1">
        <v>64130783</v>
      </c>
      <c r="E438" s="10"/>
    </row>
    <row r="439" spans="2:5" s="12" customFormat="1" ht="13.5" customHeight="1">
      <c r="B439" s="29" t="s">
        <v>36</v>
      </c>
      <c r="C439" s="1">
        <v>2973898750</v>
      </c>
      <c r="D439" s="1">
        <v>2898528750</v>
      </c>
      <c r="E439" s="10"/>
    </row>
    <row r="440" spans="2:5" s="12" customFormat="1" ht="15.75" thickBot="1">
      <c r="B440" s="29" t="s">
        <v>37</v>
      </c>
      <c r="C440" s="41">
        <v>30600000</v>
      </c>
      <c r="D440" s="41">
        <v>30600000</v>
      </c>
      <c r="E440" s="10"/>
    </row>
    <row r="441" spans="2:5" s="12" customFormat="1" ht="20.25" customHeight="1" thickBot="1">
      <c r="B441" s="42" t="s">
        <v>38</v>
      </c>
      <c r="C441" s="33">
        <f>SUM(C437:C440)</f>
        <v>17693541781</v>
      </c>
      <c r="D441" s="135">
        <f>SUM(D437:D440)</f>
        <v>17726673763</v>
      </c>
      <c r="E441" s="11"/>
    </row>
    <row r="442" spans="2:5" s="12" customFormat="1">
      <c r="B442" s="42"/>
      <c r="C442" s="44"/>
      <c r="D442" s="869"/>
      <c r="E442" s="862"/>
    </row>
    <row r="443" spans="2:5" s="12" customFormat="1" ht="15.75" thickBot="1">
      <c r="B443" s="40" t="s">
        <v>356</v>
      </c>
      <c r="C443" s="87"/>
      <c r="D443" s="890"/>
      <c r="E443" s="862"/>
    </row>
    <row r="444" spans="2:5" s="12" customFormat="1">
      <c r="B444" s="29" t="s">
        <v>15</v>
      </c>
      <c r="C444" s="1"/>
      <c r="D444" s="132"/>
      <c r="E444" s="866"/>
    </row>
    <row r="445" spans="2:5" s="12" customFormat="1">
      <c r="B445" s="29" t="s">
        <v>357</v>
      </c>
      <c r="C445" s="1">
        <v>301276120</v>
      </c>
      <c r="D445" s="1">
        <v>557756666</v>
      </c>
      <c r="E445" s="866"/>
    </row>
    <row r="446" spans="2:5" s="12" customFormat="1" ht="15.75" thickBot="1">
      <c r="B446" s="29" t="s">
        <v>358</v>
      </c>
      <c r="C446" s="41">
        <v>0</v>
      </c>
      <c r="D446" s="133">
        <v>0</v>
      </c>
      <c r="E446" s="866"/>
    </row>
    <row r="447" spans="2:5" s="12" customFormat="1" ht="15.75" thickBot="1">
      <c r="B447" s="42" t="s">
        <v>359</v>
      </c>
      <c r="C447" s="45">
        <f>SUM(C445:C446)</f>
        <v>301276120</v>
      </c>
      <c r="D447" s="45">
        <f>SUM(D445:D446)</f>
        <v>557756666</v>
      </c>
      <c r="E447" s="11"/>
    </row>
    <row r="448" spans="2:5">
      <c r="B448" s="42"/>
      <c r="C448" s="52"/>
      <c r="D448" s="91"/>
      <c r="E448" s="886"/>
    </row>
    <row r="449" spans="1:5" ht="15.75" customHeight="1" thickBot="1">
      <c r="A449" s="34"/>
      <c r="B449" s="43" t="s">
        <v>360</v>
      </c>
      <c r="C449" s="42"/>
      <c r="D449" s="95"/>
      <c r="E449" s="886"/>
    </row>
    <row r="450" spans="1:5">
      <c r="B450" s="29" t="s">
        <v>361</v>
      </c>
      <c r="C450" s="1">
        <f>282919729+5169130</f>
        <v>288088859</v>
      </c>
      <c r="D450" s="1">
        <f>305088329+834670</f>
        <v>305922999</v>
      </c>
      <c r="E450" s="10"/>
    </row>
    <row r="451" spans="1:5" ht="15.75" thickBot="1">
      <c r="B451" s="42" t="s">
        <v>369</v>
      </c>
      <c r="C451" s="62">
        <f>SUM(C450)</f>
        <v>288088859</v>
      </c>
      <c r="D451" s="62">
        <f>SUM(D450)</f>
        <v>305922999</v>
      </c>
      <c r="E451" s="11"/>
    </row>
    <row r="452" spans="1:5">
      <c r="B452" s="42"/>
      <c r="C452" s="887">
        <f>C423+C433+C441+C447+C451</f>
        <v>22868138619</v>
      </c>
      <c r="D452" s="887">
        <f>D423+D433+D441+D447+D451</f>
        <v>23886603650</v>
      </c>
      <c r="E452" s="889"/>
    </row>
    <row r="453" spans="1:5" ht="15.75" thickBot="1">
      <c r="B453" s="42" t="s">
        <v>362</v>
      </c>
      <c r="C453" s="888"/>
      <c r="D453" s="888"/>
      <c r="E453" s="889"/>
    </row>
    <row r="454" spans="1:5" ht="15.75" thickTop="1">
      <c r="B454" s="42"/>
      <c r="C454" s="11"/>
      <c r="D454" s="11"/>
      <c r="E454" s="12"/>
    </row>
    <row r="455" spans="1:5" s="12" customFormat="1">
      <c r="B455" s="60"/>
      <c r="C455" s="11"/>
      <c r="D455" s="11"/>
    </row>
    <row r="456" spans="1:5" s="12" customFormat="1">
      <c r="B456" s="60"/>
      <c r="C456" s="11"/>
      <c r="D456" s="11"/>
    </row>
    <row r="457" spans="1:5" s="12" customFormat="1">
      <c r="B457" s="60"/>
      <c r="C457" s="11"/>
      <c r="D457" s="11"/>
    </row>
    <row r="458" spans="1:5" s="12" customFormat="1">
      <c r="B458" s="60"/>
      <c r="C458" s="11"/>
      <c r="D458" s="11"/>
    </row>
    <row r="459" spans="1:5" s="12" customFormat="1">
      <c r="B459" s="60"/>
      <c r="C459" s="11"/>
      <c r="D459" s="11"/>
    </row>
    <row r="460" spans="1:5" s="12" customFormat="1">
      <c r="B460" s="60"/>
      <c r="C460" s="9"/>
      <c r="D460" s="9"/>
    </row>
    <row r="461" spans="1:5" s="12" customFormat="1">
      <c r="B461" s="60"/>
      <c r="C461" s="10"/>
      <c r="D461" s="10"/>
    </row>
    <row r="462" spans="1:5" s="12" customFormat="1">
      <c r="B462" s="60"/>
      <c r="C462" s="10"/>
      <c r="D462" s="10"/>
    </row>
    <row r="463" spans="1:5" s="12" customFormat="1">
      <c r="B463" s="60"/>
      <c r="C463" s="11"/>
      <c r="D463" s="11"/>
    </row>
    <row r="464" spans="1:5" s="12" customFormat="1" ht="26.25" customHeight="1">
      <c r="B464" s="136"/>
      <c r="C464" s="11"/>
      <c r="D464" s="11"/>
    </row>
    <row r="465" spans="1:4" s="12" customFormat="1">
      <c r="B465" s="60"/>
      <c r="C465" s="137"/>
      <c r="D465" s="137"/>
    </row>
    <row r="466" spans="1:4" s="12" customFormat="1">
      <c r="B466" s="60"/>
      <c r="C466" s="137"/>
      <c r="D466" s="137"/>
    </row>
    <row r="467" spans="1:4" s="12" customFormat="1">
      <c r="B467" s="60"/>
      <c r="C467" s="137"/>
      <c r="D467" s="137"/>
    </row>
    <row r="468" spans="1:4" s="12" customFormat="1">
      <c r="B468" s="60"/>
      <c r="C468" s="137"/>
      <c r="D468" s="137"/>
    </row>
    <row r="469" spans="1:4" s="12" customFormat="1">
      <c r="B469" s="60"/>
      <c r="C469" s="137"/>
      <c r="D469" s="137"/>
    </row>
    <row r="470" spans="1:4" s="12" customFormat="1">
      <c r="B470" s="60"/>
      <c r="C470" s="137"/>
      <c r="D470" s="137"/>
    </row>
    <row r="471" spans="1:4" s="12" customFormat="1">
      <c r="B471" s="60"/>
      <c r="C471" s="137"/>
      <c r="D471" s="137"/>
    </row>
    <row r="472" spans="1:4" s="12" customFormat="1">
      <c r="B472" s="60"/>
      <c r="C472" s="137"/>
      <c r="D472" s="137"/>
    </row>
    <row r="473" spans="1:4" s="12" customFormat="1" ht="18.75">
      <c r="A473" s="104" t="s">
        <v>371</v>
      </c>
      <c r="B473" s="97"/>
      <c r="C473" s="11"/>
      <c r="D473" s="11"/>
    </row>
    <row r="474" spans="1:4" s="12" customFormat="1">
      <c r="B474" s="60"/>
      <c r="C474" s="88"/>
      <c r="D474" s="88"/>
    </row>
    <row r="475" spans="1:4" s="12" customFormat="1" ht="16.5">
      <c r="B475" s="138" t="s">
        <v>1056</v>
      </c>
      <c r="C475" s="88"/>
      <c r="D475" s="88"/>
    </row>
    <row r="476" spans="1:4" s="12" customFormat="1" ht="15.75" thickBot="1">
      <c r="B476" s="29"/>
      <c r="C476" s="28">
        <v>2020</v>
      </c>
      <c r="D476" s="28">
        <v>2019</v>
      </c>
    </row>
    <row r="477" spans="1:4" s="12" customFormat="1" ht="15.75" thickBot="1">
      <c r="B477" s="40" t="s">
        <v>1057</v>
      </c>
      <c r="C477" s="87"/>
      <c r="D477" s="87"/>
    </row>
    <row r="478" spans="1:4" s="12" customFormat="1" ht="12" customHeight="1">
      <c r="B478" s="29" t="s">
        <v>39</v>
      </c>
      <c r="C478" s="146">
        <v>0</v>
      </c>
      <c r="D478" s="146">
        <v>249132420</v>
      </c>
    </row>
    <row r="479" spans="1:4" s="12" customFormat="1" ht="23.25" customHeight="1" thickBot="1">
      <c r="B479" s="42" t="s">
        <v>40</v>
      </c>
      <c r="C479" s="11">
        <f>SUM(C478)</f>
        <v>0</v>
      </c>
      <c r="D479" s="787">
        <f>SUM(D478)</f>
        <v>249132420</v>
      </c>
    </row>
    <row r="480" spans="1:4" s="12" customFormat="1" ht="23.25" customHeight="1" thickBot="1">
      <c r="B480" s="43" t="s">
        <v>1058</v>
      </c>
      <c r="C480" s="47"/>
      <c r="D480" s="47"/>
    </row>
    <row r="481" spans="2:4" s="12" customFormat="1">
      <c r="B481" s="42" t="s">
        <v>41</v>
      </c>
      <c r="C481" s="1">
        <v>62452048</v>
      </c>
      <c r="D481" s="1">
        <v>291664382</v>
      </c>
    </row>
    <row r="482" spans="2:4" s="12" customFormat="1">
      <c r="B482" s="42" t="s">
        <v>42</v>
      </c>
      <c r="C482" s="146">
        <v>0</v>
      </c>
      <c r="D482" s="146">
        <v>0</v>
      </c>
    </row>
    <row r="483" spans="2:4" s="12" customFormat="1" ht="15.75" thickBot="1">
      <c r="B483" s="42" t="s">
        <v>43</v>
      </c>
      <c r="C483" s="32">
        <f>SUM(C481:C482)</f>
        <v>62452048</v>
      </c>
      <c r="D483" s="32">
        <f>SUM(D481:D482)</f>
        <v>291664382</v>
      </c>
    </row>
    <row r="484" spans="2:4" s="12" customFormat="1" ht="16.5">
      <c r="B484" s="42"/>
      <c r="C484" s="140"/>
      <c r="D484" s="140"/>
    </row>
    <row r="485" spans="2:4" s="12" customFormat="1" ht="30.75" thickBot="1">
      <c r="B485" s="143" t="s">
        <v>1059</v>
      </c>
      <c r="C485" s="54">
        <f>C479+C483</f>
        <v>62452048</v>
      </c>
      <c r="D485" s="786">
        <f>D479+D483</f>
        <v>540796802</v>
      </c>
    </row>
    <row r="486" spans="2:4" s="12" customFormat="1" ht="15.75" thickTop="1">
      <c r="B486" s="143"/>
      <c r="C486" s="144"/>
      <c r="D486" s="144"/>
    </row>
    <row r="487" spans="2:4" s="12" customFormat="1" ht="16.5">
      <c r="B487" s="138" t="s">
        <v>1060</v>
      </c>
      <c r="C487" s="139"/>
      <c r="D487" s="139"/>
    </row>
    <row r="488" spans="2:4" s="12" customFormat="1" ht="8.25" customHeight="1">
      <c r="B488" s="138"/>
      <c r="C488" s="139"/>
      <c r="D488" s="139"/>
    </row>
    <row r="489" spans="2:4" s="12" customFormat="1" ht="15.75" thickBot="1">
      <c r="B489" s="43" t="s">
        <v>1061</v>
      </c>
      <c r="C489" s="139"/>
      <c r="D489" s="139"/>
    </row>
    <row r="490" spans="2:4" s="12" customFormat="1">
      <c r="B490" s="42" t="s">
        <v>41</v>
      </c>
      <c r="C490" s="1">
        <v>0</v>
      </c>
      <c r="D490" s="1">
        <v>240712329</v>
      </c>
    </row>
    <row r="491" spans="2:4" s="12" customFormat="1">
      <c r="B491" s="42" t="s">
        <v>42</v>
      </c>
      <c r="C491" s="146">
        <v>0</v>
      </c>
      <c r="D491" s="146">
        <v>0</v>
      </c>
    </row>
    <row r="492" spans="2:4" s="12" customFormat="1">
      <c r="B492" s="42" t="s">
        <v>44</v>
      </c>
      <c r="C492" s="32">
        <f>SUM(C490:C491)</f>
        <v>0</v>
      </c>
      <c r="D492" s="32">
        <f>SUM(D490:D491)</f>
        <v>240712329</v>
      </c>
    </row>
    <row r="493" spans="2:4" s="12" customFormat="1" ht="15.75" thickBot="1">
      <c r="B493" s="43" t="s">
        <v>373</v>
      </c>
      <c r="C493" s="88"/>
      <c r="D493" s="88"/>
    </row>
    <row r="494" spans="2:4" s="12" customFormat="1">
      <c r="B494" s="29" t="s">
        <v>39</v>
      </c>
      <c r="C494" s="146">
        <v>0</v>
      </c>
      <c r="D494" s="146">
        <v>0</v>
      </c>
    </row>
    <row r="495" spans="2:4" s="12" customFormat="1" ht="15.75" thickBot="1">
      <c r="B495" s="42" t="s">
        <v>44</v>
      </c>
      <c r="C495" s="45">
        <f>SUM(C494)</f>
        <v>0</v>
      </c>
      <c r="D495" s="45">
        <f>SUM(D494)</f>
        <v>0</v>
      </c>
    </row>
    <row r="496" spans="2:4" s="12" customFormat="1" ht="15" customHeight="1">
      <c r="B496" s="42" t="s">
        <v>45</v>
      </c>
      <c r="C496" s="142"/>
      <c r="D496" s="145"/>
    </row>
    <row r="497" spans="2:4" s="12" customFormat="1" ht="17.25" thickBot="1">
      <c r="B497" s="141" t="s">
        <v>372</v>
      </c>
      <c r="C497" s="54">
        <f>C492+C495</f>
        <v>0</v>
      </c>
      <c r="D497" s="786">
        <f>D492+D495</f>
        <v>240712329</v>
      </c>
    </row>
    <row r="498" spans="2:4" s="12" customFormat="1" ht="17.25" thickTop="1">
      <c r="B498" s="138"/>
      <c r="C498" s="9"/>
      <c r="D498" s="9"/>
    </row>
    <row r="499" spans="2:4" s="12" customFormat="1" ht="17.25">
      <c r="B499" s="147" t="s">
        <v>1062</v>
      </c>
      <c r="C499" s="89"/>
      <c r="D499" s="89"/>
    </row>
    <row r="500" spans="2:4" s="12" customFormat="1" ht="9" customHeight="1">
      <c r="B500" s="138"/>
      <c r="C500" s="89"/>
      <c r="D500" s="89"/>
    </row>
    <row r="501" spans="2:4" s="12" customFormat="1" ht="15.75" thickBot="1">
      <c r="B501" s="40" t="s">
        <v>374</v>
      </c>
      <c r="C501" s="87"/>
      <c r="D501" s="87"/>
    </row>
    <row r="502" spans="2:4" s="12" customFormat="1">
      <c r="B502" s="29" t="s">
        <v>39</v>
      </c>
      <c r="C502" s="146">
        <v>0</v>
      </c>
      <c r="D502" s="146">
        <v>289315069</v>
      </c>
    </row>
    <row r="503" spans="2:4" s="12" customFormat="1" ht="15.75" thickBot="1">
      <c r="B503" s="42" t="s">
        <v>40</v>
      </c>
      <c r="C503" s="62">
        <f>SUM(C502)</f>
        <v>0</v>
      </c>
      <c r="D503" s="787">
        <f>SUM(D502)</f>
        <v>289315069</v>
      </c>
    </row>
    <row r="504" spans="2:4" s="12" customFormat="1" ht="26.25" customHeight="1">
      <c r="B504" s="873" t="s">
        <v>1063</v>
      </c>
      <c r="C504" s="873"/>
      <c r="D504" s="47"/>
    </row>
    <row r="505" spans="2:4" s="12" customFormat="1">
      <c r="B505" s="42" t="s">
        <v>46</v>
      </c>
      <c r="C505" s="1">
        <v>70910964</v>
      </c>
      <c r="D505" s="1">
        <v>497671238</v>
      </c>
    </row>
    <row r="506" spans="2:4" s="12" customFormat="1">
      <c r="B506" s="42" t="s">
        <v>47</v>
      </c>
      <c r="C506" s="146">
        <v>0</v>
      </c>
      <c r="D506" s="146">
        <v>0</v>
      </c>
    </row>
    <row r="507" spans="2:4" s="12" customFormat="1" ht="15.75" thickBot="1">
      <c r="B507" s="42" t="s">
        <v>43</v>
      </c>
      <c r="C507" s="62">
        <f>SUM(C505:C506)</f>
        <v>70910964</v>
      </c>
      <c r="D507" s="62">
        <f>SUM(D505:D506)</f>
        <v>497671238</v>
      </c>
    </row>
    <row r="508" spans="2:4" s="12" customFormat="1">
      <c r="B508" s="42"/>
      <c r="C508" s="32"/>
      <c r="D508" s="32"/>
    </row>
    <row r="509" spans="2:4" s="12" customFormat="1" ht="15.75" thickBot="1">
      <c r="B509" s="50" t="s">
        <v>375</v>
      </c>
      <c r="C509" s="54">
        <f>C503+C507</f>
        <v>70910964</v>
      </c>
      <c r="D509" s="786">
        <f>D503+D507</f>
        <v>786986307</v>
      </c>
    </row>
    <row r="510" spans="2:4" s="12" customFormat="1" ht="15.75" thickTop="1">
      <c r="B510" s="50"/>
      <c r="C510" s="11"/>
      <c r="D510" s="11"/>
    </row>
    <row r="511" spans="2:4" s="12" customFormat="1" ht="17.25">
      <c r="B511" s="147" t="s">
        <v>377</v>
      </c>
      <c r="C511" s="139"/>
      <c r="D511" s="139"/>
    </row>
    <row r="512" spans="2:4" s="12" customFormat="1" ht="7.5" customHeight="1">
      <c r="B512" s="147"/>
      <c r="C512" s="139"/>
      <c r="D512" s="139"/>
    </row>
    <row r="513" spans="2:4" s="12" customFormat="1" ht="15.75" thickBot="1">
      <c r="B513" s="43" t="s">
        <v>376</v>
      </c>
      <c r="C513" s="139"/>
      <c r="D513" s="139"/>
    </row>
    <row r="514" spans="2:4" s="12" customFormat="1">
      <c r="B514" s="42" t="s">
        <v>46</v>
      </c>
      <c r="C514" s="1">
        <v>0</v>
      </c>
      <c r="D514" s="1">
        <v>70910959</v>
      </c>
    </row>
    <row r="515" spans="2:4" s="12" customFormat="1">
      <c r="B515" s="42" t="s">
        <v>47</v>
      </c>
      <c r="C515" s="146">
        <v>0</v>
      </c>
      <c r="D515" s="146">
        <v>0</v>
      </c>
    </row>
    <row r="516" spans="2:4" s="12" customFormat="1" ht="15.75" thickBot="1">
      <c r="B516" s="42" t="s">
        <v>44</v>
      </c>
      <c r="C516" s="32">
        <f>SUM(C514:C515)</f>
        <v>0</v>
      </c>
      <c r="D516" s="32">
        <f>SUM(D514:D515)</f>
        <v>70910959</v>
      </c>
    </row>
    <row r="517" spans="2:4" s="12" customFormat="1" ht="7.5" customHeight="1">
      <c r="B517" s="42"/>
      <c r="C517" s="44"/>
      <c r="D517" s="869"/>
    </row>
    <row r="518" spans="2:4" s="12" customFormat="1" ht="15.75" thickBot="1">
      <c r="B518" s="43" t="s">
        <v>378</v>
      </c>
      <c r="C518" s="88"/>
      <c r="D518" s="862"/>
    </row>
    <row r="519" spans="2:4" s="12" customFormat="1">
      <c r="B519" s="29" t="s">
        <v>39</v>
      </c>
      <c r="C519" s="146">
        <v>0</v>
      </c>
      <c r="D519" s="146">
        <v>0</v>
      </c>
    </row>
    <row r="520" spans="2:4" s="12" customFormat="1" ht="15.75" thickBot="1">
      <c r="B520" s="42" t="s">
        <v>44</v>
      </c>
      <c r="C520" s="45">
        <f>SUM(C519)</f>
        <v>0</v>
      </c>
      <c r="D520" s="45">
        <f>SUM(D519)</f>
        <v>0</v>
      </c>
    </row>
    <row r="521" spans="2:4" s="12" customFormat="1" ht="15" customHeight="1">
      <c r="B521" s="42" t="s">
        <v>45</v>
      </c>
      <c r="C521" s="142"/>
      <c r="D521" s="145"/>
    </row>
    <row r="522" spans="2:4" s="12" customFormat="1" ht="17.25" thickBot="1">
      <c r="B522" s="42" t="s">
        <v>379</v>
      </c>
      <c r="C522" s="149">
        <f>C516+C520</f>
        <v>0</v>
      </c>
      <c r="D522" s="149">
        <f>D516+D520</f>
        <v>70910959</v>
      </c>
    </row>
    <row r="523" spans="2:4" s="12" customFormat="1" ht="15.75" thickTop="1">
      <c r="B523" s="49"/>
      <c r="C523" s="9"/>
      <c r="D523" s="9"/>
    </row>
    <row r="524" spans="2:4" s="12" customFormat="1">
      <c r="B524" s="60"/>
      <c r="C524" s="11"/>
      <c r="D524" s="11"/>
    </row>
    <row r="525" spans="2:4" s="12" customFormat="1">
      <c r="B525" s="60"/>
      <c r="C525" s="833"/>
      <c r="D525" s="833"/>
    </row>
    <row r="526" spans="2:4" s="12" customFormat="1">
      <c r="B526" s="60"/>
      <c r="C526" s="833"/>
      <c r="D526" s="833"/>
    </row>
    <row r="527" spans="2:4" s="12" customFormat="1">
      <c r="B527" s="60"/>
      <c r="C527" s="833"/>
      <c r="D527" s="833"/>
    </row>
    <row r="528" spans="2:4" s="12" customFormat="1">
      <c r="B528" s="60"/>
      <c r="C528" s="833"/>
      <c r="D528" s="833"/>
    </row>
    <row r="529" spans="1:5" s="12" customFormat="1">
      <c r="B529" s="60"/>
      <c r="C529" s="833"/>
      <c r="D529" s="833"/>
    </row>
    <row r="530" spans="1:5" s="12" customFormat="1">
      <c r="B530" s="60"/>
      <c r="C530" s="833"/>
      <c r="D530" s="833"/>
    </row>
    <row r="531" spans="1:5" s="12" customFormat="1" ht="18.75">
      <c r="A531" s="113" t="s">
        <v>380</v>
      </c>
      <c r="B531" s="113"/>
      <c r="C531" s="11"/>
      <c r="D531" s="11"/>
    </row>
    <row r="532" spans="1:5" s="12" customFormat="1" ht="15.75">
      <c r="A532" s="102" t="s">
        <v>354</v>
      </c>
      <c r="B532" s="60"/>
      <c r="C532" s="11"/>
      <c r="D532" s="11"/>
    </row>
    <row r="533" spans="1:5" s="12" customFormat="1">
      <c r="B533" s="60"/>
      <c r="C533" s="11"/>
      <c r="D533" s="11"/>
    </row>
    <row r="534" spans="1:5" s="12" customFormat="1">
      <c r="B534" s="60"/>
      <c r="C534" s="11"/>
      <c r="D534" s="11"/>
    </row>
    <row r="535" spans="1:5" ht="15.75" thickBot="1">
      <c r="B535" s="42" t="s">
        <v>48</v>
      </c>
      <c r="C535" s="28">
        <v>2020</v>
      </c>
      <c r="D535" s="28">
        <v>2019</v>
      </c>
      <c r="E535" s="96"/>
    </row>
    <row r="536" spans="1:5" s="12" customFormat="1">
      <c r="B536" s="29" t="s">
        <v>15</v>
      </c>
      <c r="C536" s="29"/>
      <c r="D536" s="29"/>
      <c r="E536" s="63"/>
    </row>
    <row r="537" spans="1:5" s="12" customFormat="1">
      <c r="B537" s="29" t="s">
        <v>49</v>
      </c>
      <c r="C537" s="1">
        <f>28810642+9603667</f>
        <v>38414309</v>
      </c>
      <c r="D537" s="1">
        <f>36152215+8472576</f>
        <v>44624791</v>
      </c>
      <c r="E537" s="10"/>
    </row>
    <row r="538" spans="1:5" s="12" customFormat="1">
      <c r="B538" s="29" t="s">
        <v>50</v>
      </c>
      <c r="C538" s="1">
        <f>1363636+11985074+38280167+14860159</f>
        <v>66489036</v>
      </c>
      <c r="D538" s="1">
        <f>27627957+8118182+7393583+41203393+306243</f>
        <v>84649358</v>
      </c>
      <c r="E538" s="10"/>
    </row>
    <row r="539" spans="1:5" s="12" customFormat="1">
      <c r="B539" s="29" t="s">
        <v>51</v>
      </c>
      <c r="C539" s="1">
        <v>167270391</v>
      </c>
      <c r="D539" s="1">
        <v>86294418</v>
      </c>
      <c r="E539" s="10"/>
    </row>
    <row r="540" spans="1:5" s="12" customFormat="1">
      <c r="B540" s="29" t="s">
        <v>52</v>
      </c>
      <c r="C540" s="1">
        <f>7734364+43641704+2326579+12290859</f>
        <v>65993506</v>
      </c>
      <c r="D540" s="1">
        <f>7903531+2446593+8881936</f>
        <v>19232060</v>
      </c>
      <c r="E540" s="10"/>
    </row>
    <row r="541" spans="1:5" s="12" customFormat="1">
      <c r="B541" s="29" t="s">
        <v>53</v>
      </c>
      <c r="C541" s="132">
        <v>56772628</v>
      </c>
      <c r="D541" s="132">
        <v>74973084</v>
      </c>
      <c r="E541" s="10"/>
    </row>
    <row r="542" spans="1:5" s="12" customFormat="1">
      <c r="B542" s="29" t="s">
        <v>1043</v>
      </c>
      <c r="C542" s="132">
        <v>202816540</v>
      </c>
      <c r="D542" s="132">
        <v>78051634</v>
      </c>
      <c r="E542" s="784"/>
    </row>
    <row r="543" spans="1:5" s="12" customFormat="1">
      <c r="B543" s="29" t="s">
        <v>1044</v>
      </c>
      <c r="C543" s="132">
        <v>34913736</v>
      </c>
      <c r="D543" s="132">
        <v>27934307</v>
      </c>
      <c r="E543" s="784"/>
    </row>
    <row r="544" spans="1:5" s="12" customFormat="1" ht="15.75" thickBot="1">
      <c r="B544" s="42" t="s">
        <v>54</v>
      </c>
      <c r="C544" s="13">
        <f>SUM(C537:C543)</f>
        <v>632670146</v>
      </c>
      <c r="D544" s="13">
        <f>SUM(D537:D543)</f>
        <v>415759652</v>
      </c>
      <c r="E544" s="11"/>
    </row>
    <row r="545" spans="1:5" s="12" customFormat="1" ht="15.75" thickTop="1">
      <c r="B545" s="60"/>
      <c r="C545" s="11"/>
      <c r="D545" s="11"/>
      <c r="E545" s="11"/>
    </row>
    <row r="546" spans="1:5" s="12" customFormat="1"/>
    <row r="547" spans="1:5" s="12" customFormat="1" ht="18.75">
      <c r="A547" s="104" t="s">
        <v>381</v>
      </c>
    </row>
    <row r="548" spans="1:5" s="12" customFormat="1" ht="16.5">
      <c r="A548" s="150" t="s">
        <v>382</v>
      </c>
    </row>
    <row r="549" spans="1:5" s="268" customFormat="1" ht="16.5">
      <c r="A549" s="150" t="s">
        <v>383</v>
      </c>
    </row>
    <row r="550" spans="1:5" s="268" customFormat="1" ht="16.5">
      <c r="A550" s="150" t="s">
        <v>384</v>
      </c>
    </row>
    <row r="551" spans="1:5" s="268" customFormat="1" ht="16.5">
      <c r="A551" s="226" t="s">
        <v>385</v>
      </c>
    </row>
    <row r="552" spans="1:5" s="268" customFormat="1" ht="16.5">
      <c r="A552" s="150" t="s">
        <v>386</v>
      </c>
    </row>
    <row r="553" spans="1:5" s="268" customFormat="1" ht="16.5">
      <c r="A553" s="150" t="s">
        <v>387</v>
      </c>
    </row>
    <row r="554" spans="1:5" s="268" customFormat="1" ht="16.5">
      <c r="A554" s="150" t="s">
        <v>388</v>
      </c>
    </row>
    <row r="555" spans="1:5" s="268" customFormat="1" ht="16.5">
      <c r="A555" s="150" t="s">
        <v>389</v>
      </c>
    </row>
    <row r="556" spans="1:5" s="268" customFormat="1" ht="16.5">
      <c r="A556" s="150" t="s">
        <v>390</v>
      </c>
    </row>
    <row r="557" spans="1:5" s="268" customFormat="1" ht="16.5">
      <c r="A557" s="150" t="s">
        <v>391</v>
      </c>
    </row>
    <row r="558" spans="1:5" s="268" customFormat="1" ht="16.5">
      <c r="A558" s="150" t="s">
        <v>392</v>
      </c>
    </row>
    <row r="559" spans="1:5" s="268" customFormat="1" ht="16.5">
      <c r="A559" s="150" t="s">
        <v>393</v>
      </c>
    </row>
    <row r="560" spans="1:5" s="268" customFormat="1" ht="16.5">
      <c r="A560" s="302" t="s">
        <v>394</v>
      </c>
    </row>
    <row r="561" spans="1:1" s="268" customFormat="1" ht="16.5">
      <c r="A561" s="150" t="s">
        <v>395</v>
      </c>
    </row>
    <row r="562" spans="1:1" s="268" customFormat="1" ht="16.5">
      <c r="A562" s="150" t="s">
        <v>396</v>
      </c>
    </row>
    <row r="563" spans="1:1" s="268" customFormat="1" ht="16.5">
      <c r="A563" s="150" t="s">
        <v>397</v>
      </c>
    </row>
    <row r="564" spans="1:1" s="268" customFormat="1" ht="16.5">
      <c r="A564" s="150" t="s">
        <v>398</v>
      </c>
    </row>
    <row r="565" spans="1:1" s="268" customFormat="1" ht="16.5">
      <c r="A565" s="226" t="s">
        <v>399</v>
      </c>
    </row>
    <row r="566" spans="1:1" s="268" customFormat="1" ht="16.5">
      <c r="A566" s="150" t="s">
        <v>400</v>
      </c>
    </row>
    <row r="567" spans="1:1" s="268" customFormat="1" ht="16.5">
      <c r="A567" s="226" t="s">
        <v>401</v>
      </c>
    </row>
    <row r="568" spans="1:1" s="268" customFormat="1" ht="16.5">
      <c r="A568" s="150" t="s">
        <v>402</v>
      </c>
    </row>
    <row r="569" spans="1:1" s="268" customFormat="1" ht="16.5">
      <c r="A569" s="150" t="s">
        <v>403</v>
      </c>
    </row>
    <row r="570" spans="1:1" s="268" customFormat="1" ht="16.5">
      <c r="A570" s="150" t="s">
        <v>404</v>
      </c>
    </row>
    <row r="571" spans="1:1" s="268" customFormat="1" ht="16.5">
      <c r="A571" s="150" t="s">
        <v>405</v>
      </c>
    </row>
    <row r="572" spans="1:1" s="268" customFormat="1" ht="16.5">
      <c r="A572" s="226" t="s">
        <v>406</v>
      </c>
    </row>
    <row r="573" spans="1:1" s="268" customFormat="1" ht="16.5">
      <c r="A573" s="150" t="s">
        <v>407</v>
      </c>
    </row>
    <row r="574" spans="1:1" s="268" customFormat="1" ht="16.5">
      <c r="A574" s="150" t="s">
        <v>408</v>
      </c>
    </row>
    <row r="575" spans="1:1" s="268" customFormat="1" ht="16.5">
      <c r="A575" s="150" t="s">
        <v>409</v>
      </c>
    </row>
    <row r="576" spans="1:1" s="268" customFormat="1" ht="16.5">
      <c r="A576" s="150" t="s">
        <v>410</v>
      </c>
    </row>
    <row r="577" spans="1:4" s="268" customFormat="1" ht="16.5">
      <c r="A577" s="226" t="s">
        <v>411</v>
      </c>
    </row>
    <row r="578" spans="1:4" s="12" customFormat="1"/>
    <row r="579" spans="1:4" s="12" customFormat="1"/>
    <row r="580" spans="1:4" s="12" customFormat="1"/>
    <row r="590" spans="1:4" s="12" customFormat="1">
      <c r="B590" s="151"/>
      <c r="C590" s="152"/>
      <c r="D590" s="153"/>
    </row>
    <row r="591" spans="1:4" s="12" customFormat="1">
      <c r="B591" s="154"/>
      <c r="C591" s="155">
        <v>2020</v>
      </c>
      <c r="D591" s="155">
        <v>2019</v>
      </c>
    </row>
    <row r="592" spans="1:4" s="12" customFormat="1">
      <c r="B592" s="29" t="s">
        <v>55</v>
      </c>
      <c r="C592" s="1">
        <v>1683822331</v>
      </c>
      <c r="D592" s="1">
        <v>1552032542</v>
      </c>
    </row>
    <row r="593" spans="1:5" s="12" customFormat="1" ht="15.75" thickBot="1">
      <c r="B593" s="156" t="s">
        <v>56</v>
      </c>
      <c r="C593" s="41">
        <v>-524246222</v>
      </c>
      <c r="D593" s="41">
        <v>-341316876</v>
      </c>
    </row>
    <row r="594" spans="1:5" s="12" customFormat="1" ht="15.75" thickBot="1">
      <c r="B594" s="43" t="s">
        <v>57</v>
      </c>
      <c r="C594" s="45">
        <f>SUM(C592:C593)</f>
        <v>1159576109</v>
      </c>
      <c r="D594" s="45">
        <f>SUM(D592:D593)</f>
        <v>1210715666</v>
      </c>
    </row>
    <row r="595" spans="1:5" s="12" customFormat="1">
      <c r="B595" s="29" t="s">
        <v>15</v>
      </c>
      <c r="C595" s="2"/>
      <c r="D595" s="2"/>
    </row>
    <row r="596" spans="1:5" s="12" customFormat="1">
      <c r="B596" s="29" t="s">
        <v>58</v>
      </c>
      <c r="C596" s="1">
        <f>3052142128+24375247113+1631667382</f>
        <v>29059056623</v>
      </c>
      <c r="D596" s="1">
        <f>4833241738+21592601805+1234718662</f>
        <v>27660562205</v>
      </c>
    </row>
    <row r="597" spans="1:5" s="12" customFormat="1" ht="15.75" thickBot="1">
      <c r="B597" s="156" t="s">
        <v>59</v>
      </c>
      <c r="C597" s="41">
        <v>-24375247113</v>
      </c>
      <c r="D597" s="41">
        <v>-21592601805</v>
      </c>
    </row>
    <row r="598" spans="1:5" s="12" customFormat="1" ht="15.75" thickBot="1">
      <c r="B598" s="43" t="s">
        <v>60</v>
      </c>
      <c r="C598" s="45">
        <f>SUM(C596:C597)</f>
        <v>4683809510</v>
      </c>
      <c r="D598" s="45">
        <f>SUM(D596:D597)</f>
        <v>6067960400</v>
      </c>
    </row>
    <row r="599" spans="1:5" s="12" customFormat="1">
      <c r="B599" s="29"/>
      <c r="C599" s="29"/>
      <c r="D599" s="29"/>
    </row>
    <row r="600" spans="1:5" s="12" customFormat="1">
      <c r="B600" s="29" t="s">
        <v>61</v>
      </c>
      <c r="C600" s="1">
        <v>10228583268</v>
      </c>
      <c r="D600" s="1">
        <v>8510826010</v>
      </c>
    </row>
    <row r="601" spans="1:5" s="12" customFormat="1" ht="15.75" thickBot="1">
      <c r="B601" s="156" t="s">
        <v>62</v>
      </c>
      <c r="C601" s="41">
        <v>-5095620258</v>
      </c>
      <c r="D601" s="41">
        <v>-3654539448</v>
      </c>
    </row>
    <row r="602" spans="1:5" s="12" customFormat="1" ht="15.75" thickBot="1">
      <c r="B602" s="43" t="s">
        <v>63</v>
      </c>
      <c r="C602" s="45">
        <f>SUM(C600:C601)</f>
        <v>5132963010</v>
      </c>
      <c r="D602" s="45">
        <f>SUM(D600:D601)</f>
        <v>4856286562</v>
      </c>
    </row>
    <row r="603" spans="1:5" ht="7.5" customHeight="1">
      <c r="B603" s="42"/>
      <c r="C603" s="33"/>
      <c r="D603" s="135"/>
    </row>
    <row r="604" spans="1:5" ht="15.75" thickBot="1">
      <c r="B604" s="157" t="s">
        <v>64</v>
      </c>
      <c r="C604" s="54">
        <f>C594+C598+C602</f>
        <v>10976348629</v>
      </c>
      <c r="D604" s="786">
        <f>D594+D598+D602</f>
        <v>12134962628</v>
      </c>
    </row>
    <row r="605" spans="1:5" s="59" customFormat="1" ht="15" customHeight="1" thickTop="1">
      <c r="A605" s="56"/>
      <c r="B605" s="57"/>
      <c r="C605" s="58"/>
      <c r="D605" s="58"/>
    </row>
    <row r="606" spans="1:5" s="59" customFormat="1" ht="15" customHeight="1">
      <c r="A606" s="56"/>
      <c r="B606" s="57"/>
      <c r="C606" s="58"/>
      <c r="D606" s="58"/>
    </row>
    <row r="607" spans="1:5" s="59" customFormat="1" ht="15" customHeight="1">
      <c r="A607" s="301" t="s">
        <v>1102</v>
      </c>
      <c r="B607" s="158"/>
      <c r="C607" s="158"/>
      <c r="D607" s="158"/>
      <c r="E607" s="158"/>
    </row>
    <row r="608" spans="1:5" s="59" customFormat="1" ht="15" customHeight="1" thickBot="1">
      <c r="A608" s="56"/>
      <c r="B608" s="57"/>
      <c r="C608" s="58"/>
      <c r="D608" s="58"/>
    </row>
    <row r="609" spans="1:5" s="59" customFormat="1" ht="15" customHeight="1">
      <c r="A609" s="853" t="s">
        <v>412</v>
      </c>
      <c r="B609" s="854"/>
      <c r="C609" s="160"/>
      <c r="D609" s="160"/>
      <c r="E609" s="161"/>
    </row>
    <row r="610" spans="1:5" s="59" customFormat="1" ht="15" customHeight="1">
      <c r="A610" s="855"/>
      <c r="B610" s="856"/>
      <c r="C610" s="851" t="s">
        <v>413</v>
      </c>
      <c r="D610" s="867" t="s">
        <v>414</v>
      </c>
      <c r="E610" s="868"/>
    </row>
    <row r="611" spans="1:5" s="59" customFormat="1" ht="30" customHeight="1" thickBot="1">
      <c r="A611" s="857"/>
      <c r="B611" s="858"/>
      <c r="C611" s="852"/>
      <c r="D611" s="159" t="s">
        <v>415</v>
      </c>
      <c r="E611" s="186" t="s">
        <v>428</v>
      </c>
    </row>
    <row r="612" spans="1:5" s="59" customFormat="1" ht="15" customHeight="1">
      <c r="A612" s="162" t="s">
        <v>416</v>
      </c>
      <c r="B612" s="163"/>
      <c r="C612" s="191">
        <v>5508137967</v>
      </c>
      <c r="D612" s="163"/>
      <c r="E612" s="164"/>
    </row>
    <row r="613" spans="1:5" s="59" customFormat="1" ht="15" customHeight="1">
      <c r="A613" s="165" t="s">
        <v>417</v>
      </c>
      <c r="B613" s="166"/>
      <c r="C613" s="187">
        <v>2476090</v>
      </c>
      <c r="D613" s="188">
        <v>0</v>
      </c>
      <c r="E613" s="192">
        <v>0</v>
      </c>
    </row>
    <row r="614" spans="1:5" s="59" customFormat="1" ht="15" customHeight="1">
      <c r="A614" s="165" t="s">
        <v>418</v>
      </c>
      <c r="B614" s="166"/>
      <c r="C614" s="187">
        <f>426391359+977998724</f>
        <v>1404390083</v>
      </c>
      <c r="D614" s="188">
        <v>269556575</v>
      </c>
      <c r="E614" s="192">
        <v>0.63</v>
      </c>
    </row>
    <row r="615" spans="1:5" s="59" customFormat="1" ht="15" customHeight="1">
      <c r="A615" s="165" t="s">
        <v>419</v>
      </c>
      <c r="B615" s="166"/>
      <c r="C615" s="187">
        <v>5748509256</v>
      </c>
      <c r="D615" s="188">
        <v>5748509256</v>
      </c>
      <c r="E615" s="192">
        <v>1</v>
      </c>
    </row>
    <row r="616" spans="1:5" s="59" customFormat="1" ht="15" customHeight="1">
      <c r="A616" s="167" t="s">
        <v>420</v>
      </c>
      <c r="B616" s="168"/>
      <c r="C616" s="189">
        <f>SUM(C613:C615)</f>
        <v>7155375429</v>
      </c>
      <c r="D616" s="190">
        <f>SUM(D613:D615)</f>
        <v>6018065831</v>
      </c>
      <c r="E616" s="193">
        <v>0.97</v>
      </c>
    </row>
    <row r="617" spans="1:5" s="59" customFormat="1" ht="15" customHeight="1">
      <c r="A617" s="169"/>
      <c r="B617" s="170"/>
      <c r="C617" s="170"/>
      <c r="D617" s="170"/>
      <c r="E617" s="171"/>
    </row>
    <row r="618" spans="1:5" s="59" customFormat="1" ht="15" customHeight="1">
      <c r="A618" s="181" t="s">
        <v>1103</v>
      </c>
      <c r="B618" s="168"/>
      <c r="C618" s="168"/>
      <c r="D618" s="883">
        <f>C612+C616</f>
        <v>12663513396</v>
      </c>
      <c r="E618" s="884"/>
    </row>
    <row r="619" spans="1:5" s="59" customFormat="1" ht="15" customHeight="1">
      <c r="A619" s="181" t="s">
        <v>1104</v>
      </c>
      <c r="B619" s="168"/>
      <c r="C619" s="168"/>
      <c r="D619" s="883">
        <f>D616</f>
        <v>6018065831</v>
      </c>
      <c r="E619" s="884"/>
    </row>
    <row r="620" spans="1:5" s="59" customFormat="1" ht="15" customHeight="1" thickBot="1">
      <c r="A620" s="182" t="s">
        <v>1105</v>
      </c>
      <c r="B620" s="172"/>
      <c r="C620" s="172"/>
      <c r="D620" s="859">
        <f>C612+C613+C614</f>
        <v>6915004140</v>
      </c>
      <c r="E620" s="860"/>
    </row>
    <row r="621" spans="1:5" s="59" customFormat="1" ht="15" customHeight="1" thickBot="1">
      <c r="A621" s="173"/>
      <c r="B621" s="173"/>
      <c r="C621" s="173"/>
      <c r="D621" s="173"/>
      <c r="E621" s="173"/>
    </row>
    <row r="622" spans="1:5" s="59" customFormat="1" ht="15" customHeight="1">
      <c r="A622" s="183" t="s">
        <v>421</v>
      </c>
      <c r="B622" s="184"/>
      <c r="C622" s="184"/>
      <c r="D622" s="184"/>
      <c r="E622" s="185"/>
    </row>
    <row r="623" spans="1:5" s="59" customFormat="1" ht="15" customHeight="1" thickBot="1">
      <c r="A623" s="174" t="s">
        <v>422</v>
      </c>
      <c r="B623" s="175"/>
      <c r="C623" s="175"/>
      <c r="D623" s="175"/>
      <c r="E623" s="176"/>
    </row>
    <row r="624" spans="1:5" s="59" customFormat="1" ht="15" customHeight="1">
      <c r="A624" s="177" t="s">
        <v>417</v>
      </c>
      <c r="B624" s="178"/>
      <c r="C624" s="874" t="s">
        <v>423</v>
      </c>
      <c r="D624" s="875"/>
      <c r="E624" s="876"/>
    </row>
    <row r="625" spans="1:5" s="59" customFormat="1" ht="15" customHeight="1">
      <c r="A625" s="165" t="s">
        <v>424</v>
      </c>
      <c r="B625" s="166"/>
      <c r="C625" s="877" t="s">
        <v>425</v>
      </c>
      <c r="D625" s="878"/>
      <c r="E625" s="879"/>
    </row>
    <row r="626" spans="1:5" s="59" customFormat="1" ht="15" customHeight="1" thickBot="1">
      <c r="A626" s="179" t="s">
        <v>426</v>
      </c>
      <c r="B626" s="180"/>
      <c r="C626" s="880" t="s">
        <v>427</v>
      </c>
      <c r="D626" s="881"/>
      <c r="E626" s="882"/>
    </row>
    <row r="628" spans="1:5" ht="18.75">
      <c r="A628" s="104" t="s">
        <v>429</v>
      </c>
    </row>
    <row r="629" spans="1:5" ht="15.75">
      <c r="A629" s="99" t="s">
        <v>1041</v>
      </c>
    </row>
    <row r="630" spans="1:5" ht="15.75">
      <c r="A630" s="99" t="s">
        <v>1106</v>
      </c>
    </row>
    <row r="632" spans="1:5" s="12" customFormat="1" ht="15.75" thickBot="1">
      <c r="B632" s="29"/>
      <c r="C632" s="28">
        <v>2020</v>
      </c>
      <c r="D632" s="28">
        <v>2019</v>
      </c>
      <c r="E632" s="96"/>
    </row>
    <row r="633" spans="1:5" s="12" customFormat="1">
      <c r="B633" s="29" t="s">
        <v>1107</v>
      </c>
      <c r="C633" s="1">
        <f>178113164+132403056</f>
        <v>310516220</v>
      </c>
      <c r="D633" s="1">
        <v>0</v>
      </c>
      <c r="E633" s="88"/>
    </row>
    <row r="634" spans="1:5" s="12" customFormat="1">
      <c r="B634" s="29" t="s">
        <v>65</v>
      </c>
      <c r="C634" s="1">
        <v>0</v>
      </c>
      <c r="D634" s="1">
        <v>0</v>
      </c>
      <c r="E634" s="10"/>
    </row>
    <row r="635" spans="1:5" s="12" customFormat="1">
      <c r="B635" s="29" t="s">
        <v>431</v>
      </c>
      <c r="C635" s="1">
        <v>388014628</v>
      </c>
      <c r="D635" s="1">
        <v>351761086</v>
      </c>
      <c r="E635" s="10"/>
    </row>
    <row r="636" spans="1:5" s="12" customFormat="1">
      <c r="B636" s="29" t="s">
        <v>1045</v>
      </c>
      <c r="C636" s="87">
        <v>0</v>
      </c>
      <c r="D636" s="800">
        <v>0</v>
      </c>
      <c r="E636" s="88"/>
    </row>
    <row r="637" spans="1:5" s="12" customFormat="1">
      <c r="B637" s="29" t="s">
        <v>430</v>
      </c>
      <c r="C637" s="87">
        <v>0</v>
      </c>
      <c r="D637" s="800">
        <v>0</v>
      </c>
      <c r="E637" s="88"/>
    </row>
    <row r="638" spans="1:5" s="12" customFormat="1" ht="15.75" customHeight="1">
      <c r="B638" s="29" t="s">
        <v>1108</v>
      </c>
      <c r="C638" s="46">
        <f>28120798*3</f>
        <v>84362394</v>
      </c>
      <c r="D638" s="800">
        <v>0</v>
      </c>
      <c r="E638" s="88"/>
    </row>
    <row r="639" spans="1:5" ht="15.75" thickBot="1">
      <c r="B639" s="42" t="s">
        <v>66</v>
      </c>
      <c r="C639" s="13">
        <f>SUM(C633:C638)</f>
        <v>782893242</v>
      </c>
      <c r="D639" s="13">
        <f>SUM(D633:D638)</f>
        <v>351761086</v>
      </c>
      <c r="E639" s="11"/>
    </row>
    <row r="640" spans="1:5" ht="15.75" thickTop="1">
      <c r="B640" s="42"/>
      <c r="C640" s="11"/>
      <c r="D640" s="2"/>
      <c r="E640" s="11"/>
    </row>
    <row r="641" spans="1:5">
      <c r="B641" s="831"/>
      <c r="C641" s="833"/>
      <c r="D641" s="832"/>
      <c r="E641" s="833"/>
    </row>
    <row r="642" spans="1:5">
      <c r="B642" s="831"/>
      <c r="C642" s="833"/>
      <c r="D642" s="832"/>
      <c r="E642" s="833"/>
    </row>
    <row r="643" spans="1:5">
      <c r="B643" s="831"/>
      <c r="C643" s="833"/>
      <c r="D643" s="832"/>
      <c r="E643" s="833"/>
    </row>
    <row r="644" spans="1:5">
      <c r="B644" s="831"/>
      <c r="C644" s="833"/>
      <c r="D644" s="832"/>
      <c r="E644" s="833"/>
    </row>
    <row r="645" spans="1:5">
      <c r="B645" s="831"/>
      <c r="C645" s="833"/>
      <c r="D645" s="832"/>
      <c r="E645" s="833"/>
    </row>
    <row r="646" spans="1:5">
      <c r="B646" s="831"/>
      <c r="C646" s="833"/>
      <c r="D646" s="832"/>
      <c r="E646" s="833"/>
    </row>
    <row r="647" spans="1:5">
      <c r="B647" s="42"/>
      <c r="C647" s="11"/>
      <c r="D647" s="2"/>
      <c r="E647" s="11"/>
    </row>
    <row r="648" spans="1:5">
      <c r="B648" s="783"/>
      <c r="C648" s="787"/>
      <c r="D648" s="785"/>
      <c r="E648" s="787"/>
    </row>
    <row r="649" spans="1:5">
      <c r="B649" s="783"/>
      <c r="C649" s="787"/>
      <c r="D649" s="785"/>
      <c r="E649" s="787"/>
    </row>
    <row r="650" spans="1:5" s="59" customFormat="1" ht="28.5" customHeight="1">
      <c r="A650" s="104" t="s">
        <v>432</v>
      </c>
      <c r="B650" s="57"/>
      <c r="C650" s="58"/>
      <c r="D650" s="58"/>
    </row>
    <row r="651" spans="1:5" s="59" customFormat="1" ht="15" customHeight="1">
      <c r="A651" s="99" t="s">
        <v>433</v>
      </c>
      <c r="B651" s="57"/>
      <c r="C651" s="58"/>
      <c r="D651" s="58"/>
    </row>
    <row r="652" spans="1:5" s="59" customFormat="1" ht="15" customHeight="1">
      <c r="A652" s="99" t="s">
        <v>1109</v>
      </c>
      <c r="B652" s="57"/>
      <c r="C652" s="58"/>
      <c r="D652" s="58"/>
    </row>
    <row r="653" spans="1:5" s="59" customFormat="1" ht="16.5" customHeight="1">
      <c r="A653" s="102" t="s">
        <v>344</v>
      </c>
      <c r="B653" s="57"/>
      <c r="C653" s="58"/>
      <c r="D653" s="58"/>
    </row>
    <row r="654" spans="1:5" s="59" customFormat="1" ht="15" customHeight="1">
      <c r="A654" s="39"/>
      <c r="B654" s="57"/>
      <c r="C654" s="58"/>
      <c r="D654" s="58"/>
    </row>
    <row r="655" spans="1:5" s="59" customFormat="1" ht="15" customHeight="1">
      <c r="A655" s="39"/>
      <c r="B655" s="196" t="s">
        <v>446</v>
      </c>
      <c r="C655" s="58"/>
      <c r="D655" s="58"/>
    </row>
    <row r="656" spans="1:5" s="12" customFormat="1">
      <c r="B656" s="86"/>
      <c r="C656" s="125">
        <v>2020</v>
      </c>
      <c r="D656" s="125">
        <v>2019</v>
      </c>
      <c r="E656" s="863"/>
    </row>
    <row r="657" spans="2:6" s="12" customFormat="1">
      <c r="B657" s="7" t="s">
        <v>67</v>
      </c>
      <c r="C657" s="129">
        <v>0</v>
      </c>
      <c r="D657" s="129">
        <v>4888888892</v>
      </c>
      <c r="E657" s="863"/>
      <c r="F657" s="61"/>
    </row>
    <row r="658" spans="2:6" s="12" customFormat="1">
      <c r="B658" s="7" t="s">
        <v>434</v>
      </c>
      <c r="C658" s="64">
        <v>0</v>
      </c>
      <c r="D658" s="46">
        <v>0</v>
      </c>
      <c r="E658" s="88"/>
      <c r="F658" s="10"/>
    </row>
    <row r="659" spans="2:6" s="12" customFormat="1" ht="15" customHeight="1" thickBot="1">
      <c r="B659" s="42" t="s">
        <v>435</v>
      </c>
      <c r="C659" s="200">
        <f>SUM(C657:C658)</f>
        <v>0</v>
      </c>
      <c r="D659" s="200">
        <f>SUM(D657:D658)</f>
        <v>4888888892</v>
      </c>
      <c r="E659" s="788"/>
      <c r="F659" s="61"/>
    </row>
    <row r="660" spans="2:6" s="12" customFormat="1">
      <c r="B660" s="63"/>
      <c r="C660" s="64"/>
      <c r="D660" s="65"/>
      <c r="E660" s="88"/>
      <c r="F660" s="10"/>
    </row>
    <row r="661" spans="2:6" s="12" customFormat="1">
      <c r="B661" s="195" t="s">
        <v>436</v>
      </c>
      <c r="C661" s="64"/>
      <c r="D661" s="65"/>
      <c r="E661" s="88"/>
      <c r="F661" s="10"/>
    </row>
    <row r="662" spans="2:6" s="12" customFormat="1">
      <c r="B662" s="7" t="s">
        <v>437</v>
      </c>
      <c r="C662" s="64">
        <v>153311317</v>
      </c>
      <c r="D662" s="64">
        <v>144995768</v>
      </c>
      <c r="E662" s="88"/>
      <c r="F662" s="10"/>
    </row>
    <row r="663" spans="2:6" s="12" customFormat="1">
      <c r="B663" s="7" t="s">
        <v>438</v>
      </c>
      <c r="C663" s="64">
        <v>0</v>
      </c>
      <c r="D663" s="64">
        <v>0</v>
      </c>
      <c r="E663" s="88"/>
      <c r="F663" s="10"/>
    </row>
    <row r="664" spans="2:6" s="12" customFormat="1" ht="15" customHeight="1">
      <c r="B664" s="29" t="s">
        <v>439</v>
      </c>
      <c r="C664" s="64">
        <v>0</v>
      </c>
      <c r="D664" s="64">
        <v>0</v>
      </c>
      <c r="E664" s="862"/>
    </row>
    <row r="665" spans="2:6" s="12" customFormat="1" ht="15.75" thickBot="1">
      <c r="B665" s="5" t="s">
        <v>440</v>
      </c>
      <c r="C665" s="200">
        <f>SUM(C662:C664)</f>
        <v>153311317</v>
      </c>
      <c r="D665" s="200">
        <f>SUM(D662:D664)</f>
        <v>144995768</v>
      </c>
      <c r="E665" s="862"/>
    </row>
    <row r="666" spans="2:6" s="12" customFormat="1">
      <c r="B666" s="63"/>
      <c r="C666" s="64"/>
      <c r="D666" s="10"/>
      <c r="E666" s="862"/>
    </row>
    <row r="667" spans="2:6" s="12" customFormat="1" ht="16.5" customHeight="1">
      <c r="B667" s="195" t="s">
        <v>441</v>
      </c>
      <c r="C667" s="64"/>
      <c r="D667" s="11"/>
      <c r="E667" s="9"/>
    </row>
    <row r="668" spans="2:6" s="12" customFormat="1" ht="12.75" customHeight="1">
      <c r="B668" s="7"/>
      <c r="C668" s="64"/>
      <c r="D668" s="11"/>
      <c r="E668" s="9"/>
    </row>
    <row r="669" spans="2:6" s="12" customFormat="1" ht="16.5" customHeight="1">
      <c r="B669" s="7" t="s">
        <v>442</v>
      </c>
      <c r="C669" s="64">
        <v>0</v>
      </c>
      <c r="D669" s="64">
        <v>0</v>
      </c>
      <c r="E669" s="88"/>
    </row>
    <row r="670" spans="2:6" s="12" customFormat="1">
      <c r="B670" s="7" t="s">
        <v>443</v>
      </c>
      <c r="C670" s="197">
        <v>0</v>
      </c>
      <c r="D670" s="197">
        <v>0</v>
      </c>
    </row>
    <row r="671" spans="2:6" s="12" customFormat="1">
      <c r="B671" s="7" t="s">
        <v>1046</v>
      </c>
      <c r="C671" s="64">
        <v>17144685</v>
      </c>
      <c r="D671" s="64">
        <v>0</v>
      </c>
    </row>
    <row r="672" spans="2:6" s="12" customFormat="1">
      <c r="B672" s="7" t="s">
        <v>448</v>
      </c>
      <c r="C672" s="64">
        <v>0</v>
      </c>
      <c r="D672" s="64">
        <v>0</v>
      </c>
    </row>
    <row r="673" spans="1:5" s="12" customFormat="1">
      <c r="B673" s="7" t="s">
        <v>444</v>
      </c>
      <c r="C673" s="64">
        <v>0</v>
      </c>
      <c r="D673" s="64">
        <v>0</v>
      </c>
    </row>
    <row r="674" spans="1:5" s="12" customFormat="1" ht="15.75" thickBot="1">
      <c r="B674" s="5" t="s">
        <v>445</v>
      </c>
      <c r="C674" s="200">
        <f>SUM(C669:C673)</f>
        <v>17144685</v>
      </c>
      <c r="D674" s="200">
        <f>SUM(D669:D673)</f>
        <v>0</v>
      </c>
    </row>
    <row r="675" spans="1:5" s="12" customFormat="1">
      <c r="B675" s="5"/>
      <c r="C675" s="64"/>
      <c r="D675" s="199"/>
    </row>
    <row r="676" spans="1:5" s="12" customFormat="1" ht="30.75" thickBot="1">
      <c r="B676" s="5" t="s">
        <v>447</v>
      </c>
      <c r="C676" s="198">
        <f>C659+C665+C674</f>
        <v>170456002</v>
      </c>
      <c r="D676" s="198">
        <f>D659+D665+D674</f>
        <v>5033884660</v>
      </c>
    </row>
    <row r="677" spans="1:5" s="12" customFormat="1" ht="15.75" thickTop="1">
      <c r="B677" s="60"/>
      <c r="C677" s="194"/>
      <c r="D677" s="11"/>
    </row>
    <row r="678" spans="1:5" s="12" customFormat="1">
      <c r="B678" s="60"/>
      <c r="C678" s="194"/>
      <c r="D678" s="11"/>
    </row>
    <row r="679" spans="1:5" s="12" customFormat="1" ht="18.75">
      <c r="A679" s="113" t="s">
        <v>449</v>
      </c>
      <c r="B679" s="60"/>
      <c r="C679" s="194"/>
      <c r="D679" s="11"/>
    </row>
    <row r="680" spans="1:5" s="12" customFormat="1" ht="15.75">
      <c r="A680" s="99" t="s">
        <v>450</v>
      </c>
      <c r="B680" s="60"/>
      <c r="C680" s="194"/>
      <c r="D680" s="11"/>
    </row>
    <row r="681" spans="1:5" s="12" customFormat="1" ht="16.5">
      <c r="A681" s="150" t="s">
        <v>1110</v>
      </c>
      <c r="B681" s="60"/>
      <c r="C681" s="194"/>
      <c r="D681" s="11"/>
    </row>
    <row r="682" spans="1:5" s="12" customFormat="1" ht="15.75">
      <c r="A682" s="99" t="s">
        <v>451</v>
      </c>
      <c r="B682" s="60"/>
      <c r="C682" s="194"/>
      <c r="D682" s="11"/>
    </row>
    <row r="683" spans="1:5" s="12" customFormat="1">
      <c r="B683" s="60"/>
      <c r="C683" s="194"/>
      <c r="D683" s="11"/>
    </row>
    <row r="684" spans="1:5" s="12" customFormat="1" ht="15.75" thickBot="1">
      <c r="B684" s="31"/>
      <c r="C684" s="28">
        <v>2020</v>
      </c>
      <c r="D684" s="28">
        <v>2019</v>
      </c>
      <c r="E684" s="66"/>
    </row>
    <row r="685" spans="1:5" s="12" customFormat="1">
      <c r="B685" s="26" t="s">
        <v>437</v>
      </c>
      <c r="C685" s="1">
        <v>2527991125</v>
      </c>
      <c r="D685" s="1">
        <v>276305096</v>
      </c>
      <c r="E685" s="67"/>
    </row>
    <row r="686" spans="1:5" s="12" customFormat="1">
      <c r="B686" s="26" t="s">
        <v>68</v>
      </c>
      <c r="C686" s="1">
        <v>0</v>
      </c>
      <c r="D686" s="1">
        <v>0</v>
      </c>
      <c r="E686" s="67"/>
    </row>
    <row r="687" spans="1:5" s="12" customFormat="1">
      <c r="B687" s="26" t="s">
        <v>438</v>
      </c>
      <c r="C687" s="1">
        <v>6833497</v>
      </c>
      <c r="D687" s="1">
        <v>6418131</v>
      </c>
      <c r="E687" s="67"/>
    </row>
    <row r="688" spans="1:5" s="12" customFormat="1">
      <c r="B688" s="26" t="s">
        <v>69</v>
      </c>
      <c r="C688" s="1">
        <v>365181089</v>
      </c>
      <c r="D688" s="1">
        <v>693558261</v>
      </c>
      <c r="E688" s="67"/>
    </row>
    <row r="689" spans="2:5" s="12" customFormat="1">
      <c r="B689" s="26" t="s">
        <v>70</v>
      </c>
      <c r="C689" s="1">
        <v>0</v>
      </c>
      <c r="D689" s="1">
        <v>0</v>
      </c>
      <c r="E689" s="67"/>
    </row>
    <row r="690" spans="2:5" s="12" customFormat="1">
      <c r="B690" s="26" t="s">
        <v>452</v>
      </c>
      <c r="C690" s="87">
        <v>0</v>
      </c>
      <c r="D690" s="800">
        <v>0</v>
      </c>
      <c r="E690" s="67"/>
    </row>
    <row r="691" spans="2:5" s="12" customFormat="1" ht="30.75" thickBot="1">
      <c r="B691" s="783" t="s">
        <v>1049</v>
      </c>
      <c r="C691" s="148">
        <f>SUM(C685:C690)</f>
        <v>2900005711</v>
      </c>
      <c r="D691" s="148">
        <f>SUM(D685:D690)</f>
        <v>976281488</v>
      </c>
      <c r="E691" s="69"/>
    </row>
    <row r="692" spans="2:5" s="12" customFormat="1" ht="15.75" thickTop="1">
      <c r="B692" s="201"/>
      <c r="C692" s="9"/>
      <c r="D692" s="9"/>
      <c r="E692" s="9"/>
    </row>
    <row r="693" spans="2:5" s="12" customFormat="1">
      <c r="B693" s="201"/>
      <c r="C693" s="11"/>
      <c r="D693" s="11"/>
      <c r="E693" s="11"/>
    </row>
    <row r="694" spans="2:5" s="12" customFormat="1">
      <c r="B694" s="60"/>
      <c r="C694" s="194"/>
      <c r="D694" s="11"/>
    </row>
    <row r="695" spans="2:5" s="12" customFormat="1">
      <c r="B695" s="60"/>
      <c r="C695" s="194"/>
      <c r="D695" s="11"/>
    </row>
    <row r="696" spans="2:5" s="12" customFormat="1">
      <c r="B696" s="60"/>
      <c r="C696" s="194"/>
      <c r="D696" s="11"/>
    </row>
    <row r="697" spans="2:5" s="12" customFormat="1">
      <c r="B697" s="60"/>
      <c r="C697" s="194"/>
      <c r="D697" s="11"/>
    </row>
    <row r="698" spans="2:5" s="12" customFormat="1">
      <c r="B698" s="60"/>
      <c r="C698" s="194"/>
      <c r="D698" s="11"/>
    </row>
    <row r="699" spans="2:5" s="12" customFormat="1">
      <c r="B699" s="60"/>
      <c r="C699" s="194"/>
      <c r="D699" s="11"/>
    </row>
    <row r="700" spans="2:5" s="12" customFormat="1">
      <c r="B700" s="60"/>
      <c r="C700" s="194"/>
      <c r="D700" s="11"/>
    </row>
    <row r="701" spans="2:5" s="12" customFormat="1">
      <c r="B701" s="60"/>
      <c r="C701" s="194"/>
      <c r="D701" s="11"/>
    </row>
    <row r="702" spans="2:5" s="12" customFormat="1">
      <c r="B702" s="60"/>
      <c r="C702" s="194"/>
      <c r="D702" s="787"/>
    </row>
    <row r="703" spans="2:5" s="12" customFormat="1">
      <c r="B703" s="60"/>
      <c r="C703" s="194"/>
      <c r="D703" s="787"/>
    </row>
    <row r="704" spans="2:5" s="12" customFormat="1">
      <c r="B704" s="60"/>
      <c r="C704" s="194"/>
      <c r="D704" s="833"/>
    </row>
    <row r="705" spans="1:4" s="12" customFormat="1" ht="24.75" customHeight="1">
      <c r="B705" s="60"/>
      <c r="C705" s="194"/>
      <c r="D705" s="833"/>
    </row>
    <row r="706" spans="1:4" s="12" customFormat="1">
      <c r="B706" s="60"/>
      <c r="C706" s="194"/>
      <c r="D706" s="833"/>
    </row>
    <row r="707" spans="1:4" s="114" customFormat="1" ht="13.5" customHeight="1">
      <c r="A707" s="104" t="s">
        <v>460</v>
      </c>
    </row>
    <row r="708" spans="1:4" s="114" customFormat="1" ht="21" customHeight="1">
      <c r="A708" s="150" t="s">
        <v>453</v>
      </c>
    </row>
    <row r="709" spans="1:4" s="114" customFormat="1" ht="15" customHeight="1">
      <c r="A709" s="102" t="s">
        <v>1111</v>
      </c>
      <c r="B709" s="203"/>
      <c r="C709" s="204"/>
      <c r="D709" s="204"/>
    </row>
    <row r="710" spans="1:4" s="114" customFormat="1" ht="12.75" customHeight="1"/>
    <row r="711" spans="1:4" s="114" customFormat="1">
      <c r="B711" s="70" t="s">
        <v>71</v>
      </c>
      <c r="C711" s="70">
        <v>2020</v>
      </c>
      <c r="D711" s="70">
        <v>2019</v>
      </c>
    </row>
    <row r="712" spans="1:4" s="114" customFormat="1">
      <c r="B712" s="26" t="s">
        <v>1047</v>
      </c>
      <c r="C712" s="36">
        <v>0</v>
      </c>
      <c r="D712" s="36">
        <v>0</v>
      </c>
    </row>
    <row r="713" spans="1:4" s="114" customFormat="1">
      <c r="B713" s="26" t="s">
        <v>459</v>
      </c>
      <c r="C713" s="36">
        <v>0</v>
      </c>
      <c r="D713" s="36">
        <v>5923883000</v>
      </c>
    </row>
    <row r="714" spans="1:4" s="114" customFormat="1">
      <c r="B714" s="26" t="s">
        <v>72</v>
      </c>
      <c r="C714" s="36">
        <v>10882023000</v>
      </c>
      <c r="D714" s="36">
        <v>8930601681</v>
      </c>
    </row>
    <row r="715" spans="1:4" s="114" customFormat="1">
      <c r="B715" s="26" t="s">
        <v>454</v>
      </c>
      <c r="C715" s="36">
        <v>0</v>
      </c>
      <c r="D715" s="36">
        <v>0</v>
      </c>
    </row>
    <row r="716" spans="1:4" s="114" customFormat="1">
      <c r="B716" s="26" t="s">
        <v>455</v>
      </c>
      <c r="C716" s="36">
        <v>0</v>
      </c>
      <c r="D716" s="36">
        <v>0</v>
      </c>
    </row>
    <row r="717" spans="1:4" s="114" customFormat="1">
      <c r="B717" s="26" t="s">
        <v>456</v>
      </c>
      <c r="C717" s="36">
        <v>0</v>
      </c>
      <c r="D717" s="36">
        <v>0</v>
      </c>
    </row>
    <row r="718" spans="1:4" s="114" customFormat="1">
      <c r="B718" s="26" t="s">
        <v>74</v>
      </c>
      <c r="C718" s="36">
        <v>0</v>
      </c>
      <c r="D718" s="36">
        <v>0</v>
      </c>
    </row>
    <row r="719" spans="1:4" s="114" customFormat="1">
      <c r="B719" s="26" t="s">
        <v>73</v>
      </c>
      <c r="C719" s="36">
        <v>1268913611</v>
      </c>
      <c r="D719" s="36">
        <f>2556247635+247860</f>
        <v>2556495495</v>
      </c>
    </row>
    <row r="720" spans="1:4" s="114" customFormat="1">
      <c r="B720" s="26" t="s">
        <v>457</v>
      </c>
      <c r="C720" s="36">
        <v>135900</v>
      </c>
      <c r="D720" s="36">
        <v>310800</v>
      </c>
    </row>
    <row r="721" spans="1:6" s="114" customFormat="1">
      <c r="B721" s="26" t="s">
        <v>16</v>
      </c>
      <c r="C721" s="36">
        <v>317100</v>
      </c>
      <c r="D721" s="36">
        <v>1709400</v>
      </c>
    </row>
    <row r="722" spans="1:6" s="114" customFormat="1">
      <c r="B722" s="26" t="s">
        <v>458</v>
      </c>
      <c r="C722" s="36">
        <v>0</v>
      </c>
      <c r="D722" s="36">
        <v>0</v>
      </c>
    </row>
    <row r="723" spans="1:6" ht="15.75" thickBot="1">
      <c r="B723" s="31" t="s">
        <v>75</v>
      </c>
      <c r="C723" s="37">
        <f>SUM(C712:C722)</f>
        <v>12151389611</v>
      </c>
      <c r="D723" s="207">
        <f>SUM(D712:D722)</f>
        <v>17413000376</v>
      </c>
    </row>
    <row r="724" spans="1:6" ht="15.75" thickTop="1">
      <c r="B724" s="31"/>
      <c r="C724" s="69"/>
      <c r="D724" s="69"/>
    </row>
    <row r="725" spans="1:6" s="59" customFormat="1" ht="15.75" customHeight="1">
      <c r="A725" s="104" t="s">
        <v>461</v>
      </c>
      <c r="B725" s="57"/>
      <c r="C725" s="58"/>
      <c r="D725" s="58"/>
    </row>
    <row r="726" spans="1:6" s="59" customFormat="1" ht="15.75" customHeight="1">
      <c r="A726" s="104"/>
      <c r="B726" s="57"/>
      <c r="C726" s="58"/>
      <c r="D726" s="58"/>
    </row>
    <row r="727" spans="1:6" s="223" customFormat="1" ht="16.5">
      <c r="A727" s="150" t="s">
        <v>462</v>
      </c>
      <c r="B727" s="224"/>
      <c r="C727" s="224"/>
      <c r="D727" s="224"/>
      <c r="E727" s="224"/>
      <c r="F727" s="225"/>
    </row>
    <row r="728" spans="1:6" s="223" customFormat="1" ht="16.5">
      <c r="A728" s="150" t="s">
        <v>463</v>
      </c>
      <c r="B728" s="224"/>
      <c r="C728" s="224"/>
      <c r="D728" s="224"/>
      <c r="E728" s="224"/>
      <c r="F728" s="225"/>
    </row>
    <row r="729" spans="1:6" s="223" customFormat="1" ht="16.5">
      <c r="A729" s="226" t="s">
        <v>1112</v>
      </c>
      <c r="B729" s="224"/>
      <c r="C729" s="224"/>
      <c r="D729" s="224"/>
      <c r="E729" s="224"/>
      <c r="F729" s="225"/>
    </row>
    <row r="730" spans="1:6" s="223" customFormat="1" ht="17.25" thickBot="1">
      <c r="A730" s="226"/>
      <c r="B730" s="224"/>
      <c r="C730" s="224"/>
      <c r="D730" s="227">
        <v>2020</v>
      </c>
      <c r="E730" s="227">
        <v>2019</v>
      </c>
      <c r="F730" s="225"/>
    </row>
    <row r="731" spans="1:6" s="114" customFormat="1">
      <c r="A731" s="210" t="s">
        <v>76</v>
      </c>
      <c r="B731" s="211" t="s">
        <v>77</v>
      </c>
      <c r="C731" s="212" t="s">
        <v>78</v>
      </c>
      <c r="D731" s="212" t="s">
        <v>79</v>
      </c>
      <c r="E731" s="213" t="s">
        <v>79</v>
      </c>
      <c r="F731" s="208"/>
    </row>
    <row r="732" spans="1:6" s="114" customFormat="1">
      <c r="A732" s="214" t="s">
        <v>80</v>
      </c>
      <c r="B732" s="215">
        <v>0</v>
      </c>
      <c r="C732" s="216">
        <v>0</v>
      </c>
      <c r="D732" s="791">
        <f t="shared" ref="D732:E738" si="0">B732+C732</f>
        <v>0</v>
      </c>
      <c r="E732" s="791">
        <f t="shared" si="0"/>
        <v>0</v>
      </c>
      <c r="F732" s="209"/>
    </row>
    <row r="733" spans="1:6" s="114" customFormat="1">
      <c r="A733" s="214" t="s">
        <v>81</v>
      </c>
      <c r="B733" s="222">
        <v>0</v>
      </c>
      <c r="C733" s="216">
        <v>0</v>
      </c>
      <c r="D733" s="791">
        <f t="shared" si="0"/>
        <v>0</v>
      </c>
      <c r="E733" s="791">
        <v>1000000000</v>
      </c>
      <c r="F733" s="208"/>
    </row>
    <row r="734" spans="1:6" s="114" customFormat="1">
      <c r="A734" s="214" t="s">
        <v>82</v>
      </c>
      <c r="B734" s="222">
        <v>0</v>
      </c>
      <c r="C734" s="216">
        <v>0</v>
      </c>
      <c r="D734" s="791">
        <f t="shared" si="0"/>
        <v>0</v>
      </c>
      <c r="E734" s="791">
        <v>1000000000</v>
      </c>
      <c r="F734" s="208"/>
    </row>
    <row r="735" spans="1:6" s="114" customFormat="1">
      <c r="A735" s="214" t="s">
        <v>83</v>
      </c>
      <c r="B735" s="222">
        <v>0</v>
      </c>
      <c r="C735" s="216">
        <v>0</v>
      </c>
      <c r="D735" s="791">
        <f t="shared" si="0"/>
        <v>0</v>
      </c>
      <c r="E735" s="791">
        <v>1000000000</v>
      </c>
      <c r="F735" s="208"/>
    </row>
    <row r="736" spans="1:6" s="114" customFormat="1">
      <c r="A736" s="214" t="s">
        <v>84</v>
      </c>
      <c r="B736" s="222">
        <v>0</v>
      </c>
      <c r="C736" s="216">
        <v>0</v>
      </c>
      <c r="D736" s="791">
        <f t="shared" si="0"/>
        <v>0</v>
      </c>
      <c r="E736" s="791">
        <v>1000000000</v>
      </c>
      <c r="F736" s="208"/>
    </row>
    <row r="737" spans="1:6" s="114" customFormat="1">
      <c r="A737" s="214" t="s">
        <v>85</v>
      </c>
      <c r="B737" s="222">
        <v>1000000000</v>
      </c>
      <c r="C737" s="222">
        <v>0</v>
      </c>
      <c r="D737" s="791">
        <f t="shared" si="0"/>
        <v>1000000000</v>
      </c>
      <c r="E737" s="791">
        <v>1000000000</v>
      </c>
      <c r="F737" s="208"/>
    </row>
    <row r="738" spans="1:6" s="114" customFormat="1">
      <c r="A738" s="214" t="s">
        <v>86</v>
      </c>
      <c r="B738" s="222">
        <v>1000000000</v>
      </c>
      <c r="C738" s="222">
        <v>0</v>
      </c>
      <c r="D738" s="791">
        <f t="shared" si="0"/>
        <v>1000000000</v>
      </c>
      <c r="E738" s="791">
        <v>1000000000</v>
      </c>
      <c r="F738" s="208"/>
    </row>
    <row r="739" spans="1:6" s="114" customFormat="1" ht="13.5" customHeight="1" thickBot="1">
      <c r="A739" s="217" t="s">
        <v>79</v>
      </c>
      <c r="B739" s="218">
        <f>SUM(B732:B738)</f>
        <v>2000000000</v>
      </c>
      <c r="C739" s="219">
        <f>SUM(C732:C738)</f>
        <v>0</v>
      </c>
      <c r="D739" s="220">
        <f>SUM(D732:D738)</f>
        <v>2000000000</v>
      </c>
      <c r="E739" s="221">
        <f>SUM(E732:E738)</f>
        <v>6000000000</v>
      </c>
    </row>
    <row r="740" spans="1:6" s="114" customFormat="1" ht="13.5" customHeight="1"/>
    <row r="741" spans="1:6" s="114" customFormat="1" ht="13.5" customHeight="1"/>
    <row r="742" spans="1:6" s="114" customFormat="1" ht="18.75">
      <c r="A742" s="228" t="s">
        <v>465</v>
      </c>
    </row>
    <row r="743" spans="1:6" s="223" customFormat="1" ht="16.5">
      <c r="A743" s="232" t="s">
        <v>466</v>
      </c>
    </row>
    <row r="744" spans="1:6" s="114" customFormat="1" ht="15.75">
      <c r="A744" s="231" t="s">
        <v>467</v>
      </c>
    </row>
    <row r="745" spans="1:6" s="114" customFormat="1" ht="15.75">
      <c r="A745" s="231" t="s">
        <v>1113</v>
      </c>
    </row>
    <row r="747" spans="1:6" ht="15.75" thickBot="1">
      <c r="B747" s="233" t="s">
        <v>464</v>
      </c>
      <c r="C747" s="234">
        <v>2020</v>
      </c>
      <c r="D747" s="234">
        <v>2019</v>
      </c>
    </row>
    <row r="748" spans="1:6">
      <c r="B748" s="235"/>
      <c r="C748" s="243"/>
      <c r="D748" s="243"/>
    </row>
    <row r="749" spans="1:6">
      <c r="B749" s="236" t="s">
        <v>87</v>
      </c>
      <c r="C749" s="237">
        <v>55544333</v>
      </c>
      <c r="D749" s="237">
        <v>2855742</v>
      </c>
    </row>
    <row r="750" spans="1:6">
      <c r="B750" s="236" t="s">
        <v>468</v>
      </c>
      <c r="C750" s="237">
        <v>434672115</v>
      </c>
      <c r="D750" s="237">
        <v>356862822</v>
      </c>
    </row>
    <row r="751" spans="1:6">
      <c r="B751" s="236" t="s">
        <v>88</v>
      </c>
      <c r="C751" s="237">
        <f>577519736+99944</f>
        <v>577619680</v>
      </c>
      <c r="D751" s="237">
        <v>548314090</v>
      </c>
    </row>
    <row r="752" spans="1:6" s="12" customFormat="1">
      <c r="B752" s="236" t="s">
        <v>89</v>
      </c>
      <c r="C752" s="237">
        <v>224866066</v>
      </c>
      <c r="D752" s="237">
        <v>204472570</v>
      </c>
    </row>
    <row r="753" spans="2:4" s="12" customFormat="1">
      <c r="B753" s="236" t="s">
        <v>90</v>
      </c>
      <c r="C753" s="239">
        <v>184099878</v>
      </c>
      <c r="D753" s="239">
        <v>97378747</v>
      </c>
    </row>
    <row r="754" spans="2:4" s="12" customFormat="1">
      <c r="B754" s="235" t="s">
        <v>469</v>
      </c>
      <c r="C754" s="240">
        <f>SUM(C749:C753)</f>
        <v>1476802072</v>
      </c>
      <c r="D754" s="240">
        <f>SUM(D749:D753)</f>
        <v>1209883971</v>
      </c>
    </row>
    <row r="755" spans="2:4" s="12" customFormat="1">
      <c r="B755" s="235" t="s">
        <v>470</v>
      </c>
      <c r="C755" s="241"/>
      <c r="D755" s="241"/>
    </row>
    <row r="756" spans="2:4" s="12" customFormat="1">
      <c r="B756" s="236" t="s">
        <v>471</v>
      </c>
      <c r="C756" s="239">
        <v>1716629332</v>
      </c>
      <c r="D756" s="239">
        <v>516629332</v>
      </c>
    </row>
    <row r="757" spans="2:4" s="12" customFormat="1" ht="15.75" thickBot="1">
      <c r="B757" s="238" t="s">
        <v>472</v>
      </c>
      <c r="C757" s="242">
        <f>SUM(C756)</f>
        <v>1716629332</v>
      </c>
      <c r="D757" s="242">
        <f>SUM(D756)</f>
        <v>516629332</v>
      </c>
    </row>
    <row r="758" spans="2:4" s="12" customFormat="1" ht="15.75" thickBot="1">
      <c r="B758" s="238" t="s">
        <v>79</v>
      </c>
      <c r="C758" s="242">
        <f>C754+C757</f>
        <v>3193431404</v>
      </c>
      <c r="D758" s="242">
        <f>D757+D754</f>
        <v>1726513303</v>
      </c>
    </row>
    <row r="759" spans="2:4" s="12" customFormat="1">
      <c r="B759" s="229"/>
      <c r="C759" s="130"/>
      <c r="D759" s="130"/>
    </row>
    <row r="760" spans="2:4" s="12" customFormat="1">
      <c r="B760" s="229"/>
      <c r="C760" s="130"/>
      <c r="D760" s="130"/>
    </row>
    <row r="761" spans="2:4" s="12" customFormat="1">
      <c r="B761" s="229"/>
      <c r="C761" s="130"/>
      <c r="D761" s="130"/>
    </row>
    <row r="762" spans="2:4" s="12" customFormat="1">
      <c r="B762" s="229"/>
      <c r="C762" s="130"/>
      <c r="D762" s="130"/>
    </row>
    <row r="763" spans="2:4" s="12" customFormat="1">
      <c r="B763" s="229"/>
      <c r="C763" s="130"/>
      <c r="D763" s="130"/>
    </row>
    <row r="764" spans="2:4" s="12" customFormat="1">
      <c r="B764" s="229"/>
      <c r="C764" s="130"/>
      <c r="D764" s="130"/>
    </row>
    <row r="765" spans="2:4" s="12" customFormat="1">
      <c r="B765" s="229"/>
      <c r="C765" s="130"/>
      <c r="D765" s="130"/>
    </row>
    <row r="766" spans="2:4" s="12" customFormat="1">
      <c r="B766" s="229"/>
      <c r="C766" s="130"/>
      <c r="D766" s="130"/>
    </row>
    <row r="767" spans="2:4" s="12" customFormat="1" ht="7.5" customHeight="1">
      <c r="B767" s="229"/>
      <c r="C767" s="130"/>
      <c r="D767" s="130"/>
    </row>
    <row r="768" spans="2:4" s="12" customFormat="1">
      <c r="B768" s="229"/>
      <c r="C768" s="130"/>
      <c r="D768" s="130"/>
    </row>
    <row r="769" spans="1:4" s="12" customFormat="1" ht="18.75">
      <c r="A769" s="104" t="s">
        <v>473</v>
      </c>
      <c r="B769" s="230"/>
      <c r="C769" s="206"/>
      <c r="D769" s="206"/>
    </row>
    <row r="770" spans="1:4" s="12" customFormat="1" ht="16.5">
      <c r="A770" s="150" t="s">
        <v>474</v>
      </c>
      <c r="B770" s="230"/>
      <c r="C770" s="206"/>
      <c r="D770" s="206"/>
    </row>
    <row r="771" spans="1:4" s="12" customFormat="1" ht="15.75">
      <c r="A771" s="99" t="s">
        <v>475</v>
      </c>
      <c r="B771" s="230"/>
      <c r="C771" s="206"/>
      <c r="D771" s="206"/>
    </row>
    <row r="772" spans="1:4" s="12" customFormat="1" ht="15" customHeight="1">
      <c r="A772" s="102" t="s">
        <v>1114</v>
      </c>
      <c r="B772" s="230"/>
      <c r="C772" s="206"/>
      <c r="D772" s="206"/>
    </row>
    <row r="774" spans="1:4" s="12" customFormat="1" ht="15.75" thickBot="1">
      <c r="B774" s="70" t="s">
        <v>91</v>
      </c>
      <c r="C774" s="85">
        <v>2020</v>
      </c>
      <c r="D774" s="85">
        <v>2019</v>
      </c>
    </row>
    <row r="775" spans="1:4" s="12" customFormat="1">
      <c r="B775" s="26" t="s">
        <v>476</v>
      </c>
      <c r="C775" s="202">
        <v>0</v>
      </c>
      <c r="D775" s="202">
        <v>0</v>
      </c>
    </row>
    <row r="776" spans="1:4" s="12" customFormat="1">
      <c r="B776" s="26" t="s">
        <v>93</v>
      </c>
      <c r="C776" s="244">
        <v>10838499650</v>
      </c>
      <c r="D776" s="244">
        <v>12499957950</v>
      </c>
    </row>
    <row r="777" spans="1:4" s="12" customFormat="1">
      <c r="B777" s="26" t="s">
        <v>94</v>
      </c>
      <c r="C777" s="244">
        <v>33431198407</v>
      </c>
      <c r="D777" s="244">
        <v>32314214316</v>
      </c>
    </row>
    <row r="778" spans="1:4" s="12" customFormat="1">
      <c r="B778" s="26" t="s">
        <v>95</v>
      </c>
      <c r="C778" s="244">
        <v>364000000</v>
      </c>
      <c r="D778" s="244">
        <v>336000000</v>
      </c>
    </row>
    <row r="779" spans="1:4" s="12" customFormat="1">
      <c r="B779" s="26" t="s">
        <v>96</v>
      </c>
      <c r="C779" s="244">
        <v>5984070160</v>
      </c>
      <c r="D779" s="244">
        <v>6915117120</v>
      </c>
    </row>
    <row r="780" spans="1:4" s="12" customFormat="1">
      <c r="B780" s="26" t="s">
        <v>97</v>
      </c>
      <c r="C780" s="244">
        <v>3033000000</v>
      </c>
      <c r="D780" s="244">
        <v>3033000000</v>
      </c>
    </row>
    <row r="781" spans="1:4" s="12" customFormat="1">
      <c r="B781" s="26" t="s">
        <v>477</v>
      </c>
      <c r="C781" s="244">
        <v>1743447500</v>
      </c>
      <c r="D781" s="244">
        <v>1652634600</v>
      </c>
    </row>
    <row r="782" spans="1:4" s="12" customFormat="1" ht="15.75" thickBot="1">
      <c r="B782" s="72" t="s">
        <v>92</v>
      </c>
      <c r="C782" s="245">
        <v>14099747887</v>
      </c>
      <c r="D782" s="245">
        <v>1126440043</v>
      </c>
    </row>
    <row r="783" spans="1:4" s="12" customFormat="1" ht="15.75" thickBot="1">
      <c r="B783" s="68" t="s">
        <v>478</v>
      </c>
      <c r="C783" s="246">
        <f>SUM(C775:C782)</f>
        <v>69493963604</v>
      </c>
      <c r="D783" s="246">
        <f>SUM(D775:D782)</f>
        <v>57877364029</v>
      </c>
    </row>
    <row r="784" spans="1:4" s="12" customFormat="1">
      <c r="B784" s="230"/>
      <c r="C784" s="69"/>
      <c r="D784" s="69"/>
    </row>
    <row r="785" spans="1:4" s="12" customFormat="1" ht="18.75">
      <c r="A785" s="104" t="s">
        <v>479</v>
      </c>
      <c r="B785" s="230"/>
      <c r="C785" s="69"/>
      <c r="D785" s="69"/>
    </row>
    <row r="786" spans="1:4" s="12" customFormat="1" ht="14.25" customHeight="1">
      <c r="A786" s="150" t="s">
        <v>480</v>
      </c>
    </row>
    <row r="787" spans="1:4" s="12" customFormat="1" ht="16.5">
      <c r="A787" s="150" t="s">
        <v>481</v>
      </c>
    </row>
    <row r="788" spans="1:4" s="12" customFormat="1"/>
    <row r="789" spans="1:4" s="12" customFormat="1">
      <c r="B789" s="847" t="s">
        <v>99</v>
      </c>
      <c r="C789" s="847">
        <v>2020</v>
      </c>
      <c r="D789" s="847">
        <v>2019</v>
      </c>
    </row>
    <row r="790" spans="1:4" s="12" customFormat="1" ht="15.75" thickBot="1">
      <c r="B790" s="847"/>
      <c r="C790" s="864"/>
      <c r="D790" s="864"/>
    </row>
    <row r="791" spans="1:4" s="12" customFormat="1">
      <c r="B791" s="7" t="s">
        <v>100</v>
      </c>
      <c r="C791" s="46">
        <v>3343816000</v>
      </c>
      <c r="D791" s="46">
        <v>1260000000</v>
      </c>
    </row>
    <row r="792" spans="1:4" s="12" customFormat="1" ht="15.75" thickBot="1">
      <c r="B792" s="7" t="s">
        <v>101</v>
      </c>
      <c r="C792" s="46">
        <v>3500000000</v>
      </c>
      <c r="D792" s="46">
        <v>4760000000</v>
      </c>
    </row>
    <row r="793" spans="1:4" s="12" customFormat="1" ht="30.75" thickBot="1">
      <c r="B793" s="5" t="s">
        <v>98</v>
      </c>
      <c r="C793" s="53">
        <f>SUM(C791:C792)</f>
        <v>6843816000</v>
      </c>
      <c r="D793" s="53">
        <f>SUM(D791:D792)</f>
        <v>6020000000</v>
      </c>
    </row>
    <row r="794" spans="1:4" s="12" customFormat="1" ht="15.75" thickTop="1"/>
    <row r="795" spans="1:4" ht="14.25" customHeight="1"/>
    <row r="796" spans="1:4" ht="14.25" customHeight="1">
      <c r="A796" s="247" t="s">
        <v>482</v>
      </c>
    </row>
    <row r="797" spans="1:4" ht="14.25" customHeight="1">
      <c r="A797" s="232" t="s">
        <v>483</v>
      </c>
    </row>
    <row r="798" spans="1:4" ht="14.25" customHeight="1">
      <c r="A798" s="231" t="s">
        <v>484</v>
      </c>
    </row>
    <row r="799" spans="1:4" ht="14.25" customHeight="1">
      <c r="A799" s="249" t="s">
        <v>1115</v>
      </c>
    </row>
    <row r="800" spans="1:4" s="12" customFormat="1" ht="14.25" customHeight="1"/>
    <row r="801" spans="2:6" s="12" customFormat="1" ht="15.75" customHeight="1">
      <c r="B801" s="235"/>
      <c r="C801" s="55"/>
      <c r="D801" s="55"/>
      <c r="E801" s="250"/>
      <c r="F801" s="94"/>
    </row>
    <row r="802" spans="2:6" s="12" customFormat="1">
      <c r="B802" s="894" t="s">
        <v>116</v>
      </c>
      <c r="C802" s="896" t="s">
        <v>102</v>
      </c>
      <c r="D802" s="897">
        <v>2019</v>
      </c>
      <c r="E802" s="895">
        <v>2018</v>
      </c>
      <c r="F802" s="892"/>
    </row>
    <row r="803" spans="2:6" s="12" customFormat="1">
      <c r="B803" s="894"/>
      <c r="C803" s="896"/>
      <c r="D803" s="897"/>
      <c r="E803" s="895"/>
      <c r="F803" s="892"/>
    </row>
    <row r="804" spans="2:6" s="12" customFormat="1">
      <c r="B804" s="26" t="s">
        <v>485</v>
      </c>
      <c r="C804" s="73" t="s">
        <v>103</v>
      </c>
      <c r="D804" s="202">
        <v>0</v>
      </c>
      <c r="E804" s="87">
        <v>0</v>
      </c>
      <c r="F804" s="94"/>
    </row>
    <row r="805" spans="2:6" s="12" customFormat="1">
      <c r="B805" s="26" t="s">
        <v>104</v>
      </c>
      <c r="C805" s="73" t="s">
        <v>105</v>
      </c>
      <c r="D805" s="30">
        <v>50000000</v>
      </c>
      <c r="E805" s="1">
        <v>50000000</v>
      </c>
      <c r="F805" s="94"/>
    </row>
    <row r="806" spans="2:6" s="12" customFormat="1">
      <c r="B806" s="26" t="s">
        <v>106</v>
      </c>
      <c r="C806" s="73" t="s">
        <v>105</v>
      </c>
      <c r="D806" s="30">
        <v>1535192600</v>
      </c>
      <c r="E806" s="251">
        <v>1535192600</v>
      </c>
      <c r="F806" s="94"/>
    </row>
    <row r="807" spans="2:6" s="12" customFormat="1">
      <c r="B807" s="26" t="s">
        <v>107</v>
      </c>
      <c r="C807" s="73" t="s">
        <v>108</v>
      </c>
      <c r="D807" s="30">
        <v>700000000</v>
      </c>
      <c r="E807" s="1">
        <v>700000000</v>
      </c>
      <c r="F807" s="94"/>
    </row>
    <row r="808" spans="2:6" s="12" customFormat="1">
      <c r="B808" s="26" t="s">
        <v>109</v>
      </c>
      <c r="C808" s="73" t="s">
        <v>105</v>
      </c>
      <c r="D808" s="30">
        <v>735000000</v>
      </c>
      <c r="E808" s="1">
        <v>735000000</v>
      </c>
      <c r="F808" s="94"/>
    </row>
    <row r="809" spans="2:6" s="12" customFormat="1">
      <c r="B809" s="26" t="s">
        <v>110</v>
      </c>
      <c r="C809" s="73" t="s">
        <v>105</v>
      </c>
      <c r="D809" s="30">
        <v>88000000</v>
      </c>
      <c r="E809" s="1">
        <v>88000000</v>
      </c>
      <c r="F809" s="892"/>
    </row>
    <row r="810" spans="2:6" s="12" customFormat="1">
      <c r="B810" s="26" t="s">
        <v>111</v>
      </c>
      <c r="C810" s="73" t="s">
        <v>105</v>
      </c>
      <c r="D810" s="30">
        <v>600000000</v>
      </c>
      <c r="E810" s="1">
        <v>600000000</v>
      </c>
      <c r="F810" s="892"/>
    </row>
    <row r="811" spans="2:6" s="12" customFormat="1">
      <c r="B811" s="26" t="s">
        <v>486</v>
      </c>
      <c r="C811" s="73" t="s">
        <v>105</v>
      </c>
      <c r="D811" s="30">
        <v>522067962</v>
      </c>
      <c r="E811" s="1">
        <v>522067962</v>
      </c>
      <c r="F811" s="892"/>
    </row>
    <row r="812" spans="2:6" s="12" customFormat="1">
      <c r="B812" s="26" t="s">
        <v>112</v>
      </c>
      <c r="C812" s="73" t="s">
        <v>105</v>
      </c>
      <c r="D812" s="30">
        <v>901640000</v>
      </c>
      <c r="E812" s="1">
        <v>901640000</v>
      </c>
      <c r="F812" s="892"/>
    </row>
    <row r="813" spans="2:6" s="12" customFormat="1">
      <c r="B813" s="26" t="s">
        <v>113</v>
      </c>
      <c r="C813" s="73" t="s">
        <v>105</v>
      </c>
      <c r="D813" s="30">
        <v>1919500000</v>
      </c>
      <c r="E813" s="251">
        <v>1919500000</v>
      </c>
      <c r="F813" s="892"/>
    </row>
    <row r="814" spans="2:6" s="12" customFormat="1">
      <c r="B814" s="26" t="s">
        <v>114</v>
      </c>
      <c r="C814" s="73" t="s">
        <v>105</v>
      </c>
      <c r="D814" s="30">
        <v>805000000</v>
      </c>
      <c r="E814" s="1">
        <v>805000000</v>
      </c>
      <c r="F814" s="892"/>
    </row>
    <row r="815" spans="2:6" s="12" customFormat="1">
      <c r="B815" s="26" t="s">
        <v>487</v>
      </c>
      <c r="C815" s="73" t="s">
        <v>105</v>
      </c>
      <c r="D815" s="30">
        <v>575000000</v>
      </c>
      <c r="E815" s="1">
        <v>575000000</v>
      </c>
      <c r="F815" s="892"/>
    </row>
    <row r="816" spans="2:6" s="12" customFormat="1" ht="15.75" thickBot="1">
      <c r="B816" s="26" t="s">
        <v>115</v>
      </c>
      <c r="C816" s="73" t="s">
        <v>105</v>
      </c>
      <c r="D816" s="71">
        <v>440000000</v>
      </c>
      <c r="E816" s="41">
        <v>440000000</v>
      </c>
      <c r="F816" s="892"/>
    </row>
    <row r="817" spans="1:6" s="12" customFormat="1">
      <c r="B817" s="31"/>
      <c r="C817" s="31"/>
      <c r="D817" s="252"/>
      <c r="E817" s="42"/>
      <c r="F817" s="893"/>
    </row>
    <row r="818" spans="1:6" s="12" customFormat="1" ht="15.75" thickBot="1">
      <c r="B818" s="31" t="s">
        <v>488</v>
      </c>
      <c r="C818" s="31"/>
      <c r="D818" s="205">
        <v>9211400562</v>
      </c>
      <c r="E818" s="253">
        <v>9211400562</v>
      </c>
      <c r="F818" s="893"/>
    </row>
    <row r="819" spans="1:6" s="12" customFormat="1" ht="15.75" thickTop="1">
      <c r="B819" s="230"/>
      <c r="C819" s="248"/>
      <c r="D819" s="69"/>
      <c r="E819" s="69"/>
    </row>
    <row r="820" spans="1:6" s="12" customFormat="1">
      <c r="B820" s="230"/>
      <c r="C820" s="248"/>
      <c r="D820" s="69"/>
      <c r="E820" s="69"/>
    </row>
    <row r="821" spans="1:6" s="12" customFormat="1">
      <c r="B821" s="230"/>
      <c r="C821" s="248"/>
      <c r="D821" s="69"/>
      <c r="E821" s="69"/>
    </row>
    <row r="822" spans="1:6" s="12" customFormat="1">
      <c r="B822" s="230"/>
      <c r="C822" s="248"/>
      <c r="D822" s="69"/>
      <c r="E822" s="69"/>
    </row>
    <row r="823" spans="1:6" s="12" customFormat="1">
      <c r="B823" s="230"/>
      <c r="C823" s="248"/>
      <c r="D823" s="69"/>
      <c r="E823" s="69"/>
    </row>
    <row r="824" spans="1:6" s="12" customFormat="1">
      <c r="B824" s="230"/>
      <c r="C824" s="248"/>
      <c r="D824" s="69"/>
      <c r="E824" s="69"/>
    </row>
    <row r="825" spans="1:6" s="12" customFormat="1">
      <c r="B825" s="230"/>
      <c r="C825" s="248"/>
      <c r="D825" s="69"/>
      <c r="E825" s="69"/>
    </row>
    <row r="826" spans="1:6" s="12" customFormat="1">
      <c r="B826" s="230"/>
      <c r="C826" s="248"/>
      <c r="D826" s="69"/>
      <c r="E826" s="69"/>
    </row>
    <row r="827" spans="1:6" s="12" customFormat="1">
      <c r="B827" s="230"/>
      <c r="C827" s="248"/>
      <c r="D827" s="69"/>
      <c r="E827" s="69"/>
    </row>
    <row r="828" spans="1:6" s="12" customFormat="1" ht="15" customHeight="1">
      <c r="A828" s="112" t="s">
        <v>489</v>
      </c>
    </row>
    <row r="829" spans="1:6" s="265" customFormat="1" ht="13.5">
      <c r="A829" s="264" t="s">
        <v>490</v>
      </c>
    </row>
    <row r="830" spans="1:6" s="265" customFormat="1" ht="13.5">
      <c r="A830" s="264" t="s">
        <v>491</v>
      </c>
    </row>
    <row r="831" spans="1:6" s="265" customFormat="1" ht="13.5">
      <c r="A831" s="264" t="s">
        <v>492</v>
      </c>
    </row>
    <row r="832" spans="1:6" s="265" customFormat="1" ht="13.5">
      <c r="A832" s="264" t="s">
        <v>493</v>
      </c>
    </row>
    <row r="833" spans="1:5" s="265" customFormat="1" ht="13.5">
      <c r="A833" s="264" t="s">
        <v>494</v>
      </c>
    </row>
    <row r="834" spans="1:5" s="265" customFormat="1" ht="13.5">
      <c r="A834" s="264" t="s">
        <v>495</v>
      </c>
    </row>
    <row r="835" spans="1:5" s="265" customFormat="1" ht="13.5">
      <c r="A835" s="264" t="s">
        <v>496</v>
      </c>
    </row>
    <row r="836" spans="1:5" s="265" customFormat="1" ht="13.5">
      <c r="A836" s="264" t="s">
        <v>497</v>
      </c>
    </row>
    <row r="837" spans="1:5" s="265" customFormat="1" ht="13.5">
      <c r="A837" s="264" t="s">
        <v>498</v>
      </c>
    </row>
    <row r="838" spans="1:5" s="265" customFormat="1" ht="13.5">
      <c r="A838" s="266" t="s">
        <v>499</v>
      </c>
    </row>
    <row r="839" spans="1:5" s="265" customFormat="1" ht="13.5">
      <c r="A839" s="264" t="s">
        <v>500</v>
      </c>
    </row>
    <row r="840" spans="1:5" s="265" customFormat="1" ht="13.5">
      <c r="A840" s="264" t="s">
        <v>501</v>
      </c>
    </row>
    <row r="841" spans="1:5" s="12" customFormat="1" ht="16.5">
      <c r="A841" s="226" t="s">
        <v>502</v>
      </c>
    </row>
    <row r="842" spans="1:5" s="12" customFormat="1" ht="17.25" thickBot="1">
      <c r="A842" s="226"/>
    </row>
    <row r="843" spans="1:5" s="12" customFormat="1" ht="30.75" thickBot="1">
      <c r="B843" s="254" t="s">
        <v>503</v>
      </c>
      <c r="C843" s="255" t="s">
        <v>504</v>
      </c>
      <c r="D843" s="255" t="s">
        <v>505</v>
      </c>
      <c r="E843" s="789" t="s">
        <v>506</v>
      </c>
    </row>
    <row r="844" spans="1:5" s="12" customFormat="1" ht="27.75" thickBot="1">
      <c r="B844" s="256" t="s">
        <v>507</v>
      </c>
      <c r="C844" s="259">
        <v>9931000000</v>
      </c>
      <c r="D844" s="259">
        <v>352599475</v>
      </c>
      <c r="E844" s="261">
        <f>C844-D844</f>
        <v>9578400525</v>
      </c>
    </row>
    <row r="845" spans="1:5" s="12" customFormat="1" ht="36.75" customHeight="1" thickBot="1">
      <c r="B845" s="256" t="s">
        <v>510</v>
      </c>
      <c r="C845" s="259">
        <v>2285764000</v>
      </c>
      <c r="D845" s="259">
        <v>893731284</v>
      </c>
      <c r="E845" s="261">
        <f>C845-D845</f>
        <v>1392032716</v>
      </c>
    </row>
    <row r="846" spans="1:5" s="12" customFormat="1" ht="41.25" thickBot="1">
      <c r="B846" s="256" t="s">
        <v>508</v>
      </c>
      <c r="C846" s="262">
        <v>15564000000</v>
      </c>
      <c r="D846" s="262">
        <v>3931675192</v>
      </c>
      <c r="E846" s="263">
        <f>C846-D846</f>
        <v>11632324808</v>
      </c>
    </row>
    <row r="847" spans="1:5" s="12" customFormat="1" ht="15.75" thickBot="1">
      <c r="B847" s="256" t="s">
        <v>1116</v>
      </c>
      <c r="C847" s="262">
        <v>630000000</v>
      </c>
      <c r="D847" s="262">
        <v>95000000</v>
      </c>
      <c r="E847" s="263">
        <f>C847-D847</f>
        <v>535000000</v>
      </c>
    </row>
    <row r="848" spans="1:5" s="12" customFormat="1" ht="15.75" thickBot="1">
      <c r="B848" s="258" t="s">
        <v>509</v>
      </c>
      <c r="C848" s="260">
        <f>SUM(C844:C847)</f>
        <v>28410764000</v>
      </c>
      <c r="D848" s="260">
        <f>SUM(D844:D847)</f>
        <v>5273005951</v>
      </c>
      <c r="E848" s="805">
        <f>C848-D848</f>
        <v>23137758049</v>
      </c>
    </row>
    <row r="849" spans="1:5" s="265" customFormat="1" ht="13.5">
      <c r="A849" s="264" t="s">
        <v>511</v>
      </c>
    </row>
    <row r="850" spans="1:5" s="267" customFormat="1">
      <c r="A850" s="264" t="s">
        <v>515</v>
      </c>
    </row>
    <row r="851" spans="1:5" s="267" customFormat="1">
      <c r="A851" s="196" t="s">
        <v>516</v>
      </c>
    </row>
    <row r="852" spans="1:5" s="267" customFormat="1" ht="13.5">
      <c r="A852" s="264" t="s">
        <v>512</v>
      </c>
    </row>
    <row r="853" spans="1:5" s="267" customFormat="1" ht="13.5">
      <c r="A853" s="264" t="s">
        <v>513</v>
      </c>
    </row>
    <row r="854" spans="1:5" s="267" customFormat="1" ht="13.5">
      <c r="A854" s="266" t="s">
        <v>514</v>
      </c>
    </row>
    <row r="855" spans="1:5" s="267" customFormat="1" ht="6.75" customHeight="1"/>
    <row r="856" spans="1:5" ht="18.75">
      <c r="A856" s="247" t="s">
        <v>517</v>
      </c>
    </row>
    <row r="857" spans="1:5" ht="15.75">
      <c r="A857" s="99" t="s">
        <v>518</v>
      </c>
    </row>
    <row r="858" spans="1:5" ht="15.75">
      <c r="A858" s="99" t="s">
        <v>1040</v>
      </c>
    </row>
    <row r="859" spans="1:5" ht="15.75">
      <c r="A859" s="102" t="s">
        <v>1117</v>
      </c>
    </row>
    <row r="860" spans="1:5" ht="15.75">
      <c r="A860" s="99" t="s">
        <v>519</v>
      </c>
    </row>
    <row r="861" spans="1:5" ht="15.75">
      <c r="A861" s="102" t="s">
        <v>520</v>
      </c>
    </row>
    <row r="862" spans="1:5" ht="8.25" customHeight="1" thickBot="1"/>
    <row r="863" spans="1:5" ht="29.25" thickBot="1">
      <c r="B863" s="74" t="s">
        <v>116</v>
      </c>
      <c r="C863" s="270" t="s">
        <v>523</v>
      </c>
      <c r="D863" s="270" t="s">
        <v>524</v>
      </c>
      <c r="E863" s="270" t="s">
        <v>1118</v>
      </c>
    </row>
    <row r="864" spans="1:5">
      <c r="B864" s="75" t="s">
        <v>117</v>
      </c>
      <c r="C864" s="76">
        <v>73595490</v>
      </c>
      <c r="D864" s="76">
        <v>73595490</v>
      </c>
      <c r="E864" s="274" t="s">
        <v>521</v>
      </c>
    </row>
    <row r="865" spans="2:5">
      <c r="B865" s="75" t="s">
        <v>118</v>
      </c>
      <c r="C865" s="76">
        <v>128809300</v>
      </c>
      <c r="D865" s="76">
        <v>128809300</v>
      </c>
      <c r="E865" s="274" t="s">
        <v>521</v>
      </c>
    </row>
    <row r="866" spans="2:5" ht="12" customHeight="1">
      <c r="B866" s="75" t="s">
        <v>119</v>
      </c>
      <c r="C866" s="76">
        <v>681455905</v>
      </c>
      <c r="D866" s="76">
        <v>681455905</v>
      </c>
      <c r="E866" s="274" t="s">
        <v>525</v>
      </c>
    </row>
    <row r="867" spans="2:5" ht="13.5" customHeight="1">
      <c r="B867" s="75" t="s">
        <v>120</v>
      </c>
      <c r="C867" s="76">
        <v>2572886168</v>
      </c>
      <c r="D867" s="76">
        <v>2572886168</v>
      </c>
      <c r="E867" s="806" t="s">
        <v>526</v>
      </c>
    </row>
    <row r="868" spans="2:5" ht="12.75" customHeight="1" thickBot="1">
      <c r="B868" s="77" t="s">
        <v>121</v>
      </c>
      <c r="C868" s="78">
        <f>1535192600-95000000</f>
        <v>1440192600</v>
      </c>
      <c r="D868" s="78">
        <f>1535192600-95000000</f>
        <v>1440192600</v>
      </c>
      <c r="E868" s="275" t="s">
        <v>525</v>
      </c>
    </row>
    <row r="869" spans="2:5" ht="29.25" thickBot="1">
      <c r="B869" s="271" t="s">
        <v>116</v>
      </c>
      <c r="C869" s="272" t="s">
        <v>523</v>
      </c>
      <c r="D869" s="272" t="s">
        <v>128</v>
      </c>
      <c r="E869" s="272" t="s">
        <v>1118</v>
      </c>
    </row>
    <row r="870" spans="2:5" ht="15" customHeight="1">
      <c r="B870" s="75" t="s">
        <v>122</v>
      </c>
      <c r="C870" s="76">
        <v>436336793</v>
      </c>
      <c r="D870" s="76">
        <v>436336793</v>
      </c>
      <c r="E870" s="274" t="s">
        <v>525</v>
      </c>
    </row>
    <row r="871" spans="2:5">
      <c r="B871" s="75" t="s">
        <v>123</v>
      </c>
      <c r="C871" s="76">
        <v>64894380</v>
      </c>
      <c r="D871" s="76">
        <v>64894380</v>
      </c>
      <c r="E871" s="274" t="s">
        <v>521</v>
      </c>
    </row>
    <row r="872" spans="2:5">
      <c r="B872" s="75" t="s">
        <v>124</v>
      </c>
      <c r="C872" s="76">
        <v>43411550</v>
      </c>
      <c r="D872" s="76">
        <v>43411550</v>
      </c>
      <c r="E872" s="274" t="s">
        <v>522</v>
      </c>
    </row>
    <row r="873" spans="2:5">
      <c r="B873" s="75" t="s">
        <v>125</v>
      </c>
      <c r="C873" s="76">
        <v>81160183</v>
      </c>
      <c r="D873" s="76">
        <v>81160183</v>
      </c>
      <c r="E873" s="274" t="s">
        <v>522</v>
      </c>
    </row>
    <row r="874" spans="2:5">
      <c r="B874" s="75" t="s">
        <v>126</v>
      </c>
      <c r="C874" s="76">
        <v>49885040</v>
      </c>
      <c r="D874" s="76">
        <v>49885040</v>
      </c>
      <c r="E874" s="274" t="s">
        <v>522</v>
      </c>
    </row>
    <row r="875" spans="2:5" ht="15.75" thickBot="1">
      <c r="B875" s="77" t="s">
        <v>127</v>
      </c>
      <c r="C875" s="78">
        <v>175881847</v>
      </c>
      <c r="D875" s="78">
        <v>175881847</v>
      </c>
      <c r="E875" s="275" t="s">
        <v>522</v>
      </c>
    </row>
    <row r="876" spans="2:5" ht="15.75" thickBot="1">
      <c r="B876" s="79" t="s">
        <v>79</v>
      </c>
      <c r="C876" s="80">
        <f>C864+C865+C866+C867+C868+C870+C871+C872+C873+C874+C875</f>
        <v>5748509256</v>
      </c>
      <c r="D876" s="80">
        <f>D864+D865+D866+D867+D868+D870+D871+D872+D873+D874+D875</f>
        <v>5748509256</v>
      </c>
      <c r="E876" s="273"/>
    </row>
    <row r="877" spans="2:5" ht="15.75" thickTop="1"/>
    <row r="881" spans="1:5" ht="22.5" customHeight="1"/>
    <row r="882" spans="1:5" ht="25.5" customHeight="1"/>
    <row r="883" spans="1:5" ht="18.75">
      <c r="A883" s="113" t="s">
        <v>527</v>
      </c>
    </row>
    <row r="884" spans="1:5" s="269" customFormat="1" ht="16.5">
      <c r="A884" s="150" t="s">
        <v>1119</v>
      </c>
    </row>
    <row r="885" spans="1:5" s="269" customFormat="1">
      <c r="A885" s="269" t="s">
        <v>528</v>
      </c>
    </row>
    <row r="886" spans="1:5" s="269" customFormat="1" ht="16.5">
      <c r="A886" s="150" t="s">
        <v>529</v>
      </c>
    </row>
    <row r="887" spans="1:5" s="269" customFormat="1" ht="16.5">
      <c r="A887" s="150" t="s">
        <v>530</v>
      </c>
    </row>
    <row r="888" spans="1:5" s="269" customFormat="1" ht="16.5">
      <c r="A888" s="226" t="s">
        <v>531</v>
      </c>
    </row>
    <row r="889" spans="1:5" s="269" customFormat="1" ht="16.5">
      <c r="A889" s="150" t="s">
        <v>532</v>
      </c>
    </row>
    <row r="890" spans="1:5" s="269" customFormat="1" ht="16.5">
      <c r="A890" s="150" t="s">
        <v>533</v>
      </c>
    </row>
    <row r="891" spans="1:5" s="269" customFormat="1" ht="16.5">
      <c r="A891" s="226" t="s">
        <v>534</v>
      </c>
    </row>
    <row r="892" spans="1:5" s="269" customFormat="1" ht="16.5">
      <c r="A892" s="226" t="s">
        <v>535</v>
      </c>
    </row>
    <row r="893" spans="1:5" ht="15.75" thickBot="1"/>
    <row r="894" spans="1:5" ht="15.75" thickBot="1">
      <c r="B894" s="276" t="s">
        <v>536</v>
      </c>
      <c r="C894" s="277" t="s">
        <v>537</v>
      </c>
      <c r="D894" s="255">
        <v>2020</v>
      </c>
      <c r="E894" s="255">
        <v>2019</v>
      </c>
    </row>
    <row r="895" spans="1:5">
      <c r="B895" s="278" t="s">
        <v>538</v>
      </c>
      <c r="C895" s="279" t="s">
        <v>539</v>
      </c>
      <c r="D895" s="287">
        <v>436335793</v>
      </c>
      <c r="E895" s="280">
        <v>436335793</v>
      </c>
    </row>
    <row r="896" spans="1:5" ht="15.75" thickBot="1">
      <c r="B896" s="281" t="s">
        <v>540</v>
      </c>
      <c r="C896" s="257" t="s">
        <v>541</v>
      </c>
      <c r="D896" s="288">
        <v>14127830</v>
      </c>
      <c r="E896" s="282">
        <v>14127830</v>
      </c>
    </row>
    <row r="897" spans="1:6">
      <c r="B897" s="841"/>
      <c r="C897" s="842"/>
      <c r="D897" s="285"/>
      <c r="E897" s="283"/>
    </row>
    <row r="898" spans="1:6" ht="15.75" thickBot="1">
      <c r="B898" s="843" t="s">
        <v>98</v>
      </c>
      <c r="C898" s="844"/>
      <c r="D898" s="286">
        <f>SUM(D895:D897)</f>
        <v>450463623</v>
      </c>
      <c r="E898" s="284">
        <f>SUM(E895:E897)</f>
        <v>450463623</v>
      </c>
    </row>
    <row r="902" spans="1:6" ht="18.75">
      <c r="A902" s="247" t="s">
        <v>542</v>
      </c>
    </row>
    <row r="903" spans="1:6" ht="16.5">
      <c r="A903" s="232" t="s">
        <v>543</v>
      </c>
      <c r="F903" s="293"/>
    </row>
    <row r="904" spans="1:6" ht="15.75">
      <c r="A904" s="249" t="s">
        <v>1120</v>
      </c>
    </row>
    <row r="906" spans="1:6">
      <c r="B906" s="289"/>
      <c r="C906" s="845" t="s">
        <v>545</v>
      </c>
      <c r="D906" s="847" t="s">
        <v>555</v>
      </c>
    </row>
    <row r="907" spans="1:6" ht="15.75" thickBot="1">
      <c r="B907" s="85" t="s">
        <v>544</v>
      </c>
      <c r="C907" s="846"/>
      <c r="D907" s="846"/>
    </row>
    <row r="908" spans="1:6">
      <c r="B908" s="236" t="s">
        <v>546</v>
      </c>
      <c r="C908" s="237">
        <v>158811</v>
      </c>
      <c r="D908" s="290">
        <v>0.44</v>
      </c>
    </row>
    <row r="909" spans="1:6">
      <c r="B909" s="236" t="s">
        <v>547</v>
      </c>
      <c r="C909" s="237">
        <v>381858</v>
      </c>
      <c r="D909" s="290">
        <v>0.14000000000000001</v>
      </c>
    </row>
    <row r="910" spans="1:6">
      <c r="B910" s="236" t="s">
        <v>548</v>
      </c>
      <c r="C910" s="237">
        <v>477966</v>
      </c>
      <c r="D910" s="290">
        <v>0.14000000000000001</v>
      </c>
    </row>
    <row r="911" spans="1:6">
      <c r="B911" s="236" t="s">
        <v>549</v>
      </c>
      <c r="C911" s="237">
        <v>371249</v>
      </c>
      <c r="D911" s="290">
        <v>0.14000000000000001</v>
      </c>
    </row>
    <row r="912" spans="1:6">
      <c r="B912" s="236" t="s">
        <v>550</v>
      </c>
      <c r="C912" s="237">
        <v>937449</v>
      </c>
      <c r="D912" s="291" t="s">
        <v>554</v>
      </c>
    </row>
    <row r="913" spans="1:5">
      <c r="B913" s="236" t="s">
        <v>551</v>
      </c>
      <c r="C913" s="237">
        <v>1218393</v>
      </c>
      <c r="D913" s="291" t="s">
        <v>554</v>
      </c>
    </row>
    <row r="914" spans="1:5">
      <c r="B914" s="236" t="s">
        <v>552</v>
      </c>
      <c r="C914" s="237">
        <v>1695638</v>
      </c>
      <c r="D914" s="291" t="s">
        <v>554</v>
      </c>
    </row>
    <row r="915" spans="1:5" ht="15.75" thickBot="1">
      <c r="B915" s="236" t="s">
        <v>553</v>
      </c>
      <c r="C915" s="237">
        <v>2181339</v>
      </c>
      <c r="D915" s="291" t="s">
        <v>554</v>
      </c>
    </row>
    <row r="916" spans="1:5" ht="15.75" thickBot="1">
      <c r="B916" s="291"/>
      <c r="C916" s="291"/>
      <c r="D916" s="292">
        <v>1</v>
      </c>
    </row>
    <row r="917" spans="1:5" ht="15.75" thickTop="1"/>
    <row r="919" spans="1:5" ht="18.75">
      <c r="A919" s="112" t="s">
        <v>556</v>
      </c>
    </row>
    <row r="920" spans="1:5" ht="15.75">
      <c r="A920" s="99" t="s">
        <v>557</v>
      </c>
    </row>
    <row r="921" spans="1:5" ht="15.75">
      <c r="A921" s="99" t="s">
        <v>558</v>
      </c>
    </row>
    <row r="922" spans="1:5" s="269" customFormat="1" ht="16.5">
      <c r="A922" s="150" t="s">
        <v>559</v>
      </c>
    </row>
    <row r="923" spans="1:5" s="269" customFormat="1" ht="16.5">
      <c r="A923" s="150" t="s">
        <v>560</v>
      </c>
    </row>
    <row r="924" spans="1:5" ht="15.75">
      <c r="A924" s="102" t="s">
        <v>561</v>
      </c>
    </row>
    <row r="925" spans="1:5" s="269" customFormat="1" ht="16.5">
      <c r="A925" s="150" t="s">
        <v>1039</v>
      </c>
    </row>
    <row r="926" spans="1:5" ht="15.75">
      <c r="A926" s="99" t="s">
        <v>562</v>
      </c>
    </row>
    <row r="927" spans="1:5" ht="15.75" thickBot="1"/>
    <row r="928" spans="1:5" ht="43.5" thickBot="1">
      <c r="A928" s="294"/>
      <c r="B928" s="81" t="s">
        <v>563</v>
      </c>
      <c r="C928" s="82" t="s">
        <v>129</v>
      </c>
      <c r="D928" s="82" t="s">
        <v>130</v>
      </c>
      <c r="E928" s="83" t="s">
        <v>564</v>
      </c>
    </row>
    <row r="929" spans="1:5">
      <c r="A929" s="295"/>
      <c r="B929" s="75" t="s">
        <v>16</v>
      </c>
      <c r="C929" s="76">
        <v>2000793633</v>
      </c>
      <c r="D929" s="76">
        <v>317100</v>
      </c>
      <c r="E929" s="76">
        <f>C929-D929</f>
        <v>2000476533</v>
      </c>
    </row>
    <row r="930" spans="1:5">
      <c r="A930" s="295"/>
      <c r="B930" s="75" t="s">
        <v>17</v>
      </c>
      <c r="C930" s="76">
        <v>2312606760</v>
      </c>
      <c r="D930" s="76">
        <v>135900</v>
      </c>
      <c r="E930" s="76">
        <f>C930-D930</f>
        <v>2312470860</v>
      </c>
    </row>
    <row r="931" spans="1:5" ht="15.75" thickBot="1">
      <c r="A931" s="296"/>
      <c r="B931" s="84" t="s">
        <v>131</v>
      </c>
      <c r="C931" s="807">
        <f>SUM(C929:C930)</f>
        <v>4313400393</v>
      </c>
      <c r="D931" s="808">
        <f>SUM(D929:D930)</f>
        <v>453000</v>
      </c>
      <c r="E931" s="808">
        <f>SUM(E929:E930)</f>
        <v>4312947393</v>
      </c>
    </row>
    <row r="941" spans="1:5" ht="18.75">
      <c r="A941" s="297" t="s">
        <v>565</v>
      </c>
    </row>
    <row r="942" spans="1:5" ht="15.75">
      <c r="A942" s="99" t="s">
        <v>566</v>
      </c>
    </row>
    <row r="943" spans="1:5" ht="15.75">
      <c r="A943" s="99" t="s">
        <v>567</v>
      </c>
    </row>
    <row r="944" spans="1:5" ht="15.75">
      <c r="A944" s="99"/>
    </row>
    <row r="945" spans="1:7" ht="23.25" customHeight="1">
      <c r="A945" s="99"/>
    </row>
    <row r="946" spans="1:7" ht="30.75" customHeight="1"/>
    <row r="948" spans="1:7">
      <c r="A948" s="298" t="s">
        <v>568</v>
      </c>
      <c r="C948" s="298" t="s">
        <v>569</v>
      </c>
      <c r="D948" s="298"/>
    </row>
    <row r="949" spans="1:7">
      <c r="A949" s="298" t="s">
        <v>570</v>
      </c>
      <c r="C949" s="298" t="s">
        <v>571</v>
      </c>
      <c r="F949" s="298"/>
    </row>
    <row r="950" spans="1:7" ht="22.5" customHeight="1">
      <c r="A950" s="298"/>
      <c r="C950" s="298"/>
      <c r="F950" s="298"/>
    </row>
    <row r="951" spans="1:7">
      <c r="A951" s="298"/>
      <c r="C951" s="298"/>
      <c r="F951" s="298"/>
    </row>
    <row r="952" spans="1:7">
      <c r="A952" s="298"/>
      <c r="C952" s="298"/>
      <c r="F952" s="298"/>
    </row>
    <row r="953" spans="1:7">
      <c r="A953" s="298"/>
    </row>
    <row r="956" spans="1:7">
      <c r="A956" s="298" t="s">
        <v>572</v>
      </c>
      <c r="C956" s="300" t="s">
        <v>688</v>
      </c>
      <c r="D956" s="298"/>
    </row>
    <row r="957" spans="1:7">
      <c r="A957" s="298" t="s">
        <v>573</v>
      </c>
      <c r="C957" s="299" t="s">
        <v>574</v>
      </c>
      <c r="G957" s="299"/>
    </row>
  </sheetData>
  <mergeCells count="48">
    <mergeCell ref="F802:F803"/>
    <mergeCell ref="F809:F816"/>
    <mergeCell ref="F817:F818"/>
    <mergeCell ref="B802:B803"/>
    <mergeCell ref="B789:B790"/>
    <mergeCell ref="C789:C790"/>
    <mergeCell ref="E802:E803"/>
    <mergeCell ref="C802:C803"/>
    <mergeCell ref="D802:D803"/>
    <mergeCell ref="C624:E624"/>
    <mergeCell ref="C625:E625"/>
    <mergeCell ref="C626:E626"/>
    <mergeCell ref="D619:E619"/>
    <mergeCell ref="E421:E422"/>
    <mergeCell ref="D424:D425"/>
    <mergeCell ref="E424:E425"/>
    <mergeCell ref="C452:C453"/>
    <mergeCell ref="D452:D453"/>
    <mergeCell ref="E452:E453"/>
    <mergeCell ref="E444:E446"/>
    <mergeCell ref="E448:E449"/>
    <mergeCell ref="D442:D443"/>
    <mergeCell ref="E442:E443"/>
    <mergeCell ref="D434:D435"/>
    <mergeCell ref="D618:E618"/>
    <mergeCell ref="D517:D518"/>
    <mergeCell ref="A3:E3"/>
    <mergeCell ref="A4:E4"/>
    <mergeCell ref="A6:B6"/>
    <mergeCell ref="E361:E362"/>
    <mergeCell ref="E327:E328"/>
    <mergeCell ref="B504:C504"/>
    <mergeCell ref="B897:C897"/>
    <mergeCell ref="B898:C898"/>
    <mergeCell ref="C906:C907"/>
    <mergeCell ref="D906:D907"/>
    <mergeCell ref="C380:C381"/>
    <mergeCell ref="D380:D381"/>
    <mergeCell ref="C610:C611"/>
    <mergeCell ref="A609:B611"/>
    <mergeCell ref="D620:E620"/>
    <mergeCell ref="E380:E381"/>
    <mergeCell ref="E664:E666"/>
    <mergeCell ref="E656:E657"/>
    <mergeCell ref="D789:D790"/>
    <mergeCell ref="E434:E435"/>
    <mergeCell ref="E436:E437"/>
    <mergeCell ref="D610:E610"/>
  </mergeCells>
  <pageMargins left="1.1023622047244095" right="0.70866141732283472" top="0.74803149606299213" bottom="0.74803149606299213" header="0.31496062992125984" footer="0.31496062992125984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>
      <selection activeCell="H4" sqref="H4"/>
    </sheetView>
  </sheetViews>
  <sheetFormatPr baseColWidth="10" defaultRowHeight="15"/>
  <cols>
    <col min="1" max="3" width="11.42578125" style="437"/>
    <col min="4" max="4" width="19.28515625" style="437" customWidth="1"/>
    <col min="5" max="5" width="15.7109375" style="437" customWidth="1"/>
    <col min="6" max="6" width="3.28515625" style="437" customWidth="1"/>
    <col min="7" max="7" width="15.7109375" style="437" customWidth="1"/>
    <col min="8" max="8" width="12.7109375" style="437" bestFit="1" customWidth="1"/>
    <col min="9" max="9" width="14.42578125" style="437" bestFit="1" customWidth="1"/>
    <col min="10" max="259" width="11.42578125" style="437"/>
    <col min="260" max="260" width="17.42578125" style="437" customWidth="1"/>
    <col min="261" max="261" width="15.7109375" style="437" customWidth="1"/>
    <col min="262" max="262" width="3.28515625" style="437" customWidth="1"/>
    <col min="263" max="263" width="15.7109375" style="437" customWidth="1"/>
    <col min="264" max="264" width="12.7109375" style="437" bestFit="1" customWidth="1"/>
    <col min="265" max="265" width="14.42578125" style="437" bestFit="1" customWidth="1"/>
    <col min="266" max="515" width="11.42578125" style="437"/>
    <col min="516" max="516" width="17.42578125" style="437" customWidth="1"/>
    <col min="517" max="517" width="15.7109375" style="437" customWidth="1"/>
    <col min="518" max="518" width="3.28515625" style="437" customWidth="1"/>
    <col min="519" max="519" width="15.7109375" style="437" customWidth="1"/>
    <col min="520" max="520" width="12.7109375" style="437" bestFit="1" customWidth="1"/>
    <col min="521" max="521" width="14.42578125" style="437" bestFit="1" customWidth="1"/>
    <col min="522" max="771" width="11.42578125" style="437"/>
    <col min="772" max="772" width="17.42578125" style="437" customWidth="1"/>
    <col min="773" max="773" width="15.7109375" style="437" customWidth="1"/>
    <col min="774" max="774" width="3.28515625" style="437" customWidth="1"/>
    <col min="775" max="775" width="15.7109375" style="437" customWidth="1"/>
    <col min="776" max="776" width="12.7109375" style="437" bestFit="1" customWidth="1"/>
    <col min="777" max="777" width="14.42578125" style="437" bestFit="1" customWidth="1"/>
    <col min="778" max="1027" width="11.42578125" style="437"/>
    <col min="1028" max="1028" width="17.42578125" style="437" customWidth="1"/>
    <col min="1029" max="1029" width="15.7109375" style="437" customWidth="1"/>
    <col min="1030" max="1030" width="3.28515625" style="437" customWidth="1"/>
    <col min="1031" max="1031" width="15.7109375" style="437" customWidth="1"/>
    <col min="1032" max="1032" width="12.7109375" style="437" bestFit="1" customWidth="1"/>
    <col min="1033" max="1033" width="14.42578125" style="437" bestFit="1" customWidth="1"/>
    <col min="1034" max="1283" width="11.42578125" style="437"/>
    <col min="1284" max="1284" width="17.42578125" style="437" customWidth="1"/>
    <col min="1285" max="1285" width="15.7109375" style="437" customWidth="1"/>
    <col min="1286" max="1286" width="3.28515625" style="437" customWidth="1"/>
    <col min="1287" max="1287" width="15.7109375" style="437" customWidth="1"/>
    <col min="1288" max="1288" width="12.7109375" style="437" bestFit="1" customWidth="1"/>
    <col min="1289" max="1289" width="14.42578125" style="437" bestFit="1" customWidth="1"/>
    <col min="1290" max="1539" width="11.42578125" style="437"/>
    <col min="1540" max="1540" width="17.42578125" style="437" customWidth="1"/>
    <col min="1541" max="1541" width="15.7109375" style="437" customWidth="1"/>
    <col min="1542" max="1542" width="3.28515625" style="437" customWidth="1"/>
    <col min="1543" max="1543" width="15.7109375" style="437" customWidth="1"/>
    <col min="1544" max="1544" width="12.7109375" style="437" bestFit="1" customWidth="1"/>
    <col min="1545" max="1545" width="14.42578125" style="437" bestFit="1" customWidth="1"/>
    <col min="1546" max="1795" width="11.42578125" style="437"/>
    <col min="1796" max="1796" width="17.42578125" style="437" customWidth="1"/>
    <col min="1797" max="1797" width="15.7109375" style="437" customWidth="1"/>
    <col min="1798" max="1798" width="3.28515625" style="437" customWidth="1"/>
    <col min="1799" max="1799" width="15.7109375" style="437" customWidth="1"/>
    <col min="1800" max="1800" width="12.7109375" style="437" bestFit="1" customWidth="1"/>
    <col min="1801" max="1801" width="14.42578125" style="437" bestFit="1" customWidth="1"/>
    <col min="1802" max="2051" width="11.42578125" style="437"/>
    <col min="2052" max="2052" width="17.42578125" style="437" customWidth="1"/>
    <col min="2053" max="2053" width="15.7109375" style="437" customWidth="1"/>
    <col min="2054" max="2054" width="3.28515625" style="437" customWidth="1"/>
    <col min="2055" max="2055" width="15.7109375" style="437" customWidth="1"/>
    <col min="2056" max="2056" width="12.7109375" style="437" bestFit="1" customWidth="1"/>
    <col min="2057" max="2057" width="14.42578125" style="437" bestFit="1" customWidth="1"/>
    <col min="2058" max="2307" width="11.42578125" style="437"/>
    <col min="2308" max="2308" width="17.42578125" style="437" customWidth="1"/>
    <col min="2309" max="2309" width="15.7109375" style="437" customWidth="1"/>
    <col min="2310" max="2310" width="3.28515625" style="437" customWidth="1"/>
    <col min="2311" max="2311" width="15.7109375" style="437" customWidth="1"/>
    <col min="2312" max="2312" width="12.7109375" style="437" bestFit="1" customWidth="1"/>
    <col min="2313" max="2313" width="14.42578125" style="437" bestFit="1" customWidth="1"/>
    <col min="2314" max="2563" width="11.42578125" style="437"/>
    <col min="2564" max="2564" width="17.42578125" style="437" customWidth="1"/>
    <col min="2565" max="2565" width="15.7109375" style="437" customWidth="1"/>
    <col min="2566" max="2566" width="3.28515625" style="437" customWidth="1"/>
    <col min="2567" max="2567" width="15.7109375" style="437" customWidth="1"/>
    <col min="2568" max="2568" width="12.7109375" style="437" bestFit="1" customWidth="1"/>
    <col min="2569" max="2569" width="14.42578125" style="437" bestFit="1" customWidth="1"/>
    <col min="2570" max="2819" width="11.42578125" style="437"/>
    <col min="2820" max="2820" width="17.42578125" style="437" customWidth="1"/>
    <col min="2821" max="2821" width="15.7109375" style="437" customWidth="1"/>
    <col min="2822" max="2822" width="3.28515625" style="437" customWidth="1"/>
    <col min="2823" max="2823" width="15.7109375" style="437" customWidth="1"/>
    <col min="2824" max="2824" width="12.7109375" style="437" bestFit="1" customWidth="1"/>
    <col min="2825" max="2825" width="14.42578125" style="437" bestFit="1" customWidth="1"/>
    <col min="2826" max="3075" width="11.42578125" style="437"/>
    <col min="3076" max="3076" width="17.42578125" style="437" customWidth="1"/>
    <col min="3077" max="3077" width="15.7109375" style="437" customWidth="1"/>
    <col min="3078" max="3078" width="3.28515625" style="437" customWidth="1"/>
    <col min="3079" max="3079" width="15.7109375" style="437" customWidth="1"/>
    <col min="3080" max="3080" width="12.7109375" style="437" bestFit="1" customWidth="1"/>
    <col min="3081" max="3081" width="14.42578125" style="437" bestFit="1" customWidth="1"/>
    <col min="3082" max="3331" width="11.42578125" style="437"/>
    <col min="3332" max="3332" width="17.42578125" style="437" customWidth="1"/>
    <col min="3333" max="3333" width="15.7109375" style="437" customWidth="1"/>
    <col min="3334" max="3334" width="3.28515625" style="437" customWidth="1"/>
    <col min="3335" max="3335" width="15.7109375" style="437" customWidth="1"/>
    <col min="3336" max="3336" width="12.7109375" style="437" bestFit="1" customWidth="1"/>
    <col min="3337" max="3337" width="14.42578125" style="437" bestFit="1" customWidth="1"/>
    <col min="3338" max="3587" width="11.42578125" style="437"/>
    <col min="3588" max="3588" width="17.42578125" style="437" customWidth="1"/>
    <col min="3589" max="3589" width="15.7109375" style="437" customWidth="1"/>
    <col min="3590" max="3590" width="3.28515625" style="437" customWidth="1"/>
    <col min="3591" max="3591" width="15.7109375" style="437" customWidth="1"/>
    <col min="3592" max="3592" width="12.7109375" style="437" bestFit="1" customWidth="1"/>
    <col min="3593" max="3593" width="14.42578125" style="437" bestFit="1" customWidth="1"/>
    <col min="3594" max="3843" width="11.42578125" style="437"/>
    <col min="3844" max="3844" width="17.42578125" style="437" customWidth="1"/>
    <col min="3845" max="3845" width="15.7109375" style="437" customWidth="1"/>
    <col min="3846" max="3846" width="3.28515625" style="437" customWidth="1"/>
    <col min="3847" max="3847" width="15.7109375" style="437" customWidth="1"/>
    <col min="3848" max="3848" width="12.7109375" style="437" bestFit="1" customWidth="1"/>
    <col min="3849" max="3849" width="14.42578125" style="437" bestFit="1" customWidth="1"/>
    <col min="3850" max="4099" width="11.42578125" style="437"/>
    <col min="4100" max="4100" width="17.42578125" style="437" customWidth="1"/>
    <col min="4101" max="4101" width="15.7109375" style="437" customWidth="1"/>
    <col min="4102" max="4102" width="3.28515625" style="437" customWidth="1"/>
    <col min="4103" max="4103" width="15.7109375" style="437" customWidth="1"/>
    <col min="4104" max="4104" width="12.7109375" style="437" bestFit="1" customWidth="1"/>
    <col min="4105" max="4105" width="14.42578125" style="437" bestFit="1" customWidth="1"/>
    <col min="4106" max="4355" width="11.42578125" style="437"/>
    <col min="4356" max="4356" width="17.42578125" style="437" customWidth="1"/>
    <col min="4357" max="4357" width="15.7109375" style="437" customWidth="1"/>
    <col min="4358" max="4358" width="3.28515625" style="437" customWidth="1"/>
    <col min="4359" max="4359" width="15.7109375" style="437" customWidth="1"/>
    <col min="4360" max="4360" width="12.7109375" style="437" bestFit="1" customWidth="1"/>
    <col min="4361" max="4361" width="14.42578125" style="437" bestFit="1" customWidth="1"/>
    <col min="4362" max="4611" width="11.42578125" style="437"/>
    <col min="4612" max="4612" width="17.42578125" style="437" customWidth="1"/>
    <col min="4613" max="4613" width="15.7109375" style="437" customWidth="1"/>
    <col min="4614" max="4614" width="3.28515625" style="437" customWidth="1"/>
    <col min="4615" max="4615" width="15.7109375" style="437" customWidth="1"/>
    <col min="4616" max="4616" width="12.7109375" style="437" bestFit="1" customWidth="1"/>
    <col min="4617" max="4617" width="14.42578125" style="437" bestFit="1" customWidth="1"/>
    <col min="4618" max="4867" width="11.42578125" style="437"/>
    <col min="4868" max="4868" width="17.42578125" style="437" customWidth="1"/>
    <col min="4869" max="4869" width="15.7109375" style="437" customWidth="1"/>
    <col min="4870" max="4870" width="3.28515625" style="437" customWidth="1"/>
    <col min="4871" max="4871" width="15.7109375" style="437" customWidth="1"/>
    <col min="4872" max="4872" width="12.7109375" style="437" bestFit="1" customWidth="1"/>
    <col min="4873" max="4873" width="14.42578125" style="437" bestFit="1" customWidth="1"/>
    <col min="4874" max="5123" width="11.42578125" style="437"/>
    <col min="5124" max="5124" width="17.42578125" style="437" customWidth="1"/>
    <col min="5125" max="5125" width="15.7109375" style="437" customWidth="1"/>
    <col min="5126" max="5126" width="3.28515625" style="437" customWidth="1"/>
    <col min="5127" max="5127" width="15.7109375" style="437" customWidth="1"/>
    <col min="5128" max="5128" width="12.7109375" style="437" bestFit="1" customWidth="1"/>
    <col min="5129" max="5129" width="14.42578125" style="437" bestFit="1" customWidth="1"/>
    <col min="5130" max="5379" width="11.42578125" style="437"/>
    <col min="5380" max="5380" width="17.42578125" style="437" customWidth="1"/>
    <col min="5381" max="5381" width="15.7109375" style="437" customWidth="1"/>
    <col min="5382" max="5382" width="3.28515625" style="437" customWidth="1"/>
    <col min="5383" max="5383" width="15.7109375" style="437" customWidth="1"/>
    <col min="5384" max="5384" width="12.7109375" style="437" bestFit="1" customWidth="1"/>
    <col min="5385" max="5385" width="14.42578125" style="437" bestFit="1" customWidth="1"/>
    <col min="5386" max="5635" width="11.42578125" style="437"/>
    <col min="5636" max="5636" width="17.42578125" style="437" customWidth="1"/>
    <col min="5637" max="5637" width="15.7109375" style="437" customWidth="1"/>
    <col min="5638" max="5638" width="3.28515625" style="437" customWidth="1"/>
    <col min="5639" max="5639" width="15.7109375" style="437" customWidth="1"/>
    <col min="5640" max="5640" width="12.7109375" style="437" bestFit="1" customWidth="1"/>
    <col min="5641" max="5641" width="14.42578125" style="437" bestFit="1" customWidth="1"/>
    <col min="5642" max="5891" width="11.42578125" style="437"/>
    <col min="5892" max="5892" width="17.42578125" style="437" customWidth="1"/>
    <col min="5893" max="5893" width="15.7109375" style="437" customWidth="1"/>
    <col min="5894" max="5894" width="3.28515625" style="437" customWidth="1"/>
    <col min="5895" max="5895" width="15.7109375" style="437" customWidth="1"/>
    <col min="5896" max="5896" width="12.7109375" style="437" bestFit="1" customWidth="1"/>
    <col min="5897" max="5897" width="14.42578125" style="437" bestFit="1" customWidth="1"/>
    <col min="5898" max="6147" width="11.42578125" style="437"/>
    <col min="6148" max="6148" width="17.42578125" style="437" customWidth="1"/>
    <col min="6149" max="6149" width="15.7109375" style="437" customWidth="1"/>
    <col min="6150" max="6150" width="3.28515625" style="437" customWidth="1"/>
    <col min="6151" max="6151" width="15.7109375" style="437" customWidth="1"/>
    <col min="6152" max="6152" width="12.7109375" style="437" bestFit="1" customWidth="1"/>
    <col min="6153" max="6153" width="14.42578125" style="437" bestFit="1" customWidth="1"/>
    <col min="6154" max="6403" width="11.42578125" style="437"/>
    <col min="6404" max="6404" width="17.42578125" style="437" customWidth="1"/>
    <col min="6405" max="6405" width="15.7109375" style="437" customWidth="1"/>
    <col min="6406" max="6406" width="3.28515625" style="437" customWidth="1"/>
    <col min="6407" max="6407" width="15.7109375" style="437" customWidth="1"/>
    <col min="6408" max="6408" width="12.7109375" style="437" bestFit="1" customWidth="1"/>
    <col min="6409" max="6409" width="14.42578125" style="437" bestFit="1" customWidth="1"/>
    <col min="6410" max="6659" width="11.42578125" style="437"/>
    <col min="6660" max="6660" width="17.42578125" style="437" customWidth="1"/>
    <col min="6661" max="6661" width="15.7109375" style="437" customWidth="1"/>
    <col min="6662" max="6662" width="3.28515625" style="437" customWidth="1"/>
    <col min="6663" max="6663" width="15.7109375" style="437" customWidth="1"/>
    <col min="6664" max="6664" width="12.7109375" style="437" bestFit="1" customWidth="1"/>
    <col min="6665" max="6665" width="14.42578125" style="437" bestFit="1" customWidth="1"/>
    <col min="6666" max="6915" width="11.42578125" style="437"/>
    <col min="6916" max="6916" width="17.42578125" style="437" customWidth="1"/>
    <col min="6917" max="6917" width="15.7109375" style="437" customWidth="1"/>
    <col min="6918" max="6918" width="3.28515625" style="437" customWidth="1"/>
    <col min="6919" max="6919" width="15.7109375" style="437" customWidth="1"/>
    <col min="6920" max="6920" width="12.7109375" style="437" bestFit="1" customWidth="1"/>
    <col min="6921" max="6921" width="14.42578125" style="437" bestFit="1" customWidth="1"/>
    <col min="6922" max="7171" width="11.42578125" style="437"/>
    <col min="7172" max="7172" width="17.42578125" style="437" customWidth="1"/>
    <col min="7173" max="7173" width="15.7109375" style="437" customWidth="1"/>
    <col min="7174" max="7174" width="3.28515625" style="437" customWidth="1"/>
    <col min="7175" max="7175" width="15.7109375" style="437" customWidth="1"/>
    <col min="7176" max="7176" width="12.7109375" style="437" bestFit="1" customWidth="1"/>
    <col min="7177" max="7177" width="14.42578125" style="437" bestFit="1" customWidth="1"/>
    <col min="7178" max="7427" width="11.42578125" style="437"/>
    <col min="7428" max="7428" width="17.42578125" style="437" customWidth="1"/>
    <col min="7429" max="7429" width="15.7109375" style="437" customWidth="1"/>
    <col min="7430" max="7430" width="3.28515625" style="437" customWidth="1"/>
    <col min="7431" max="7431" width="15.7109375" style="437" customWidth="1"/>
    <col min="7432" max="7432" width="12.7109375" style="437" bestFit="1" customWidth="1"/>
    <col min="7433" max="7433" width="14.42578125" style="437" bestFit="1" customWidth="1"/>
    <col min="7434" max="7683" width="11.42578125" style="437"/>
    <col min="7684" max="7684" width="17.42578125" style="437" customWidth="1"/>
    <col min="7685" max="7685" width="15.7109375" style="437" customWidth="1"/>
    <col min="7686" max="7686" width="3.28515625" style="437" customWidth="1"/>
    <col min="7687" max="7687" width="15.7109375" style="437" customWidth="1"/>
    <col min="7688" max="7688" width="12.7109375" style="437" bestFit="1" customWidth="1"/>
    <col min="7689" max="7689" width="14.42578125" style="437" bestFit="1" customWidth="1"/>
    <col min="7690" max="7939" width="11.42578125" style="437"/>
    <col min="7940" max="7940" width="17.42578125" style="437" customWidth="1"/>
    <col min="7941" max="7941" width="15.7109375" style="437" customWidth="1"/>
    <col min="7942" max="7942" width="3.28515625" style="437" customWidth="1"/>
    <col min="7943" max="7943" width="15.7109375" style="437" customWidth="1"/>
    <col min="7944" max="7944" width="12.7109375" style="437" bestFit="1" customWidth="1"/>
    <col min="7945" max="7945" width="14.42578125" style="437" bestFit="1" customWidth="1"/>
    <col min="7946" max="8195" width="11.42578125" style="437"/>
    <col min="8196" max="8196" width="17.42578125" style="437" customWidth="1"/>
    <col min="8197" max="8197" width="15.7109375" style="437" customWidth="1"/>
    <col min="8198" max="8198" width="3.28515625" style="437" customWidth="1"/>
    <col min="8199" max="8199" width="15.7109375" style="437" customWidth="1"/>
    <col min="8200" max="8200" width="12.7109375" style="437" bestFit="1" customWidth="1"/>
    <col min="8201" max="8201" width="14.42578125" style="437" bestFit="1" customWidth="1"/>
    <col min="8202" max="8451" width="11.42578125" style="437"/>
    <col min="8452" max="8452" width="17.42578125" style="437" customWidth="1"/>
    <col min="8453" max="8453" width="15.7109375" style="437" customWidth="1"/>
    <col min="8454" max="8454" width="3.28515625" style="437" customWidth="1"/>
    <col min="8455" max="8455" width="15.7109375" style="437" customWidth="1"/>
    <col min="8456" max="8456" width="12.7109375" style="437" bestFit="1" customWidth="1"/>
    <col min="8457" max="8457" width="14.42578125" style="437" bestFit="1" customWidth="1"/>
    <col min="8458" max="8707" width="11.42578125" style="437"/>
    <col min="8708" max="8708" width="17.42578125" style="437" customWidth="1"/>
    <col min="8709" max="8709" width="15.7109375" style="437" customWidth="1"/>
    <col min="8710" max="8710" width="3.28515625" style="437" customWidth="1"/>
    <col min="8711" max="8711" width="15.7109375" style="437" customWidth="1"/>
    <col min="8712" max="8712" width="12.7109375" style="437" bestFit="1" customWidth="1"/>
    <col min="8713" max="8713" width="14.42578125" style="437" bestFit="1" customWidth="1"/>
    <col min="8714" max="8963" width="11.42578125" style="437"/>
    <col min="8964" max="8964" width="17.42578125" style="437" customWidth="1"/>
    <col min="8965" max="8965" width="15.7109375" style="437" customWidth="1"/>
    <col min="8966" max="8966" width="3.28515625" style="437" customWidth="1"/>
    <col min="8967" max="8967" width="15.7109375" style="437" customWidth="1"/>
    <col min="8968" max="8968" width="12.7109375" style="437" bestFit="1" customWidth="1"/>
    <col min="8969" max="8969" width="14.42578125" style="437" bestFit="1" customWidth="1"/>
    <col min="8970" max="9219" width="11.42578125" style="437"/>
    <col min="9220" max="9220" width="17.42578125" style="437" customWidth="1"/>
    <col min="9221" max="9221" width="15.7109375" style="437" customWidth="1"/>
    <col min="9222" max="9222" width="3.28515625" style="437" customWidth="1"/>
    <col min="9223" max="9223" width="15.7109375" style="437" customWidth="1"/>
    <col min="9224" max="9224" width="12.7109375" style="437" bestFit="1" customWidth="1"/>
    <col min="9225" max="9225" width="14.42578125" style="437" bestFit="1" customWidth="1"/>
    <col min="9226" max="9475" width="11.42578125" style="437"/>
    <col min="9476" max="9476" width="17.42578125" style="437" customWidth="1"/>
    <col min="9477" max="9477" width="15.7109375" style="437" customWidth="1"/>
    <col min="9478" max="9478" width="3.28515625" style="437" customWidth="1"/>
    <col min="9479" max="9479" width="15.7109375" style="437" customWidth="1"/>
    <col min="9480" max="9480" width="12.7109375" style="437" bestFit="1" customWidth="1"/>
    <col min="9481" max="9481" width="14.42578125" style="437" bestFit="1" customWidth="1"/>
    <col min="9482" max="9731" width="11.42578125" style="437"/>
    <col min="9732" max="9732" width="17.42578125" style="437" customWidth="1"/>
    <col min="9733" max="9733" width="15.7109375" style="437" customWidth="1"/>
    <col min="9734" max="9734" width="3.28515625" style="437" customWidth="1"/>
    <col min="9735" max="9735" width="15.7109375" style="437" customWidth="1"/>
    <col min="9736" max="9736" width="12.7109375" style="437" bestFit="1" customWidth="1"/>
    <col min="9737" max="9737" width="14.42578125" style="437" bestFit="1" customWidth="1"/>
    <col min="9738" max="9987" width="11.42578125" style="437"/>
    <col min="9988" max="9988" width="17.42578125" style="437" customWidth="1"/>
    <col min="9989" max="9989" width="15.7109375" style="437" customWidth="1"/>
    <col min="9990" max="9990" width="3.28515625" style="437" customWidth="1"/>
    <col min="9991" max="9991" width="15.7109375" style="437" customWidth="1"/>
    <col min="9992" max="9992" width="12.7109375" style="437" bestFit="1" customWidth="1"/>
    <col min="9993" max="9993" width="14.42578125" style="437" bestFit="1" customWidth="1"/>
    <col min="9994" max="10243" width="11.42578125" style="437"/>
    <col min="10244" max="10244" width="17.42578125" style="437" customWidth="1"/>
    <col min="10245" max="10245" width="15.7109375" style="437" customWidth="1"/>
    <col min="10246" max="10246" width="3.28515625" style="437" customWidth="1"/>
    <col min="10247" max="10247" width="15.7109375" style="437" customWidth="1"/>
    <col min="10248" max="10248" width="12.7109375" style="437" bestFit="1" customWidth="1"/>
    <col min="10249" max="10249" width="14.42578125" style="437" bestFit="1" customWidth="1"/>
    <col min="10250" max="10499" width="11.42578125" style="437"/>
    <col min="10500" max="10500" width="17.42578125" style="437" customWidth="1"/>
    <col min="10501" max="10501" width="15.7109375" style="437" customWidth="1"/>
    <col min="10502" max="10502" width="3.28515625" style="437" customWidth="1"/>
    <col min="10503" max="10503" width="15.7109375" style="437" customWidth="1"/>
    <col min="10504" max="10504" width="12.7109375" style="437" bestFit="1" customWidth="1"/>
    <col min="10505" max="10505" width="14.42578125" style="437" bestFit="1" customWidth="1"/>
    <col min="10506" max="10755" width="11.42578125" style="437"/>
    <col min="10756" max="10756" width="17.42578125" style="437" customWidth="1"/>
    <col min="10757" max="10757" width="15.7109375" style="437" customWidth="1"/>
    <col min="10758" max="10758" width="3.28515625" style="437" customWidth="1"/>
    <col min="10759" max="10759" width="15.7109375" style="437" customWidth="1"/>
    <col min="10760" max="10760" width="12.7109375" style="437" bestFit="1" customWidth="1"/>
    <col min="10761" max="10761" width="14.42578125" style="437" bestFit="1" customWidth="1"/>
    <col min="10762" max="11011" width="11.42578125" style="437"/>
    <col min="11012" max="11012" width="17.42578125" style="437" customWidth="1"/>
    <col min="11013" max="11013" width="15.7109375" style="437" customWidth="1"/>
    <col min="11014" max="11014" width="3.28515625" style="437" customWidth="1"/>
    <col min="11015" max="11015" width="15.7109375" style="437" customWidth="1"/>
    <col min="11016" max="11016" width="12.7109375" style="437" bestFit="1" customWidth="1"/>
    <col min="11017" max="11017" width="14.42578125" style="437" bestFit="1" customWidth="1"/>
    <col min="11018" max="11267" width="11.42578125" style="437"/>
    <col min="11268" max="11268" width="17.42578125" style="437" customWidth="1"/>
    <col min="11269" max="11269" width="15.7109375" style="437" customWidth="1"/>
    <col min="11270" max="11270" width="3.28515625" style="437" customWidth="1"/>
    <col min="11271" max="11271" width="15.7109375" style="437" customWidth="1"/>
    <col min="11272" max="11272" width="12.7109375" style="437" bestFit="1" customWidth="1"/>
    <col min="11273" max="11273" width="14.42578125" style="437" bestFit="1" customWidth="1"/>
    <col min="11274" max="11523" width="11.42578125" style="437"/>
    <col min="11524" max="11524" width="17.42578125" style="437" customWidth="1"/>
    <col min="11525" max="11525" width="15.7109375" style="437" customWidth="1"/>
    <col min="11526" max="11526" width="3.28515625" style="437" customWidth="1"/>
    <col min="11527" max="11527" width="15.7109375" style="437" customWidth="1"/>
    <col min="11528" max="11528" width="12.7109375" style="437" bestFit="1" customWidth="1"/>
    <col min="11529" max="11529" width="14.42578125" style="437" bestFit="1" customWidth="1"/>
    <col min="11530" max="11779" width="11.42578125" style="437"/>
    <col min="11780" max="11780" width="17.42578125" style="437" customWidth="1"/>
    <col min="11781" max="11781" width="15.7109375" style="437" customWidth="1"/>
    <col min="11782" max="11782" width="3.28515625" style="437" customWidth="1"/>
    <col min="11783" max="11783" width="15.7109375" style="437" customWidth="1"/>
    <col min="11784" max="11784" width="12.7109375" style="437" bestFit="1" customWidth="1"/>
    <col min="11785" max="11785" width="14.42578125" style="437" bestFit="1" customWidth="1"/>
    <col min="11786" max="12035" width="11.42578125" style="437"/>
    <col min="12036" max="12036" width="17.42578125" style="437" customWidth="1"/>
    <col min="12037" max="12037" width="15.7109375" style="437" customWidth="1"/>
    <col min="12038" max="12038" width="3.28515625" style="437" customWidth="1"/>
    <col min="12039" max="12039" width="15.7109375" style="437" customWidth="1"/>
    <col min="12040" max="12040" width="12.7109375" style="437" bestFit="1" customWidth="1"/>
    <col min="12041" max="12041" width="14.42578125" style="437" bestFit="1" customWidth="1"/>
    <col min="12042" max="12291" width="11.42578125" style="437"/>
    <col min="12292" max="12292" width="17.42578125" style="437" customWidth="1"/>
    <col min="12293" max="12293" width="15.7109375" style="437" customWidth="1"/>
    <col min="12294" max="12294" width="3.28515625" style="437" customWidth="1"/>
    <col min="12295" max="12295" width="15.7109375" style="437" customWidth="1"/>
    <col min="12296" max="12296" width="12.7109375" style="437" bestFit="1" customWidth="1"/>
    <col min="12297" max="12297" width="14.42578125" style="437" bestFit="1" customWidth="1"/>
    <col min="12298" max="12547" width="11.42578125" style="437"/>
    <col min="12548" max="12548" width="17.42578125" style="437" customWidth="1"/>
    <col min="12549" max="12549" width="15.7109375" style="437" customWidth="1"/>
    <col min="12550" max="12550" width="3.28515625" style="437" customWidth="1"/>
    <col min="12551" max="12551" width="15.7109375" style="437" customWidth="1"/>
    <col min="12552" max="12552" width="12.7109375" style="437" bestFit="1" customWidth="1"/>
    <col min="12553" max="12553" width="14.42578125" style="437" bestFit="1" customWidth="1"/>
    <col min="12554" max="12803" width="11.42578125" style="437"/>
    <col min="12804" max="12804" width="17.42578125" style="437" customWidth="1"/>
    <col min="12805" max="12805" width="15.7109375" style="437" customWidth="1"/>
    <col min="12806" max="12806" width="3.28515625" style="437" customWidth="1"/>
    <col min="12807" max="12807" width="15.7109375" style="437" customWidth="1"/>
    <col min="12808" max="12808" width="12.7109375" style="437" bestFit="1" customWidth="1"/>
    <col min="12809" max="12809" width="14.42578125" style="437" bestFit="1" customWidth="1"/>
    <col min="12810" max="13059" width="11.42578125" style="437"/>
    <col min="13060" max="13060" width="17.42578125" style="437" customWidth="1"/>
    <col min="13061" max="13061" width="15.7109375" style="437" customWidth="1"/>
    <col min="13062" max="13062" width="3.28515625" style="437" customWidth="1"/>
    <col min="13063" max="13063" width="15.7109375" style="437" customWidth="1"/>
    <col min="13064" max="13064" width="12.7109375" style="437" bestFit="1" customWidth="1"/>
    <col min="13065" max="13065" width="14.42578125" style="437" bestFit="1" customWidth="1"/>
    <col min="13066" max="13315" width="11.42578125" style="437"/>
    <col min="13316" max="13316" width="17.42578125" style="437" customWidth="1"/>
    <col min="13317" max="13317" width="15.7109375" style="437" customWidth="1"/>
    <col min="13318" max="13318" width="3.28515625" style="437" customWidth="1"/>
    <col min="13319" max="13319" width="15.7109375" style="437" customWidth="1"/>
    <col min="13320" max="13320" width="12.7109375" style="437" bestFit="1" customWidth="1"/>
    <col min="13321" max="13321" width="14.42578125" style="437" bestFit="1" customWidth="1"/>
    <col min="13322" max="13571" width="11.42578125" style="437"/>
    <col min="13572" max="13572" width="17.42578125" style="437" customWidth="1"/>
    <col min="13573" max="13573" width="15.7109375" style="437" customWidth="1"/>
    <col min="13574" max="13574" width="3.28515625" style="437" customWidth="1"/>
    <col min="13575" max="13575" width="15.7109375" style="437" customWidth="1"/>
    <col min="13576" max="13576" width="12.7109375" style="437" bestFit="1" customWidth="1"/>
    <col min="13577" max="13577" width="14.42578125" style="437" bestFit="1" customWidth="1"/>
    <col min="13578" max="13827" width="11.42578125" style="437"/>
    <col min="13828" max="13828" width="17.42578125" style="437" customWidth="1"/>
    <col min="13829" max="13829" width="15.7109375" style="437" customWidth="1"/>
    <col min="13830" max="13830" width="3.28515625" style="437" customWidth="1"/>
    <col min="13831" max="13831" width="15.7109375" style="437" customWidth="1"/>
    <col min="13832" max="13832" width="12.7109375" style="437" bestFit="1" customWidth="1"/>
    <col min="13833" max="13833" width="14.42578125" style="437" bestFit="1" customWidth="1"/>
    <col min="13834" max="14083" width="11.42578125" style="437"/>
    <col min="14084" max="14084" width="17.42578125" style="437" customWidth="1"/>
    <col min="14085" max="14085" width="15.7109375" style="437" customWidth="1"/>
    <col min="14086" max="14086" width="3.28515625" style="437" customWidth="1"/>
    <col min="14087" max="14087" width="15.7109375" style="437" customWidth="1"/>
    <col min="14088" max="14088" width="12.7109375" style="437" bestFit="1" customWidth="1"/>
    <col min="14089" max="14089" width="14.42578125" style="437" bestFit="1" customWidth="1"/>
    <col min="14090" max="14339" width="11.42578125" style="437"/>
    <col min="14340" max="14340" width="17.42578125" style="437" customWidth="1"/>
    <col min="14341" max="14341" width="15.7109375" style="437" customWidth="1"/>
    <col min="14342" max="14342" width="3.28515625" style="437" customWidth="1"/>
    <col min="14343" max="14343" width="15.7109375" style="437" customWidth="1"/>
    <col min="14344" max="14344" width="12.7109375" style="437" bestFit="1" customWidth="1"/>
    <col min="14345" max="14345" width="14.42578125" style="437" bestFit="1" customWidth="1"/>
    <col min="14346" max="14595" width="11.42578125" style="437"/>
    <col min="14596" max="14596" width="17.42578125" style="437" customWidth="1"/>
    <col min="14597" max="14597" width="15.7109375" style="437" customWidth="1"/>
    <col min="14598" max="14598" width="3.28515625" style="437" customWidth="1"/>
    <col min="14599" max="14599" width="15.7109375" style="437" customWidth="1"/>
    <col min="14600" max="14600" width="12.7109375" style="437" bestFit="1" customWidth="1"/>
    <col min="14601" max="14601" width="14.42578125" style="437" bestFit="1" customWidth="1"/>
    <col min="14602" max="14851" width="11.42578125" style="437"/>
    <col min="14852" max="14852" width="17.42578125" style="437" customWidth="1"/>
    <col min="14853" max="14853" width="15.7109375" style="437" customWidth="1"/>
    <col min="14854" max="14854" width="3.28515625" style="437" customWidth="1"/>
    <col min="14855" max="14855" width="15.7109375" style="437" customWidth="1"/>
    <col min="14856" max="14856" width="12.7109375" style="437" bestFit="1" customWidth="1"/>
    <col min="14857" max="14857" width="14.42578125" style="437" bestFit="1" customWidth="1"/>
    <col min="14858" max="15107" width="11.42578125" style="437"/>
    <col min="15108" max="15108" width="17.42578125" style="437" customWidth="1"/>
    <col min="15109" max="15109" width="15.7109375" style="437" customWidth="1"/>
    <col min="15110" max="15110" width="3.28515625" style="437" customWidth="1"/>
    <col min="15111" max="15111" width="15.7109375" style="437" customWidth="1"/>
    <col min="15112" max="15112" width="12.7109375" style="437" bestFit="1" customWidth="1"/>
    <col min="15113" max="15113" width="14.42578125" style="437" bestFit="1" customWidth="1"/>
    <col min="15114" max="15363" width="11.42578125" style="437"/>
    <col min="15364" max="15364" width="17.42578125" style="437" customWidth="1"/>
    <col min="15365" max="15365" width="15.7109375" style="437" customWidth="1"/>
    <col min="15366" max="15366" width="3.28515625" style="437" customWidth="1"/>
    <col min="15367" max="15367" width="15.7109375" style="437" customWidth="1"/>
    <col min="15368" max="15368" width="12.7109375" style="437" bestFit="1" customWidth="1"/>
    <col min="15369" max="15369" width="14.42578125" style="437" bestFit="1" customWidth="1"/>
    <col min="15370" max="15619" width="11.42578125" style="437"/>
    <col min="15620" max="15620" width="17.42578125" style="437" customWidth="1"/>
    <col min="15621" max="15621" width="15.7109375" style="437" customWidth="1"/>
    <col min="15622" max="15622" width="3.28515625" style="437" customWidth="1"/>
    <col min="15623" max="15623" width="15.7109375" style="437" customWidth="1"/>
    <col min="15624" max="15624" width="12.7109375" style="437" bestFit="1" customWidth="1"/>
    <col min="15625" max="15625" width="14.42578125" style="437" bestFit="1" customWidth="1"/>
    <col min="15626" max="15875" width="11.42578125" style="437"/>
    <col min="15876" max="15876" width="17.42578125" style="437" customWidth="1"/>
    <col min="15877" max="15877" width="15.7109375" style="437" customWidth="1"/>
    <col min="15878" max="15878" width="3.28515625" style="437" customWidth="1"/>
    <col min="15879" max="15879" width="15.7109375" style="437" customWidth="1"/>
    <col min="15880" max="15880" width="12.7109375" style="437" bestFit="1" customWidth="1"/>
    <col min="15881" max="15881" width="14.42578125" style="437" bestFit="1" customWidth="1"/>
    <col min="15882" max="16131" width="11.42578125" style="437"/>
    <col min="16132" max="16132" width="17.42578125" style="437" customWidth="1"/>
    <col min="16133" max="16133" width="15.7109375" style="437" customWidth="1"/>
    <col min="16134" max="16134" width="3.28515625" style="437" customWidth="1"/>
    <col min="16135" max="16135" width="15.7109375" style="437" customWidth="1"/>
    <col min="16136" max="16136" width="12.7109375" style="437" bestFit="1" customWidth="1"/>
    <col min="16137" max="16137" width="14.42578125" style="437" bestFit="1" customWidth="1"/>
    <col min="16138" max="16384" width="11.42578125" style="437"/>
  </cols>
  <sheetData>
    <row r="1" spans="1:8" s="430" customFormat="1" ht="16.5">
      <c r="A1" s="900" t="s">
        <v>689</v>
      </c>
      <c r="B1" s="900"/>
      <c r="C1" s="900"/>
      <c r="D1" s="900"/>
      <c r="E1" s="900"/>
      <c r="F1" s="900"/>
      <c r="G1" s="900"/>
    </row>
    <row r="2" spans="1:8" s="430" customFormat="1" ht="16.5">
      <c r="A2" s="900" t="s">
        <v>690</v>
      </c>
      <c r="B2" s="900"/>
      <c r="C2" s="900"/>
      <c r="D2" s="900"/>
      <c r="E2" s="900"/>
      <c r="F2" s="900"/>
      <c r="G2" s="900"/>
    </row>
    <row r="3" spans="1:8" s="430" customFormat="1" ht="16.5">
      <c r="A3" s="900" t="s">
        <v>1121</v>
      </c>
      <c r="B3" s="900"/>
      <c r="C3" s="900"/>
      <c r="D3" s="900"/>
      <c r="E3" s="900"/>
      <c r="F3" s="900"/>
      <c r="G3" s="900"/>
    </row>
    <row r="4" spans="1:8" s="430" customFormat="1" ht="16.5">
      <c r="A4" s="900" t="s">
        <v>691</v>
      </c>
      <c r="B4" s="900"/>
      <c r="C4" s="900"/>
      <c r="D4" s="900"/>
      <c r="E4" s="900"/>
      <c r="F4" s="900"/>
      <c r="G4" s="900"/>
    </row>
    <row r="5" spans="1:8" s="430" customFormat="1" ht="16.5"/>
    <row r="6" spans="1:8" s="809" customFormat="1" ht="16.5">
      <c r="E6" s="810"/>
      <c r="F6" s="810"/>
      <c r="G6" s="810"/>
    </row>
    <row r="7" spans="1:8" s="809" customFormat="1" ht="16.5">
      <c r="A7" s="431"/>
      <c r="E7" s="821">
        <v>2020</v>
      </c>
      <c r="F7" s="815"/>
      <c r="G7" s="821">
        <v>2019</v>
      </c>
    </row>
    <row r="8" spans="1:8" s="809" customFormat="1" ht="16.5">
      <c r="A8" s="819" t="s">
        <v>1123</v>
      </c>
      <c r="E8" s="435"/>
      <c r="F8" s="435"/>
      <c r="G8" s="435"/>
    </row>
    <row r="9" spans="1:8" s="809" customFormat="1" ht="16.5">
      <c r="A9" s="817" t="s">
        <v>1124</v>
      </c>
      <c r="E9" s="435">
        <v>27743766567</v>
      </c>
      <c r="F9" s="435"/>
      <c r="G9" s="435">
        <v>33972382455</v>
      </c>
    </row>
    <row r="10" spans="1:8" s="809" customFormat="1" ht="16.5">
      <c r="A10" s="817" t="s">
        <v>1125</v>
      </c>
      <c r="E10" s="435">
        <v>-15697950110</v>
      </c>
      <c r="F10" s="435"/>
      <c r="G10" s="435">
        <v>-20075144100</v>
      </c>
    </row>
    <row r="11" spans="1:8" s="809" customFormat="1" ht="16.5">
      <c r="A11" s="818" t="s">
        <v>1126</v>
      </c>
      <c r="E11" s="435">
        <v>329148888</v>
      </c>
      <c r="F11" s="435"/>
      <c r="G11" s="435">
        <v>155052972</v>
      </c>
    </row>
    <row r="12" spans="1:8" s="809" customFormat="1" ht="16.5">
      <c r="A12" s="817" t="s">
        <v>1127</v>
      </c>
      <c r="E12" s="435">
        <v>-585202418</v>
      </c>
      <c r="F12" s="435"/>
      <c r="G12" s="435">
        <v>-1163829839</v>
      </c>
    </row>
    <row r="13" spans="1:8" s="809" customFormat="1" ht="16.5">
      <c r="A13" s="818" t="s">
        <v>1128</v>
      </c>
      <c r="E13" s="435">
        <v>349470706</v>
      </c>
      <c r="F13" s="435"/>
      <c r="G13" s="435">
        <v>587807643</v>
      </c>
      <c r="H13" s="811"/>
    </row>
    <row r="14" spans="1:8" s="809" customFormat="1" ht="16.5">
      <c r="A14" s="817" t="s">
        <v>1129</v>
      </c>
      <c r="E14" s="434">
        <v>1716818641</v>
      </c>
      <c r="F14" s="435"/>
      <c r="G14" s="434">
        <v>669995418</v>
      </c>
    </row>
    <row r="15" spans="1:8" s="809" customFormat="1" ht="16.5">
      <c r="A15" s="817" t="s">
        <v>1130</v>
      </c>
      <c r="E15" s="433">
        <v>13856052274</v>
      </c>
      <c r="F15" s="435"/>
      <c r="G15" s="433">
        <v>14146264549</v>
      </c>
    </row>
    <row r="16" spans="1:8" s="809" customFormat="1" ht="16.5">
      <c r="A16" s="816"/>
      <c r="E16" s="435"/>
      <c r="F16" s="435"/>
      <c r="G16" s="435"/>
    </row>
    <row r="17" spans="1:9" s="809" customFormat="1" ht="16.5">
      <c r="A17" s="819" t="s">
        <v>1131</v>
      </c>
      <c r="E17" s="435"/>
      <c r="F17" s="435"/>
      <c r="G17" s="435"/>
    </row>
    <row r="18" spans="1:9" s="809" customFormat="1" ht="16.5">
      <c r="A18" s="818" t="s">
        <v>1132</v>
      </c>
      <c r="E18" s="435">
        <v>6806004596</v>
      </c>
      <c r="F18" s="435"/>
      <c r="G18" s="435">
        <v>2985930475</v>
      </c>
    </row>
    <row r="19" spans="1:9" s="809" customFormat="1" ht="16.5">
      <c r="A19" s="817" t="s">
        <v>1133</v>
      </c>
      <c r="E19" s="435">
        <v>0</v>
      </c>
      <c r="F19" s="435"/>
      <c r="G19" s="435">
        <v>0</v>
      </c>
    </row>
    <row r="20" spans="1:9" s="809" customFormat="1" ht="16.5">
      <c r="A20" s="817" t="s">
        <v>1134</v>
      </c>
      <c r="E20" s="434">
        <v>0</v>
      </c>
      <c r="F20" s="435"/>
      <c r="G20" s="434">
        <v>0</v>
      </c>
    </row>
    <row r="21" spans="1:9" s="809" customFormat="1" ht="16.5">
      <c r="A21" s="817" t="s">
        <v>1135</v>
      </c>
      <c r="E21" s="434">
        <v>0</v>
      </c>
      <c r="F21" s="435"/>
      <c r="G21" s="435">
        <v>0</v>
      </c>
    </row>
    <row r="22" spans="1:9" s="809" customFormat="1" ht="16.5">
      <c r="A22" s="817" t="s">
        <v>1136</v>
      </c>
      <c r="E22" s="433">
        <v>6806004596</v>
      </c>
      <c r="F22" s="434"/>
      <c r="G22" s="433">
        <v>2985930475</v>
      </c>
    </row>
    <row r="23" spans="1:9" s="809" customFormat="1" ht="16.5">
      <c r="A23" s="816"/>
      <c r="E23" s="435"/>
      <c r="F23" s="435"/>
      <c r="G23" s="435"/>
    </row>
    <row r="24" spans="1:9" s="809" customFormat="1" ht="16.5">
      <c r="A24" s="819" t="s">
        <v>1137</v>
      </c>
      <c r="E24" s="435"/>
      <c r="F24" s="435"/>
      <c r="G24" s="435"/>
    </row>
    <row r="25" spans="1:9" s="812" customFormat="1" ht="16.5">
      <c r="A25" s="817" t="s">
        <v>1138</v>
      </c>
      <c r="E25" s="813">
        <v>-6327364409</v>
      </c>
      <c r="F25" s="813"/>
      <c r="G25" s="813">
        <v>-9268683978</v>
      </c>
    </row>
    <row r="26" spans="1:9" s="809" customFormat="1" ht="16.5">
      <c r="A26" s="817" t="s">
        <v>1139</v>
      </c>
      <c r="E26" s="435">
        <v>0</v>
      </c>
      <c r="F26" s="435"/>
      <c r="G26" s="435">
        <v>0</v>
      </c>
    </row>
    <row r="27" spans="1:9" s="809" customFormat="1" ht="16.5">
      <c r="A27" s="817" t="s">
        <v>692</v>
      </c>
      <c r="E27" s="820">
        <v>-10687053782</v>
      </c>
      <c r="F27" s="435"/>
      <c r="G27" s="820">
        <v>-1348767800</v>
      </c>
    </row>
    <row r="28" spans="1:9" s="809" customFormat="1" ht="16.5">
      <c r="A28" s="816" t="s">
        <v>1140</v>
      </c>
      <c r="E28" s="433">
        <v>-17014418191</v>
      </c>
      <c r="F28" s="435"/>
      <c r="G28" s="436">
        <v>-10617451778</v>
      </c>
    </row>
    <row r="29" spans="1:9" s="809" customFormat="1" ht="16.5">
      <c r="A29" s="817" t="s">
        <v>1141</v>
      </c>
      <c r="E29" s="436">
        <v>3647638679</v>
      </c>
      <c r="F29" s="435"/>
      <c r="G29" s="436">
        <v>6514743246</v>
      </c>
    </row>
    <row r="30" spans="1:9" s="809" customFormat="1" ht="16.5">
      <c r="A30" s="814" t="s">
        <v>1142</v>
      </c>
      <c r="E30" s="433">
        <v>334488163</v>
      </c>
      <c r="F30" s="435"/>
      <c r="G30" s="433">
        <v>-166222452</v>
      </c>
    </row>
    <row r="31" spans="1:9" s="809" customFormat="1" ht="16.5">
      <c r="A31" s="817" t="s">
        <v>1143</v>
      </c>
      <c r="E31" s="822">
        <v>9235052242</v>
      </c>
      <c r="F31" s="813"/>
      <c r="G31" s="822">
        <v>2886531448</v>
      </c>
      <c r="H31" s="811"/>
      <c r="I31" s="811"/>
    </row>
    <row r="32" spans="1:9" s="809" customFormat="1" ht="16.5">
      <c r="A32" s="819" t="s">
        <v>1144</v>
      </c>
      <c r="E32" s="434">
        <v>13217179084</v>
      </c>
      <c r="F32" s="434"/>
      <c r="G32" s="434">
        <v>9235052242</v>
      </c>
    </row>
    <row r="33" spans="1:9" s="809" customFormat="1" ht="16.5">
      <c r="A33" s="431"/>
      <c r="E33" s="434"/>
      <c r="F33" s="435"/>
      <c r="G33" s="434"/>
      <c r="H33" s="811"/>
      <c r="I33" s="811"/>
    </row>
    <row r="34" spans="1:9" s="430" customFormat="1" ht="16.5">
      <c r="E34" s="432"/>
    </row>
    <row r="35" spans="1:9" s="430" customFormat="1" ht="26.25" customHeight="1"/>
    <row r="36" spans="1:9" s="430" customFormat="1" ht="16.5"/>
    <row r="37" spans="1:9" s="430" customFormat="1" ht="16.5">
      <c r="A37" s="898" t="s">
        <v>693</v>
      </c>
      <c r="B37" s="898"/>
      <c r="C37" s="898"/>
      <c r="E37" s="898" t="s">
        <v>694</v>
      </c>
      <c r="F37" s="898"/>
      <c r="G37" s="898"/>
    </row>
    <row r="38" spans="1:9" s="430" customFormat="1" ht="16.5">
      <c r="A38" s="898" t="s">
        <v>607</v>
      </c>
      <c r="B38" s="898"/>
      <c r="C38" s="898"/>
      <c r="E38" s="899" t="s">
        <v>695</v>
      </c>
      <c r="F38" s="899"/>
      <c r="G38" s="899"/>
    </row>
    <row r="39" spans="1:9" s="430" customFormat="1" ht="25.5" customHeight="1"/>
    <row r="40" spans="1:9" s="430" customFormat="1" ht="16.5"/>
    <row r="41" spans="1:9" s="430" customFormat="1" ht="16.5"/>
    <row r="42" spans="1:9" s="430" customFormat="1" ht="16.5"/>
    <row r="43" spans="1:9" s="430" customFormat="1" ht="16.5">
      <c r="A43" s="898" t="s">
        <v>609</v>
      </c>
      <c r="B43" s="898"/>
      <c r="C43" s="898"/>
      <c r="E43" s="899" t="s">
        <v>696</v>
      </c>
      <c r="F43" s="899"/>
      <c r="G43" s="899"/>
    </row>
    <row r="44" spans="1:9" s="430" customFormat="1" ht="16.5">
      <c r="A44" s="898" t="s">
        <v>697</v>
      </c>
      <c r="B44" s="898"/>
      <c r="C44" s="898"/>
      <c r="E44" s="899" t="s">
        <v>698</v>
      </c>
      <c r="F44" s="899"/>
      <c r="G44" s="899"/>
    </row>
  </sheetData>
  <mergeCells count="12">
    <mergeCell ref="A1:G1"/>
    <mergeCell ref="A2:G2"/>
    <mergeCell ref="A3:G3"/>
    <mergeCell ref="A4:G4"/>
    <mergeCell ref="A37:C37"/>
    <mergeCell ref="E37:G37"/>
    <mergeCell ref="A38:C38"/>
    <mergeCell ref="E38:G38"/>
    <mergeCell ref="A43:C43"/>
    <mergeCell ref="E43:G43"/>
    <mergeCell ref="A44:C44"/>
    <mergeCell ref="E44:G44"/>
  </mergeCells>
  <printOptions horizontalCentered="1"/>
  <pageMargins left="0.78740157480314965" right="0.78740157480314965" top="1.5748031496062993" bottom="0.78740157480314965" header="0.31496062992125984" footer="0.31496062992125984"/>
  <pageSetup paperSize="14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topLeftCell="A11" zoomScaleNormal="100" workbookViewId="0">
      <selection activeCell="D28" sqref="D28"/>
    </sheetView>
  </sheetViews>
  <sheetFormatPr baseColWidth="10" defaultColWidth="12.5703125" defaultRowHeight="15"/>
  <cols>
    <col min="1" max="1" width="28.7109375" style="305" customWidth="1"/>
    <col min="2" max="2" width="18.140625" style="305" customWidth="1"/>
    <col min="3" max="3" width="18.7109375" style="305" customWidth="1"/>
    <col min="4" max="4" width="14.28515625" style="305" customWidth="1"/>
    <col min="5" max="5" width="13.28515625" style="305" customWidth="1"/>
    <col min="6" max="6" width="15.7109375" style="305" customWidth="1"/>
    <col min="7" max="7" width="14.7109375" style="305" customWidth="1"/>
    <col min="8" max="8" width="15" style="305" customWidth="1"/>
    <col min="9" max="9" width="15.28515625" style="305" customWidth="1"/>
    <col min="10" max="10" width="13.5703125" style="305" bestFit="1" customWidth="1"/>
    <col min="11" max="256" width="12.5703125" style="305"/>
    <col min="257" max="257" width="28.7109375" style="305" customWidth="1"/>
    <col min="258" max="258" width="18.140625" style="305" customWidth="1"/>
    <col min="259" max="259" width="18.7109375" style="305" customWidth="1"/>
    <col min="260" max="260" width="14.28515625" style="305" customWidth="1"/>
    <col min="261" max="261" width="13.28515625" style="305" customWidth="1"/>
    <col min="262" max="262" width="15.7109375" style="305" customWidth="1"/>
    <col min="263" max="263" width="14.7109375" style="305" customWidth="1"/>
    <col min="264" max="264" width="15" style="305" customWidth="1"/>
    <col min="265" max="265" width="15.28515625" style="305" customWidth="1"/>
    <col min="266" max="266" width="13.5703125" style="305" bestFit="1" customWidth="1"/>
    <col min="267" max="512" width="12.5703125" style="305"/>
    <col min="513" max="513" width="28.7109375" style="305" customWidth="1"/>
    <col min="514" max="514" width="18.140625" style="305" customWidth="1"/>
    <col min="515" max="515" width="18.7109375" style="305" customWidth="1"/>
    <col min="516" max="516" width="14.28515625" style="305" customWidth="1"/>
    <col min="517" max="517" width="13.28515625" style="305" customWidth="1"/>
    <col min="518" max="518" width="15.7109375" style="305" customWidth="1"/>
    <col min="519" max="519" width="14.7109375" style="305" customWidth="1"/>
    <col min="520" max="520" width="15" style="305" customWidth="1"/>
    <col min="521" max="521" width="15.28515625" style="305" customWidth="1"/>
    <col min="522" max="522" width="13.5703125" style="305" bestFit="1" customWidth="1"/>
    <col min="523" max="768" width="12.5703125" style="305"/>
    <col min="769" max="769" width="28.7109375" style="305" customWidth="1"/>
    <col min="770" max="770" width="18.140625" style="305" customWidth="1"/>
    <col min="771" max="771" width="18.7109375" style="305" customWidth="1"/>
    <col min="772" max="772" width="14.28515625" style="305" customWidth="1"/>
    <col min="773" max="773" width="13.28515625" style="305" customWidth="1"/>
    <col min="774" max="774" width="15.7109375" style="305" customWidth="1"/>
    <col min="775" max="775" width="14.7109375" style="305" customWidth="1"/>
    <col min="776" max="776" width="15" style="305" customWidth="1"/>
    <col min="777" max="777" width="15.28515625" style="305" customWidth="1"/>
    <col min="778" max="778" width="13.5703125" style="305" bestFit="1" customWidth="1"/>
    <col min="779" max="1024" width="12.5703125" style="305"/>
    <col min="1025" max="1025" width="28.7109375" style="305" customWidth="1"/>
    <col min="1026" max="1026" width="18.140625" style="305" customWidth="1"/>
    <col min="1027" max="1027" width="18.7109375" style="305" customWidth="1"/>
    <col min="1028" max="1028" width="14.28515625" style="305" customWidth="1"/>
    <col min="1029" max="1029" width="13.28515625" style="305" customWidth="1"/>
    <col min="1030" max="1030" width="15.7109375" style="305" customWidth="1"/>
    <col min="1031" max="1031" width="14.7109375" style="305" customWidth="1"/>
    <col min="1032" max="1032" width="15" style="305" customWidth="1"/>
    <col min="1033" max="1033" width="15.28515625" style="305" customWidth="1"/>
    <col min="1034" max="1034" width="13.5703125" style="305" bestFit="1" customWidth="1"/>
    <col min="1035" max="1280" width="12.5703125" style="305"/>
    <col min="1281" max="1281" width="28.7109375" style="305" customWidth="1"/>
    <col min="1282" max="1282" width="18.140625" style="305" customWidth="1"/>
    <col min="1283" max="1283" width="18.7109375" style="305" customWidth="1"/>
    <col min="1284" max="1284" width="14.28515625" style="305" customWidth="1"/>
    <col min="1285" max="1285" width="13.28515625" style="305" customWidth="1"/>
    <col min="1286" max="1286" width="15.7109375" style="305" customWidth="1"/>
    <col min="1287" max="1287" width="14.7109375" style="305" customWidth="1"/>
    <col min="1288" max="1288" width="15" style="305" customWidth="1"/>
    <col min="1289" max="1289" width="15.28515625" style="305" customWidth="1"/>
    <col min="1290" max="1290" width="13.5703125" style="305" bestFit="1" customWidth="1"/>
    <col min="1291" max="1536" width="12.5703125" style="305"/>
    <col min="1537" max="1537" width="28.7109375" style="305" customWidth="1"/>
    <col min="1538" max="1538" width="18.140625" style="305" customWidth="1"/>
    <col min="1539" max="1539" width="18.7109375" style="305" customWidth="1"/>
    <col min="1540" max="1540" width="14.28515625" style="305" customWidth="1"/>
    <col min="1541" max="1541" width="13.28515625" style="305" customWidth="1"/>
    <col min="1542" max="1542" width="15.7109375" style="305" customWidth="1"/>
    <col min="1543" max="1543" width="14.7109375" style="305" customWidth="1"/>
    <col min="1544" max="1544" width="15" style="305" customWidth="1"/>
    <col min="1545" max="1545" width="15.28515625" style="305" customWidth="1"/>
    <col min="1546" max="1546" width="13.5703125" style="305" bestFit="1" customWidth="1"/>
    <col min="1547" max="1792" width="12.5703125" style="305"/>
    <col min="1793" max="1793" width="28.7109375" style="305" customWidth="1"/>
    <col min="1794" max="1794" width="18.140625" style="305" customWidth="1"/>
    <col min="1795" max="1795" width="18.7109375" style="305" customWidth="1"/>
    <col min="1796" max="1796" width="14.28515625" style="305" customWidth="1"/>
    <col min="1797" max="1797" width="13.28515625" style="305" customWidth="1"/>
    <col min="1798" max="1798" width="15.7109375" style="305" customWidth="1"/>
    <col min="1799" max="1799" width="14.7109375" style="305" customWidth="1"/>
    <col min="1800" max="1800" width="15" style="305" customWidth="1"/>
    <col min="1801" max="1801" width="15.28515625" style="305" customWidth="1"/>
    <col min="1802" max="1802" width="13.5703125" style="305" bestFit="1" customWidth="1"/>
    <col min="1803" max="2048" width="12.5703125" style="305"/>
    <col min="2049" max="2049" width="28.7109375" style="305" customWidth="1"/>
    <col min="2050" max="2050" width="18.140625" style="305" customWidth="1"/>
    <col min="2051" max="2051" width="18.7109375" style="305" customWidth="1"/>
    <col min="2052" max="2052" width="14.28515625" style="305" customWidth="1"/>
    <col min="2053" max="2053" width="13.28515625" style="305" customWidth="1"/>
    <col min="2054" max="2054" width="15.7109375" style="305" customWidth="1"/>
    <col min="2055" max="2055" width="14.7109375" style="305" customWidth="1"/>
    <col min="2056" max="2056" width="15" style="305" customWidth="1"/>
    <col min="2057" max="2057" width="15.28515625" style="305" customWidth="1"/>
    <col min="2058" max="2058" width="13.5703125" style="305" bestFit="1" customWidth="1"/>
    <col min="2059" max="2304" width="12.5703125" style="305"/>
    <col min="2305" max="2305" width="28.7109375" style="305" customWidth="1"/>
    <col min="2306" max="2306" width="18.140625" style="305" customWidth="1"/>
    <col min="2307" max="2307" width="18.7109375" style="305" customWidth="1"/>
    <col min="2308" max="2308" width="14.28515625" style="305" customWidth="1"/>
    <col min="2309" max="2309" width="13.28515625" style="305" customWidth="1"/>
    <col min="2310" max="2310" width="15.7109375" style="305" customWidth="1"/>
    <col min="2311" max="2311" width="14.7109375" style="305" customWidth="1"/>
    <col min="2312" max="2312" width="15" style="305" customWidth="1"/>
    <col min="2313" max="2313" width="15.28515625" style="305" customWidth="1"/>
    <col min="2314" max="2314" width="13.5703125" style="305" bestFit="1" customWidth="1"/>
    <col min="2315" max="2560" width="12.5703125" style="305"/>
    <col min="2561" max="2561" width="28.7109375" style="305" customWidth="1"/>
    <col min="2562" max="2562" width="18.140625" style="305" customWidth="1"/>
    <col min="2563" max="2563" width="18.7109375" style="305" customWidth="1"/>
    <col min="2564" max="2564" width="14.28515625" style="305" customWidth="1"/>
    <col min="2565" max="2565" width="13.28515625" style="305" customWidth="1"/>
    <col min="2566" max="2566" width="15.7109375" style="305" customWidth="1"/>
    <col min="2567" max="2567" width="14.7109375" style="305" customWidth="1"/>
    <col min="2568" max="2568" width="15" style="305" customWidth="1"/>
    <col min="2569" max="2569" width="15.28515625" style="305" customWidth="1"/>
    <col min="2570" max="2570" width="13.5703125" style="305" bestFit="1" customWidth="1"/>
    <col min="2571" max="2816" width="12.5703125" style="305"/>
    <col min="2817" max="2817" width="28.7109375" style="305" customWidth="1"/>
    <col min="2818" max="2818" width="18.140625" style="305" customWidth="1"/>
    <col min="2819" max="2819" width="18.7109375" style="305" customWidth="1"/>
    <col min="2820" max="2820" width="14.28515625" style="305" customWidth="1"/>
    <col min="2821" max="2821" width="13.28515625" style="305" customWidth="1"/>
    <col min="2822" max="2822" width="15.7109375" style="305" customWidth="1"/>
    <col min="2823" max="2823" width="14.7109375" style="305" customWidth="1"/>
    <col min="2824" max="2824" width="15" style="305" customWidth="1"/>
    <col min="2825" max="2825" width="15.28515625" style="305" customWidth="1"/>
    <col min="2826" max="2826" width="13.5703125" style="305" bestFit="1" customWidth="1"/>
    <col min="2827" max="3072" width="12.5703125" style="305"/>
    <col min="3073" max="3073" width="28.7109375" style="305" customWidth="1"/>
    <col min="3074" max="3074" width="18.140625" style="305" customWidth="1"/>
    <col min="3075" max="3075" width="18.7109375" style="305" customWidth="1"/>
    <col min="3076" max="3076" width="14.28515625" style="305" customWidth="1"/>
    <col min="3077" max="3077" width="13.28515625" style="305" customWidth="1"/>
    <col min="3078" max="3078" width="15.7109375" style="305" customWidth="1"/>
    <col min="3079" max="3079" width="14.7109375" style="305" customWidth="1"/>
    <col min="3080" max="3080" width="15" style="305" customWidth="1"/>
    <col min="3081" max="3081" width="15.28515625" style="305" customWidth="1"/>
    <col min="3082" max="3082" width="13.5703125" style="305" bestFit="1" customWidth="1"/>
    <col min="3083" max="3328" width="12.5703125" style="305"/>
    <col min="3329" max="3329" width="28.7109375" style="305" customWidth="1"/>
    <col min="3330" max="3330" width="18.140625" style="305" customWidth="1"/>
    <col min="3331" max="3331" width="18.7109375" style="305" customWidth="1"/>
    <col min="3332" max="3332" width="14.28515625" style="305" customWidth="1"/>
    <col min="3333" max="3333" width="13.28515625" style="305" customWidth="1"/>
    <col min="3334" max="3334" width="15.7109375" style="305" customWidth="1"/>
    <col min="3335" max="3335" width="14.7109375" style="305" customWidth="1"/>
    <col min="3336" max="3336" width="15" style="305" customWidth="1"/>
    <col min="3337" max="3337" width="15.28515625" style="305" customWidth="1"/>
    <col min="3338" max="3338" width="13.5703125" style="305" bestFit="1" customWidth="1"/>
    <col min="3339" max="3584" width="12.5703125" style="305"/>
    <col min="3585" max="3585" width="28.7109375" style="305" customWidth="1"/>
    <col min="3586" max="3586" width="18.140625" style="305" customWidth="1"/>
    <col min="3587" max="3587" width="18.7109375" style="305" customWidth="1"/>
    <col min="3588" max="3588" width="14.28515625" style="305" customWidth="1"/>
    <col min="3589" max="3589" width="13.28515625" style="305" customWidth="1"/>
    <col min="3590" max="3590" width="15.7109375" style="305" customWidth="1"/>
    <col min="3591" max="3591" width="14.7109375" style="305" customWidth="1"/>
    <col min="3592" max="3592" width="15" style="305" customWidth="1"/>
    <col min="3593" max="3593" width="15.28515625" style="305" customWidth="1"/>
    <col min="3594" max="3594" width="13.5703125" style="305" bestFit="1" customWidth="1"/>
    <col min="3595" max="3840" width="12.5703125" style="305"/>
    <col min="3841" max="3841" width="28.7109375" style="305" customWidth="1"/>
    <col min="3842" max="3842" width="18.140625" style="305" customWidth="1"/>
    <col min="3843" max="3843" width="18.7109375" style="305" customWidth="1"/>
    <col min="3844" max="3844" width="14.28515625" style="305" customWidth="1"/>
    <col min="3845" max="3845" width="13.28515625" style="305" customWidth="1"/>
    <col min="3846" max="3846" width="15.7109375" style="305" customWidth="1"/>
    <col min="3847" max="3847" width="14.7109375" style="305" customWidth="1"/>
    <col min="3848" max="3848" width="15" style="305" customWidth="1"/>
    <col min="3849" max="3849" width="15.28515625" style="305" customWidth="1"/>
    <col min="3850" max="3850" width="13.5703125" style="305" bestFit="1" customWidth="1"/>
    <col min="3851" max="4096" width="12.5703125" style="305"/>
    <col min="4097" max="4097" width="28.7109375" style="305" customWidth="1"/>
    <col min="4098" max="4098" width="18.140625" style="305" customWidth="1"/>
    <col min="4099" max="4099" width="18.7109375" style="305" customWidth="1"/>
    <col min="4100" max="4100" width="14.28515625" style="305" customWidth="1"/>
    <col min="4101" max="4101" width="13.28515625" style="305" customWidth="1"/>
    <col min="4102" max="4102" width="15.7109375" style="305" customWidth="1"/>
    <col min="4103" max="4103" width="14.7109375" style="305" customWidth="1"/>
    <col min="4104" max="4104" width="15" style="305" customWidth="1"/>
    <col min="4105" max="4105" width="15.28515625" style="305" customWidth="1"/>
    <col min="4106" max="4106" width="13.5703125" style="305" bestFit="1" customWidth="1"/>
    <col min="4107" max="4352" width="12.5703125" style="305"/>
    <col min="4353" max="4353" width="28.7109375" style="305" customWidth="1"/>
    <col min="4354" max="4354" width="18.140625" style="305" customWidth="1"/>
    <col min="4355" max="4355" width="18.7109375" style="305" customWidth="1"/>
    <col min="4356" max="4356" width="14.28515625" style="305" customWidth="1"/>
    <col min="4357" max="4357" width="13.28515625" style="305" customWidth="1"/>
    <col min="4358" max="4358" width="15.7109375" style="305" customWidth="1"/>
    <col min="4359" max="4359" width="14.7109375" style="305" customWidth="1"/>
    <col min="4360" max="4360" width="15" style="305" customWidth="1"/>
    <col min="4361" max="4361" width="15.28515625" style="305" customWidth="1"/>
    <col min="4362" max="4362" width="13.5703125" style="305" bestFit="1" customWidth="1"/>
    <col min="4363" max="4608" width="12.5703125" style="305"/>
    <col min="4609" max="4609" width="28.7109375" style="305" customWidth="1"/>
    <col min="4610" max="4610" width="18.140625" style="305" customWidth="1"/>
    <col min="4611" max="4611" width="18.7109375" style="305" customWidth="1"/>
    <col min="4612" max="4612" width="14.28515625" style="305" customWidth="1"/>
    <col min="4613" max="4613" width="13.28515625" style="305" customWidth="1"/>
    <col min="4614" max="4614" width="15.7109375" style="305" customWidth="1"/>
    <col min="4615" max="4615" width="14.7109375" style="305" customWidth="1"/>
    <col min="4616" max="4616" width="15" style="305" customWidth="1"/>
    <col min="4617" max="4617" width="15.28515625" style="305" customWidth="1"/>
    <col min="4618" max="4618" width="13.5703125" style="305" bestFit="1" customWidth="1"/>
    <col min="4619" max="4864" width="12.5703125" style="305"/>
    <col min="4865" max="4865" width="28.7109375" style="305" customWidth="1"/>
    <col min="4866" max="4866" width="18.140625" style="305" customWidth="1"/>
    <col min="4867" max="4867" width="18.7109375" style="305" customWidth="1"/>
    <col min="4868" max="4868" width="14.28515625" style="305" customWidth="1"/>
    <col min="4869" max="4869" width="13.28515625" style="305" customWidth="1"/>
    <col min="4870" max="4870" width="15.7109375" style="305" customWidth="1"/>
    <col min="4871" max="4871" width="14.7109375" style="305" customWidth="1"/>
    <col min="4872" max="4872" width="15" style="305" customWidth="1"/>
    <col min="4873" max="4873" width="15.28515625" style="305" customWidth="1"/>
    <col min="4874" max="4874" width="13.5703125" style="305" bestFit="1" customWidth="1"/>
    <col min="4875" max="5120" width="12.5703125" style="305"/>
    <col min="5121" max="5121" width="28.7109375" style="305" customWidth="1"/>
    <col min="5122" max="5122" width="18.140625" style="305" customWidth="1"/>
    <col min="5123" max="5123" width="18.7109375" style="305" customWidth="1"/>
    <col min="5124" max="5124" width="14.28515625" style="305" customWidth="1"/>
    <col min="5125" max="5125" width="13.28515625" style="305" customWidth="1"/>
    <col min="5126" max="5126" width="15.7109375" style="305" customWidth="1"/>
    <col min="5127" max="5127" width="14.7109375" style="305" customWidth="1"/>
    <col min="5128" max="5128" width="15" style="305" customWidth="1"/>
    <col min="5129" max="5129" width="15.28515625" style="305" customWidth="1"/>
    <col min="5130" max="5130" width="13.5703125" style="305" bestFit="1" customWidth="1"/>
    <col min="5131" max="5376" width="12.5703125" style="305"/>
    <col min="5377" max="5377" width="28.7109375" style="305" customWidth="1"/>
    <col min="5378" max="5378" width="18.140625" style="305" customWidth="1"/>
    <col min="5379" max="5379" width="18.7109375" style="305" customWidth="1"/>
    <col min="5380" max="5380" width="14.28515625" style="305" customWidth="1"/>
    <col min="5381" max="5381" width="13.28515625" style="305" customWidth="1"/>
    <col min="5382" max="5382" width="15.7109375" style="305" customWidth="1"/>
    <col min="5383" max="5383" width="14.7109375" style="305" customWidth="1"/>
    <col min="5384" max="5384" width="15" style="305" customWidth="1"/>
    <col min="5385" max="5385" width="15.28515625" style="305" customWidth="1"/>
    <col min="5386" max="5386" width="13.5703125" style="305" bestFit="1" customWidth="1"/>
    <col min="5387" max="5632" width="12.5703125" style="305"/>
    <col min="5633" max="5633" width="28.7109375" style="305" customWidth="1"/>
    <col min="5634" max="5634" width="18.140625" style="305" customWidth="1"/>
    <col min="5635" max="5635" width="18.7109375" style="305" customWidth="1"/>
    <col min="5636" max="5636" width="14.28515625" style="305" customWidth="1"/>
    <col min="5637" max="5637" width="13.28515625" style="305" customWidth="1"/>
    <col min="5638" max="5638" width="15.7109375" style="305" customWidth="1"/>
    <col min="5639" max="5639" width="14.7109375" style="305" customWidth="1"/>
    <col min="5640" max="5640" width="15" style="305" customWidth="1"/>
    <col min="5641" max="5641" width="15.28515625" style="305" customWidth="1"/>
    <col min="5642" max="5642" width="13.5703125" style="305" bestFit="1" customWidth="1"/>
    <col min="5643" max="5888" width="12.5703125" style="305"/>
    <col min="5889" max="5889" width="28.7109375" style="305" customWidth="1"/>
    <col min="5890" max="5890" width="18.140625" style="305" customWidth="1"/>
    <col min="5891" max="5891" width="18.7109375" style="305" customWidth="1"/>
    <col min="5892" max="5892" width="14.28515625" style="305" customWidth="1"/>
    <col min="5893" max="5893" width="13.28515625" style="305" customWidth="1"/>
    <col min="5894" max="5894" width="15.7109375" style="305" customWidth="1"/>
    <col min="5895" max="5895" width="14.7109375" style="305" customWidth="1"/>
    <col min="5896" max="5896" width="15" style="305" customWidth="1"/>
    <col min="5897" max="5897" width="15.28515625" style="305" customWidth="1"/>
    <col min="5898" max="5898" width="13.5703125" style="305" bestFit="1" customWidth="1"/>
    <col min="5899" max="6144" width="12.5703125" style="305"/>
    <col min="6145" max="6145" width="28.7109375" style="305" customWidth="1"/>
    <col min="6146" max="6146" width="18.140625" style="305" customWidth="1"/>
    <col min="6147" max="6147" width="18.7109375" style="305" customWidth="1"/>
    <col min="6148" max="6148" width="14.28515625" style="305" customWidth="1"/>
    <col min="6149" max="6149" width="13.28515625" style="305" customWidth="1"/>
    <col min="6150" max="6150" width="15.7109375" style="305" customWidth="1"/>
    <col min="6151" max="6151" width="14.7109375" style="305" customWidth="1"/>
    <col min="6152" max="6152" width="15" style="305" customWidth="1"/>
    <col min="6153" max="6153" width="15.28515625" style="305" customWidth="1"/>
    <col min="6154" max="6154" width="13.5703125" style="305" bestFit="1" customWidth="1"/>
    <col min="6155" max="6400" width="12.5703125" style="305"/>
    <col min="6401" max="6401" width="28.7109375" style="305" customWidth="1"/>
    <col min="6402" max="6402" width="18.140625" style="305" customWidth="1"/>
    <col min="6403" max="6403" width="18.7109375" style="305" customWidth="1"/>
    <col min="6404" max="6404" width="14.28515625" style="305" customWidth="1"/>
    <col min="6405" max="6405" width="13.28515625" style="305" customWidth="1"/>
    <col min="6406" max="6406" width="15.7109375" style="305" customWidth="1"/>
    <col min="6407" max="6407" width="14.7109375" style="305" customWidth="1"/>
    <col min="6408" max="6408" width="15" style="305" customWidth="1"/>
    <col min="6409" max="6409" width="15.28515625" style="305" customWidth="1"/>
    <col min="6410" max="6410" width="13.5703125" style="305" bestFit="1" customWidth="1"/>
    <col min="6411" max="6656" width="12.5703125" style="305"/>
    <col min="6657" max="6657" width="28.7109375" style="305" customWidth="1"/>
    <col min="6658" max="6658" width="18.140625" style="305" customWidth="1"/>
    <col min="6659" max="6659" width="18.7109375" style="305" customWidth="1"/>
    <col min="6660" max="6660" width="14.28515625" style="305" customWidth="1"/>
    <col min="6661" max="6661" width="13.28515625" style="305" customWidth="1"/>
    <col min="6662" max="6662" width="15.7109375" style="305" customWidth="1"/>
    <col min="6663" max="6663" width="14.7109375" style="305" customWidth="1"/>
    <col min="6664" max="6664" width="15" style="305" customWidth="1"/>
    <col min="6665" max="6665" width="15.28515625" style="305" customWidth="1"/>
    <col min="6666" max="6666" width="13.5703125" style="305" bestFit="1" customWidth="1"/>
    <col min="6667" max="6912" width="12.5703125" style="305"/>
    <col min="6913" max="6913" width="28.7109375" style="305" customWidth="1"/>
    <col min="6914" max="6914" width="18.140625" style="305" customWidth="1"/>
    <col min="6915" max="6915" width="18.7109375" style="305" customWidth="1"/>
    <col min="6916" max="6916" width="14.28515625" style="305" customWidth="1"/>
    <col min="6917" max="6917" width="13.28515625" style="305" customWidth="1"/>
    <col min="6918" max="6918" width="15.7109375" style="305" customWidth="1"/>
    <col min="6919" max="6919" width="14.7109375" style="305" customWidth="1"/>
    <col min="6920" max="6920" width="15" style="305" customWidth="1"/>
    <col min="6921" max="6921" width="15.28515625" style="305" customWidth="1"/>
    <col min="6922" max="6922" width="13.5703125" style="305" bestFit="1" customWidth="1"/>
    <col min="6923" max="7168" width="12.5703125" style="305"/>
    <col min="7169" max="7169" width="28.7109375" style="305" customWidth="1"/>
    <col min="7170" max="7170" width="18.140625" style="305" customWidth="1"/>
    <col min="7171" max="7171" width="18.7109375" style="305" customWidth="1"/>
    <col min="7172" max="7172" width="14.28515625" style="305" customWidth="1"/>
    <col min="7173" max="7173" width="13.28515625" style="305" customWidth="1"/>
    <col min="7174" max="7174" width="15.7109375" style="305" customWidth="1"/>
    <col min="7175" max="7175" width="14.7109375" style="305" customWidth="1"/>
    <col min="7176" max="7176" width="15" style="305" customWidth="1"/>
    <col min="7177" max="7177" width="15.28515625" style="305" customWidth="1"/>
    <col min="7178" max="7178" width="13.5703125" style="305" bestFit="1" customWidth="1"/>
    <col min="7179" max="7424" width="12.5703125" style="305"/>
    <col min="7425" max="7425" width="28.7109375" style="305" customWidth="1"/>
    <col min="7426" max="7426" width="18.140625" style="305" customWidth="1"/>
    <col min="7427" max="7427" width="18.7109375" style="305" customWidth="1"/>
    <col min="7428" max="7428" width="14.28515625" style="305" customWidth="1"/>
    <col min="7429" max="7429" width="13.28515625" style="305" customWidth="1"/>
    <col min="7430" max="7430" width="15.7109375" style="305" customWidth="1"/>
    <col min="7431" max="7431" width="14.7109375" style="305" customWidth="1"/>
    <col min="7432" max="7432" width="15" style="305" customWidth="1"/>
    <col min="7433" max="7433" width="15.28515625" style="305" customWidth="1"/>
    <col min="7434" max="7434" width="13.5703125" style="305" bestFit="1" customWidth="1"/>
    <col min="7435" max="7680" width="12.5703125" style="305"/>
    <col min="7681" max="7681" width="28.7109375" style="305" customWidth="1"/>
    <col min="7682" max="7682" width="18.140625" style="305" customWidth="1"/>
    <col min="7683" max="7683" width="18.7109375" style="305" customWidth="1"/>
    <col min="7684" max="7684" width="14.28515625" style="305" customWidth="1"/>
    <col min="7685" max="7685" width="13.28515625" style="305" customWidth="1"/>
    <col min="7686" max="7686" width="15.7109375" style="305" customWidth="1"/>
    <col min="7687" max="7687" width="14.7109375" style="305" customWidth="1"/>
    <col min="7688" max="7688" width="15" style="305" customWidth="1"/>
    <col min="7689" max="7689" width="15.28515625" style="305" customWidth="1"/>
    <col min="7690" max="7690" width="13.5703125" style="305" bestFit="1" customWidth="1"/>
    <col min="7691" max="7936" width="12.5703125" style="305"/>
    <col min="7937" max="7937" width="28.7109375" style="305" customWidth="1"/>
    <col min="7938" max="7938" width="18.140625" style="305" customWidth="1"/>
    <col min="7939" max="7939" width="18.7109375" style="305" customWidth="1"/>
    <col min="7940" max="7940" width="14.28515625" style="305" customWidth="1"/>
    <col min="7941" max="7941" width="13.28515625" style="305" customWidth="1"/>
    <col min="7942" max="7942" width="15.7109375" style="305" customWidth="1"/>
    <col min="7943" max="7943" width="14.7109375" style="305" customWidth="1"/>
    <col min="7944" max="7944" width="15" style="305" customWidth="1"/>
    <col min="7945" max="7945" width="15.28515625" style="305" customWidth="1"/>
    <col min="7946" max="7946" width="13.5703125" style="305" bestFit="1" customWidth="1"/>
    <col min="7947" max="8192" width="12.5703125" style="305"/>
    <col min="8193" max="8193" width="28.7109375" style="305" customWidth="1"/>
    <col min="8194" max="8194" width="18.140625" style="305" customWidth="1"/>
    <col min="8195" max="8195" width="18.7109375" style="305" customWidth="1"/>
    <col min="8196" max="8196" width="14.28515625" style="305" customWidth="1"/>
    <col min="8197" max="8197" width="13.28515625" style="305" customWidth="1"/>
    <col min="8198" max="8198" width="15.7109375" style="305" customWidth="1"/>
    <col min="8199" max="8199" width="14.7109375" style="305" customWidth="1"/>
    <col min="8200" max="8200" width="15" style="305" customWidth="1"/>
    <col min="8201" max="8201" width="15.28515625" style="305" customWidth="1"/>
    <col min="8202" max="8202" width="13.5703125" style="305" bestFit="1" customWidth="1"/>
    <col min="8203" max="8448" width="12.5703125" style="305"/>
    <col min="8449" max="8449" width="28.7109375" style="305" customWidth="1"/>
    <col min="8450" max="8450" width="18.140625" style="305" customWidth="1"/>
    <col min="8451" max="8451" width="18.7109375" style="305" customWidth="1"/>
    <col min="8452" max="8452" width="14.28515625" style="305" customWidth="1"/>
    <col min="8453" max="8453" width="13.28515625" style="305" customWidth="1"/>
    <col min="8454" max="8454" width="15.7109375" style="305" customWidth="1"/>
    <col min="8455" max="8455" width="14.7109375" style="305" customWidth="1"/>
    <col min="8456" max="8456" width="15" style="305" customWidth="1"/>
    <col min="8457" max="8457" width="15.28515625" style="305" customWidth="1"/>
    <col min="8458" max="8458" width="13.5703125" style="305" bestFit="1" customWidth="1"/>
    <col min="8459" max="8704" width="12.5703125" style="305"/>
    <col min="8705" max="8705" width="28.7109375" style="305" customWidth="1"/>
    <col min="8706" max="8706" width="18.140625" style="305" customWidth="1"/>
    <col min="8707" max="8707" width="18.7109375" style="305" customWidth="1"/>
    <col min="8708" max="8708" width="14.28515625" style="305" customWidth="1"/>
    <col min="8709" max="8709" width="13.28515625" style="305" customWidth="1"/>
    <col min="8710" max="8710" width="15.7109375" style="305" customWidth="1"/>
    <col min="8711" max="8711" width="14.7109375" style="305" customWidth="1"/>
    <col min="8712" max="8712" width="15" style="305" customWidth="1"/>
    <col min="8713" max="8713" width="15.28515625" style="305" customWidth="1"/>
    <col min="8714" max="8714" width="13.5703125" style="305" bestFit="1" customWidth="1"/>
    <col min="8715" max="8960" width="12.5703125" style="305"/>
    <col min="8961" max="8961" width="28.7109375" style="305" customWidth="1"/>
    <col min="8962" max="8962" width="18.140625" style="305" customWidth="1"/>
    <col min="8963" max="8963" width="18.7109375" style="305" customWidth="1"/>
    <col min="8964" max="8964" width="14.28515625" style="305" customWidth="1"/>
    <col min="8965" max="8965" width="13.28515625" style="305" customWidth="1"/>
    <col min="8966" max="8966" width="15.7109375" style="305" customWidth="1"/>
    <col min="8967" max="8967" width="14.7109375" style="305" customWidth="1"/>
    <col min="8968" max="8968" width="15" style="305" customWidth="1"/>
    <col min="8969" max="8969" width="15.28515625" style="305" customWidth="1"/>
    <col min="8970" max="8970" width="13.5703125" style="305" bestFit="1" customWidth="1"/>
    <col min="8971" max="9216" width="12.5703125" style="305"/>
    <col min="9217" max="9217" width="28.7109375" style="305" customWidth="1"/>
    <col min="9218" max="9218" width="18.140625" style="305" customWidth="1"/>
    <col min="9219" max="9219" width="18.7109375" style="305" customWidth="1"/>
    <col min="9220" max="9220" width="14.28515625" style="305" customWidth="1"/>
    <col min="9221" max="9221" width="13.28515625" style="305" customWidth="1"/>
    <col min="9222" max="9222" width="15.7109375" style="305" customWidth="1"/>
    <col min="9223" max="9223" width="14.7109375" style="305" customWidth="1"/>
    <col min="9224" max="9224" width="15" style="305" customWidth="1"/>
    <col min="9225" max="9225" width="15.28515625" style="305" customWidth="1"/>
    <col min="9226" max="9226" width="13.5703125" style="305" bestFit="1" customWidth="1"/>
    <col min="9227" max="9472" width="12.5703125" style="305"/>
    <col min="9473" max="9473" width="28.7109375" style="305" customWidth="1"/>
    <col min="9474" max="9474" width="18.140625" style="305" customWidth="1"/>
    <col min="9475" max="9475" width="18.7109375" style="305" customWidth="1"/>
    <col min="9476" max="9476" width="14.28515625" style="305" customWidth="1"/>
    <col min="9477" max="9477" width="13.28515625" style="305" customWidth="1"/>
    <col min="9478" max="9478" width="15.7109375" style="305" customWidth="1"/>
    <col min="9479" max="9479" width="14.7109375" style="305" customWidth="1"/>
    <col min="9480" max="9480" width="15" style="305" customWidth="1"/>
    <col min="9481" max="9481" width="15.28515625" style="305" customWidth="1"/>
    <col min="9482" max="9482" width="13.5703125" style="305" bestFit="1" customWidth="1"/>
    <col min="9483" max="9728" width="12.5703125" style="305"/>
    <col min="9729" max="9729" width="28.7109375" style="305" customWidth="1"/>
    <col min="9730" max="9730" width="18.140625" style="305" customWidth="1"/>
    <col min="9731" max="9731" width="18.7109375" style="305" customWidth="1"/>
    <col min="9732" max="9732" width="14.28515625" style="305" customWidth="1"/>
    <col min="9733" max="9733" width="13.28515625" style="305" customWidth="1"/>
    <col min="9734" max="9734" width="15.7109375" style="305" customWidth="1"/>
    <col min="9735" max="9735" width="14.7109375" style="305" customWidth="1"/>
    <col min="9736" max="9736" width="15" style="305" customWidth="1"/>
    <col min="9737" max="9737" width="15.28515625" style="305" customWidth="1"/>
    <col min="9738" max="9738" width="13.5703125" style="305" bestFit="1" customWidth="1"/>
    <col min="9739" max="9984" width="12.5703125" style="305"/>
    <col min="9985" max="9985" width="28.7109375" style="305" customWidth="1"/>
    <col min="9986" max="9986" width="18.140625" style="305" customWidth="1"/>
    <col min="9987" max="9987" width="18.7109375" style="305" customWidth="1"/>
    <col min="9988" max="9988" width="14.28515625" style="305" customWidth="1"/>
    <col min="9989" max="9989" width="13.28515625" style="305" customWidth="1"/>
    <col min="9990" max="9990" width="15.7109375" style="305" customWidth="1"/>
    <col min="9991" max="9991" width="14.7109375" style="305" customWidth="1"/>
    <col min="9992" max="9992" width="15" style="305" customWidth="1"/>
    <col min="9993" max="9993" width="15.28515625" style="305" customWidth="1"/>
    <col min="9994" max="9994" width="13.5703125" style="305" bestFit="1" customWidth="1"/>
    <col min="9995" max="10240" width="12.5703125" style="305"/>
    <col min="10241" max="10241" width="28.7109375" style="305" customWidth="1"/>
    <col min="10242" max="10242" width="18.140625" style="305" customWidth="1"/>
    <col min="10243" max="10243" width="18.7109375" style="305" customWidth="1"/>
    <col min="10244" max="10244" width="14.28515625" style="305" customWidth="1"/>
    <col min="10245" max="10245" width="13.28515625" style="305" customWidth="1"/>
    <col min="10246" max="10246" width="15.7109375" style="305" customWidth="1"/>
    <col min="10247" max="10247" width="14.7109375" style="305" customWidth="1"/>
    <col min="10248" max="10248" width="15" style="305" customWidth="1"/>
    <col min="10249" max="10249" width="15.28515625" style="305" customWidth="1"/>
    <col min="10250" max="10250" width="13.5703125" style="305" bestFit="1" customWidth="1"/>
    <col min="10251" max="10496" width="12.5703125" style="305"/>
    <col min="10497" max="10497" width="28.7109375" style="305" customWidth="1"/>
    <col min="10498" max="10498" width="18.140625" style="305" customWidth="1"/>
    <col min="10499" max="10499" width="18.7109375" style="305" customWidth="1"/>
    <col min="10500" max="10500" width="14.28515625" style="305" customWidth="1"/>
    <col min="10501" max="10501" width="13.28515625" style="305" customWidth="1"/>
    <col min="10502" max="10502" width="15.7109375" style="305" customWidth="1"/>
    <col min="10503" max="10503" width="14.7109375" style="305" customWidth="1"/>
    <col min="10504" max="10504" width="15" style="305" customWidth="1"/>
    <col min="10505" max="10505" width="15.28515625" style="305" customWidth="1"/>
    <col min="10506" max="10506" width="13.5703125" style="305" bestFit="1" customWidth="1"/>
    <col min="10507" max="10752" width="12.5703125" style="305"/>
    <col min="10753" max="10753" width="28.7109375" style="305" customWidth="1"/>
    <col min="10754" max="10754" width="18.140625" style="305" customWidth="1"/>
    <col min="10755" max="10755" width="18.7109375" style="305" customWidth="1"/>
    <col min="10756" max="10756" width="14.28515625" style="305" customWidth="1"/>
    <col min="10757" max="10757" width="13.28515625" style="305" customWidth="1"/>
    <col min="10758" max="10758" width="15.7109375" style="305" customWidth="1"/>
    <col min="10759" max="10759" width="14.7109375" style="305" customWidth="1"/>
    <col min="10760" max="10760" width="15" style="305" customWidth="1"/>
    <col min="10761" max="10761" width="15.28515625" style="305" customWidth="1"/>
    <col min="10762" max="10762" width="13.5703125" style="305" bestFit="1" customWidth="1"/>
    <col min="10763" max="11008" width="12.5703125" style="305"/>
    <col min="11009" max="11009" width="28.7109375" style="305" customWidth="1"/>
    <col min="11010" max="11010" width="18.140625" style="305" customWidth="1"/>
    <col min="11011" max="11011" width="18.7109375" style="305" customWidth="1"/>
    <col min="11012" max="11012" width="14.28515625" style="305" customWidth="1"/>
    <col min="11013" max="11013" width="13.28515625" style="305" customWidth="1"/>
    <col min="11014" max="11014" width="15.7109375" style="305" customWidth="1"/>
    <col min="11015" max="11015" width="14.7109375" style="305" customWidth="1"/>
    <col min="11016" max="11016" width="15" style="305" customWidth="1"/>
    <col min="11017" max="11017" width="15.28515625" style="305" customWidth="1"/>
    <col min="11018" max="11018" width="13.5703125" style="305" bestFit="1" customWidth="1"/>
    <col min="11019" max="11264" width="12.5703125" style="305"/>
    <col min="11265" max="11265" width="28.7109375" style="305" customWidth="1"/>
    <col min="11266" max="11266" width="18.140625" style="305" customWidth="1"/>
    <col min="11267" max="11267" width="18.7109375" style="305" customWidth="1"/>
    <col min="11268" max="11268" width="14.28515625" style="305" customWidth="1"/>
    <col min="11269" max="11269" width="13.28515625" style="305" customWidth="1"/>
    <col min="11270" max="11270" width="15.7109375" style="305" customWidth="1"/>
    <col min="11271" max="11271" width="14.7109375" style="305" customWidth="1"/>
    <col min="11272" max="11272" width="15" style="305" customWidth="1"/>
    <col min="11273" max="11273" width="15.28515625" style="305" customWidth="1"/>
    <col min="11274" max="11274" width="13.5703125" style="305" bestFit="1" customWidth="1"/>
    <col min="11275" max="11520" width="12.5703125" style="305"/>
    <col min="11521" max="11521" width="28.7109375" style="305" customWidth="1"/>
    <col min="11522" max="11522" width="18.140625" style="305" customWidth="1"/>
    <col min="11523" max="11523" width="18.7109375" style="305" customWidth="1"/>
    <col min="11524" max="11524" width="14.28515625" style="305" customWidth="1"/>
    <col min="11525" max="11525" width="13.28515625" style="305" customWidth="1"/>
    <col min="11526" max="11526" width="15.7109375" style="305" customWidth="1"/>
    <col min="11527" max="11527" width="14.7109375" style="305" customWidth="1"/>
    <col min="11528" max="11528" width="15" style="305" customWidth="1"/>
    <col min="11529" max="11529" width="15.28515625" style="305" customWidth="1"/>
    <col min="11530" max="11530" width="13.5703125" style="305" bestFit="1" customWidth="1"/>
    <col min="11531" max="11776" width="12.5703125" style="305"/>
    <col min="11777" max="11777" width="28.7109375" style="305" customWidth="1"/>
    <col min="11778" max="11778" width="18.140625" style="305" customWidth="1"/>
    <col min="11779" max="11779" width="18.7109375" style="305" customWidth="1"/>
    <col min="11780" max="11780" width="14.28515625" style="305" customWidth="1"/>
    <col min="11781" max="11781" width="13.28515625" style="305" customWidth="1"/>
    <col min="11782" max="11782" width="15.7109375" style="305" customWidth="1"/>
    <col min="11783" max="11783" width="14.7109375" style="305" customWidth="1"/>
    <col min="11784" max="11784" width="15" style="305" customWidth="1"/>
    <col min="11785" max="11785" width="15.28515625" style="305" customWidth="1"/>
    <col min="11786" max="11786" width="13.5703125" style="305" bestFit="1" customWidth="1"/>
    <col min="11787" max="12032" width="12.5703125" style="305"/>
    <col min="12033" max="12033" width="28.7109375" style="305" customWidth="1"/>
    <col min="12034" max="12034" width="18.140625" style="305" customWidth="1"/>
    <col min="12035" max="12035" width="18.7109375" style="305" customWidth="1"/>
    <col min="12036" max="12036" width="14.28515625" style="305" customWidth="1"/>
    <col min="12037" max="12037" width="13.28515625" style="305" customWidth="1"/>
    <col min="12038" max="12038" width="15.7109375" style="305" customWidth="1"/>
    <col min="12039" max="12039" width="14.7109375" style="305" customWidth="1"/>
    <col min="12040" max="12040" width="15" style="305" customWidth="1"/>
    <col min="12041" max="12041" width="15.28515625" style="305" customWidth="1"/>
    <col min="12042" max="12042" width="13.5703125" style="305" bestFit="1" customWidth="1"/>
    <col min="12043" max="12288" width="12.5703125" style="305"/>
    <col min="12289" max="12289" width="28.7109375" style="305" customWidth="1"/>
    <col min="12290" max="12290" width="18.140625" style="305" customWidth="1"/>
    <col min="12291" max="12291" width="18.7109375" style="305" customWidth="1"/>
    <col min="12292" max="12292" width="14.28515625" style="305" customWidth="1"/>
    <col min="12293" max="12293" width="13.28515625" style="305" customWidth="1"/>
    <col min="12294" max="12294" width="15.7109375" style="305" customWidth="1"/>
    <col min="12295" max="12295" width="14.7109375" style="305" customWidth="1"/>
    <col min="12296" max="12296" width="15" style="305" customWidth="1"/>
    <col min="12297" max="12297" width="15.28515625" style="305" customWidth="1"/>
    <col min="12298" max="12298" width="13.5703125" style="305" bestFit="1" customWidth="1"/>
    <col min="12299" max="12544" width="12.5703125" style="305"/>
    <col min="12545" max="12545" width="28.7109375" style="305" customWidth="1"/>
    <col min="12546" max="12546" width="18.140625" style="305" customWidth="1"/>
    <col min="12547" max="12547" width="18.7109375" style="305" customWidth="1"/>
    <col min="12548" max="12548" width="14.28515625" style="305" customWidth="1"/>
    <col min="12549" max="12549" width="13.28515625" style="305" customWidth="1"/>
    <col min="12550" max="12550" width="15.7109375" style="305" customWidth="1"/>
    <col min="12551" max="12551" width="14.7109375" style="305" customWidth="1"/>
    <col min="12552" max="12552" width="15" style="305" customWidth="1"/>
    <col min="12553" max="12553" width="15.28515625" style="305" customWidth="1"/>
    <col min="12554" max="12554" width="13.5703125" style="305" bestFit="1" customWidth="1"/>
    <col min="12555" max="12800" width="12.5703125" style="305"/>
    <col min="12801" max="12801" width="28.7109375" style="305" customWidth="1"/>
    <col min="12802" max="12802" width="18.140625" style="305" customWidth="1"/>
    <col min="12803" max="12803" width="18.7109375" style="305" customWidth="1"/>
    <col min="12804" max="12804" width="14.28515625" style="305" customWidth="1"/>
    <col min="12805" max="12805" width="13.28515625" style="305" customWidth="1"/>
    <col min="12806" max="12806" width="15.7109375" style="305" customWidth="1"/>
    <col min="12807" max="12807" width="14.7109375" style="305" customWidth="1"/>
    <col min="12808" max="12808" width="15" style="305" customWidth="1"/>
    <col min="12809" max="12809" width="15.28515625" style="305" customWidth="1"/>
    <col min="12810" max="12810" width="13.5703125" style="305" bestFit="1" customWidth="1"/>
    <col min="12811" max="13056" width="12.5703125" style="305"/>
    <col min="13057" max="13057" width="28.7109375" style="305" customWidth="1"/>
    <col min="13058" max="13058" width="18.140625" style="305" customWidth="1"/>
    <col min="13059" max="13059" width="18.7109375" style="305" customWidth="1"/>
    <col min="13060" max="13060" width="14.28515625" style="305" customWidth="1"/>
    <col min="13061" max="13061" width="13.28515625" style="305" customWidth="1"/>
    <col min="13062" max="13062" width="15.7109375" style="305" customWidth="1"/>
    <col min="13063" max="13063" width="14.7109375" style="305" customWidth="1"/>
    <col min="13064" max="13064" width="15" style="305" customWidth="1"/>
    <col min="13065" max="13065" width="15.28515625" style="305" customWidth="1"/>
    <col min="13066" max="13066" width="13.5703125" style="305" bestFit="1" customWidth="1"/>
    <col min="13067" max="13312" width="12.5703125" style="305"/>
    <col min="13313" max="13313" width="28.7109375" style="305" customWidth="1"/>
    <col min="13314" max="13314" width="18.140625" style="305" customWidth="1"/>
    <col min="13315" max="13315" width="18.7109375" style="305" customWidth="1"/>
    <col min="13316" max="13316" width="14.28515625" style="305" customWidth="1"/>
    <col min="13317" max="13317" width="13.28515625" style="305" customWidth="1"/>
    <col min="13318" max="13318" width="15.7109375" style="305" customWidth="1"/>
    <col min="13319" max="13319" width="14.7109375" style="305" customWidth="1"/>
    <col min="13320" max="13320" width="15" style="305" customWidth="1"/>
    <col min="13321" max="13321" width="15.28515625" style="305" customWidth="1"/>
    <col min="13322" max="13322" width="13.5703125" style="305" bestFit="1" customWidth="1"/>
    <col min="13323" max="13568" width="12.5703125" style="305"/>
    <col min="13569" max="13569" width="28.7109375" style="305" customWidth="1"/>
    <col min="13570" max="13570" width="18.140625" style="305" customWidth="1"/>
    <col min="13571" max="13571" width="18.7109375" style="305" customWidth="1"/>
    <col min="13572" max="13572" width="14.28515625" style="305" customWidth="1"/>
    <col min="13573" max="13573" width="13.28515625" style="305" customWidth="1"/>
    <col min="13574" max="13574" width="15.7109375" style="305" customWidth="1"/>
    <col min="13575" max="13575" width="14.7109375" style="305" customWidth="1"/>
    <col min="13576" max="13576" width="15" style="305" customWidth="1"/>
    <col min="13577" max="13577" width="15.28515625" style="305" customWidth="1"/>
    <col min="13578" max="13578" width="13.5703125" style="305" bestFit="1" customWidth="1"/>
    <col min="13579" max="13824" width="12.5703125" style="305"/>
    <col min="13825" max="13825" width="28.7109375" style="305" customWidth="1"/>
    <col min="13826" max="13826" width="18.140625" style="305" customWidth="1"/>
    <col min="13827" max="13827" width="18.7109375" style="305" customWidth="1"/>
    <col min="13828" max="13828" width="14.28515625" style="305" customWidth="1"/>
    <col min="13829" max="13829" width="13.28515625" style="305" customWidth="1"/>
    <col min="13830" max="13830" width="15.7109375" style="305" customWidth="1"/>
    <col min="13831" max="13831" width="14.7109375" style="305" customWidth="1"/>
    <col min="13832" max="13832" width="15" style="305" customWidth="1"/>
    <col min="13833" max="13833" width="15.28515625" style="305" customWidth="1"/>
    <col min="13834" max="13834" width="13.5703125" style="305" bestFit="1" customWidth="1"/>
    <col min="13835" max="14080" width="12.5703125" style="305"/>
    <col min="14081" max="14081" width="28.7109375" style="305" customWidth="1"/>
    <col min="14082" max="14082" width="18.140625" style="305" customWidth="1"/>
    <col min="14083" max="14083" width="18.7109375" style="305" customWidth="1"/>
    <col min="14084" max="14084" width="14.28515625" style="305" customWidth="1"/>
    <col min="14085" max="14085" width="13.28515625" style="305" customWidth="1"/>
    <col min="14086" max="14086" width="15.7109375" style="305" customWidth="1"/>
    <col min="14087" max="14087" width="14.7109375" style="305" customWidth="1"/>
    <col min="14088" max="14088" width="15" style="305" customWidth="1"/>
    <col min="14089" max="14089" width="15.28515625" style="305" customWidth="1"/>
    <col min="14090" max="14090" width="13.5703125" style="305" bestFit="1" customWidth="1"/>
    <col min="14091" max="14336" width="12.5703125" style="305"/>
    <col min="14337" max="14337" width="28.7109375" style="305" customWidth="1"/>
    <col min="14338" max="14338" width="18.140625" style="305" customWidth="1"/>
    <col min="14339" max="14339" width="18.7109375" style="305" customWidth="1"/>
    <col min="14340" max="14340" width="14.28515625" style="305" customWidth="1"/>
    <col min="14341" max="14341" width="13.28515625" style="305" customWidth="1"/>
    <col min="14342" max="14342" width="15.7109375" style="305" customWidth="1"/>
    <col min="14343" max="14343" width="14.7109375" style="305" customWidth="1"/>
    <col min="14344" max="14344" width="15" style="305" customWidth="1"/>
    <col min="14345" max="14345" width="15.28515625" style="305" customWidth="1"/>
    <col min="14346" max="14346" width="13.5703125" style="305" bestFit="1" customWidth="1"/>
    <col min="14347" max="14592" width="12.5703125" style="305"/>
    <col min="14593" max="14593" width="28.7109375" style="305" customWidth="1"/>
    <col min="14594" max="14594" width="18.140625" style="305" customWidth="1"/>
    <col min="14595" max="14595" width="18.7109375" style="305" customWidth="1"/>
    <col min="14596" max="14596" width="14.28515625" style="305" customWidth="1"/>
    <col min="14597" max="14597" width="13.28515625" style="305" customWidth="1"/>
    <col min="14598" max="14598" width="15.7109375" style="305" customWidth="1"/>
    <col min="14599" max="14599" width="14.7109375" style="305" customWidth="1"/>
    <col min="14600" max="14600" width="15" style="305" customWidth="1"/>
    <col min="14601" max="14601" width="15.28515625" style="305" customWidth="1"/>
    <col min="14602" max="14602" width="13.5703125" style="305" bestFit="1" customWidth="1"/>
    <col min="14603" max="14848" width="12.5703125" style="305"/>
    <col min="14849" max="14849" width="28.7109375" style="305" customWidth="1"/>
    <col min="14850" max="14850" width="18.140625" style="305" customWidth="1"/>
    <col min="14851" max="14851" width="18.7109375" style="305" customWidth="1"/>
    <col min="14852" max="14852" width="14.28515625" style="305" customWidth="1"/>
    <col min="14853" max="14853" width="13.28515625" style="305" customWidth="1"/>
    <col min="14854" max="14854" width="15.7109375" style="305" customWidth="1"/>
    <col min="14855" max="14855" width="14.7109375" style="305" customWidth="1"/>
    <col min="14856" max="14856" width="15" style="305" customWidth="1"/>
    <col min="14857" max="14857" width="15.28515625" style="305" customWidth="1"/>
    <col min="14858" max="14858" width="13.5703125" style="305" bestFit="1" customWidth="1"/>
    <col min="14859" max="15104" width="12.5703125" style="305"/>
    <col min="15105" max="15105" width="28.7109375" style="305" customWidth="1"/>
    <col min="15106" max="15106" width="18.140625" style="305" customWidth="1"/>
    <col min="15107" max="15107" width="18.7109375" style="305" customWidth="1"/>
    <col min="15108" max="15108" width="14.28515625" style="305" customWidth="1"/>
    <col min="15109" max="15109" width="13.28515625" style="305" customWidth="1"/>
    <col min="15110" max="15110" width="15.7109375" style="305" customWidth="1"/>
    <col min="15111" max="15111" width="14.7109375" style="305" customWidth="1"/>
    <col min="15112" max="15112" width="15" style="305" customWidth="1"/>
    <col min="15113" max="15113" width="15.28515625" style="305" customWidth="1"/>
    <col min="15114" max="15114" width="13.5703125" style="305" bestFit="1" customWidth="1"/>
    <col min="15115" max="15360" width="12.5703125" style="305"/>
    <col min="15361" max="15361" width="28.7109375" style="305" customWidth="1"/>
    <col min="15362" max="15362" width="18.140625" style="305" customWidth="1"/>
    <col min="15363" max="15363" width="18.7109375" style="305" customWidth="1"/>
    <col min="15364" max="15364" width="14.28515625" style="305" customWidth="1"/>
    <col min="15365" max="15365" width="13.28515625" style="305" customWidth="1"/>
    <col min="15366" max="15366" width="15.7109375" style="305" customWidth="1"/>
    <col min="15367" max="15367" width="14.7109375" style="305" customWidth="1"/>
    <col min="15368" max="15368" width="15" style="305" customWidth="1"/>
    <col min="15369" max="15369" width="15.28515625" style="305" customWidth="1"/>
    <col min="15370" max="15370" width="13.5703125" style="305" bestFit="1" customWidth="1"/>
    <col min="15371" max="15616" width="12.5703125" style="305"/>
    <col min="15617" max="15617" width="28.7109375" style="305" customWidth="1"/>
    <col min="15618" max="15618" width="18.140625" style="305" customWidth="1"/>
    <col min="15619" max="15619" width="18.7109375" style="305" customWidth="1"/>
    <col min="15620" max="15620" width="14.28515625" style="305" customWidth="1"/>
    <col min="15621" max="15621" width="13.28515625" style="305" customWidth="1"/>
    <col min="15622" max="15622" width="15.7109375" style="305" customWidth="1"/>
    <col min="15623" max="15623" width="14.7109375" style="305" customWidth="1"/>
    <col min="15624" max="15624" width="15" style="305" customWidth="1"/>
    <col min="15625" max="15625" width="15.28515625" style="305" customWidth="1"/>
    <col min="15626" max="15626" width="13.5703125" style="305" bestFit="1" customWidth="1"/>
    <col min="15627" max="15872" width="12.5703125" style="305"/>
    <col min="15873" max="15873" width="28.7109375" style="305" customWidth="1"/>
    <col min="15874" max="15874" width="18.140625" style="305" customWidth="1"/>
    <col min="15875" max="15875" width="18.7109375" style="305" customWidth="1"/>
    <col min="15876" max="15876" width="14.28515625" style="305" customWidth="1"/>
    <col min="15877" max="15877" width="13.28515625" style="305" customWidth="1"/>
    <col min="15878" max="15878" width="15.7109375" style="305" customWidth="1"/>
    <col min="15879" max="15879" width="14.7109375" style="305" customWidth="1"/>
    <col min="15880" max="15880" width="15" style="305" customWidth="1"/>
    <col min="15881" max="15881" width="15.28515625" style="305" customWidth="1"/>
    <col min="15882" max="15882" width="13.5703125" style="305" bestFit="1" customWidth="1"/>
    <col min="15883" max="16128" width="12.5703125" style="305"/>
    <col min="16129" max="16129" width="28.7109375" style="305" customWidth="1"/>
    <col min="16130" max="16130" width="18.140625" style="305" customWidth="1"/>
    <col min="16131" max="16131" width="18.7109375" style="305" customWidth="1"/>
    <col min="16132" max="16132" width="14.28515625" style="305" customWidth="1"/>
    <col min="16133" max="16133" width="13.28515625" style="305" customWidth="1"/>
    <col min="16134" max="16134" width="15.7109375" style="305" customWidth="1"/>
    <col min="16135" max="16135" width="14.7109375" style="305" customWidth="1"/>
    <col min="16136" max="16136" width="15" style="305" customWidth="1"/>
    <col min="16137" max="16137" width="15.28515625" style="305" customWidth="1"/>
    <col min="16138" max="16138" width="13.5703125" style="305" bestFit="1" customWidth="1"/>
    <col min="16139" max="16384" width="12.5703125" style="305"/>
  </cols>
  <sheetData>
    <row r="1" spans="1:29" ht="20.25">
      <c r="A1" s="835" t="s">
        <v>699</v>
      </c>
      <c r="B1" s="835"/>
      <c r="C1" s="835"/>
      <c r="D1" s="835"/>
      <c r="E1" s="835"/>
      <c r="F1" s="835"/>
      <c r="G1" s="835"/>
      <c r="H1" s="835"/>
      <c r="I1" s="835"/>
    </row>
    <row r="2" spans="1:29" ht="20.25">
      <c r="A2" s="835" t="s">
        <v>1080</v>
      </c>
      <c r="B2" s="835"/>
      <c r="C2" s="835"/>
      <c r="D2" s="835"/>
      <c r="E2" s="835"/>
      <c r="F2" s="835"/>
      <c r="G2" s="835"/>
      <c r="H2" s="835"/>
      <c r="I2" s="835"/>
    </row>
    <row r="3" spans="1:29" ht="18.75">
      <c r="A3" s="838" t="s">
        <v>700</v>
      </c>
      <c r="B3" s="838"/>
      <c r="C3" s="838"/>
      <c r="D3" s="838"/>
      <c r="E3" s="838"/>
      <c r="F3" s="838"/>
      <c r="G3" s="838"/>
      <c r="H3" s="838"/>
      <c r="I3" s="838"/>
    </row>
    <row r="4" spans="1:29" ht="16.5" thickBot="1">
      <c r="A4" s="407"/>
      <c r="B4" s="438"/>
      <c r="C4" s="438"/>
      <c r="D4" s="438"/>
      <c r="E4" s="438"/>
      <c r="F4" s="438"/>
    </row>
    <row r="5" spans="1:29" ht="22.9" customHeight="1" thickBot="1">
      <c r="A5" s="439"/>
      <c r="B5" s="905" t="s">
        <v>701</v>
      </c>
      <c r="C5" s="905"/>
      <c r="D5" s="906" t="s">
        <v>642</v>
      </c>
      <c r="E5" s="906"/>
      <c r="F5" s="906"/>
      <c r="G5" s="906" t="s">
        <v>644</v>
      </c>
      <c r="H5" s="906"/>
      <c r="I5" s="440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</row>
    <row r="6" spans="1:29" ht="15.75">
      <c r="A6" s="442" t="s">
        <v>702</v>
      </c>
      <c r="B6" s="443"/>
      <c r="C6" s="444" t="s">
        <v>703</v>
      </c>
      <c r="D6" s="444"/>
      <c r="E6" s="444"/>
      <c r="F6" s="444"/>
      <c r="G6" s="445"/>
      <c r="H6" s="444" t="s">
        <v>704</v>
      </c>
      <c r="I6" s="444" t="s">
        <v>79</v>
      </c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</row>
    <row r="7" spans="1:29" ht="15.75" thickBot="1">
      <c r="A7" s="446"/>
      <c r="B7" s="447" t="s">
        <v>705</v>
      </c>
      <c r="C7" s="448" t="s">
        <v>706</v>
      </c>
      <c r="D7" s="448" t="s">
        <v>707</v>
      </c>
      <c r="E7" s="448" t="s">
        <v>708</v>
      </c>
      <c r="F7" s="448" t="s">
        <v>709</v>
      </c>
      <c r="G7" s="448" t="s">
        <v>710</v>
      </c>
      <c r="H7" s="448" t="s">
        <v>711</v>
      </c>
      <c r="I7" s="448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</row>
    <row r="8" spans="1:29" ht="14.25" customHeight="1">
      <c r="A8" s="449"/>
      <c r="B8" s="450"/>
      <c r="C8" s="450"/>
      <c r="D8" s="450"/>
      <c r="E8" s="450"/>
      <c r="F8" s="450"/>
      <c r="G8" s="450"/>
      <c r="H8" s="450"/>
      <c r="I8" s="45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</row>
    <row r="9" spans="1:29" ht="15.75" thickBot="1">
      <c r="A9" s="452" t="s">
        <v>1145</v>
      </c>
      <c r="B9" s="453">
        <v>48000000000</v>
      </c>
      <c r="C9" s="453">
        <v>0</v>
      </c>
      <c r="D9" s="453">
        <v>0</v>
      </c>
      <c r="E9" s="453">
        <v>6931012994</v>
      </c>
      <c r="F9" s="453">
        <v>1052061213</v>
      </c>
      <c r="G9" s="453">
        <v>0</v>
      </c>
      <c r="H9" s="453">
        <v>24614338753</v>
      </c>
      <c r="I9" s="454">
        <f>SUM(B9:H9)</f>
        <v>80597412960</v>
      </c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</row>
    <row r="10" spans="1:29">
      <c r="A10" s="455" t="s">
        <v>712</v>
      </c>
      <c r="B10" s="456"/>
      <c r="C10" s="456"/>
      <c r="D10" s="456"/>
      <c r="E10" s="456"/>
      <c r="F10" s="457"/>
      <c r="G10" s="458"/>
      <c r="H10" s="458"/>
      <c r="I10" s="459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</row>
    <row r="11" spans="1:29">
      <c r="A11" s="460" t="s">
        <v>713</v>
      </c>
      <c r="B11" s="461"/>
      <c r="C11" s="461"/>
      <c r="D11" s="461"/>
      <c r="E11" s="461"/>
      <c r="F11" s="461"/>
      <c r="G11" s="462">
        <v>0</v>
      </c>
      <c r="H11" s="462">
        <v>0</v>
      </c>
      <c r="I11" s="462">
        <f t="shared" ref="I11:I16" si="0">SUM(B11:H11)</f>
        <v>0</v>
      </c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</row>
    <row r="12" spans="1:29">
      <c r="A12" s="463" t="s">
        <v>714</v>
      </c>
      <c r="B12" s="464">
        <v>1052061213</v>
      </c>
      <c r="C12" s="464"/>
      <c r="D12" s="464"/>
      <c r="E12" s="464"/>
      <c r="F12" s="464">
        <v>-1052061213</v>
      </c>
      <c r="G12" s="465"/>
      <c r="H12" s="465"/>
      <c r="I12" s="462">
        <f t="shared" si="0"/>
        <v>0</v>
      </c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</row>
    <row r="13" spans="1:29">
      <c r="A13" s="466" t="s">
        <v>715</v>
      </c>
      <c r="B13" s="467">
        <v>147938787</v>
      </c>
      <c r="C13" s="461"/>
      <c r="D13" s="461"/>
      <c r="E13" s="461"/>
      <c r="F13" s="461"/>
      <c r="G13" s="462"/>
      <c r="H13" s="461">
        <v>-147938787</v>
      </c>
      <c r="I13" s="462">
        <f t="shared" si="0"/>
        <v>0</v>
      </c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</row>
    <row r="14" spans="1:29">
      <c r="A14" s="463" t="s">
        <v>716</v>
      </c>
      <c r="B14" s="464"/>
      <c r="C14" s="464"/>
      <c r="D14" s="464"/>
      <c r="E14" s="464"/>
      <c r="F14" s="464"/>
      <c r="G14" s="465"/>
      <c r="H14" s="465">
        <v>-24466399966</v>
      </c>
      <c r="I14" s="464">
        <f t="shared" si="0"/>
        <v>-24466399966</v>
      </c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</row>
    <row r="15" spans="1:29">
      <c r="A15" s="463" t="s">
        <v>717</v>
      </c>
      <c r="B15" s="464"/>
      <c r="C15" s="464"/>
      <c r="D15" s="464"/>
      <c r="E15" s="464"/>
      <c r="F15" s="464"/>
      <c r="G15" s="465"/>
      <c r="H15" s="465"/>
      <c r="I15" s="464">
        <f t="shared" si="0"/>
        <v>0</v>
      </c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</row>
    <row r="16" spans="1:29" ht="15.75" thickBot="1">
      <c r="A16" s="468" t="s">
        <v>718</v>
      </c>
      <c r="B16" s="461"/>
      <c r="C16" s="461"/>
      <c r="D16" s="461"/>
      <c r="E16" s="461"/>
      <c r="F16" s="461"/>
      <c r="G16" s="461"/>
      <c r="H16" s="469">
        <v>13652924968</v>
      </c>
      <c r="I16" s="458">
        <f t="shared" si="0"/>
        <v>13652924968</v>
      </c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</row>
    <row r="17" spans="1:29" ht="9" customHeight="1">
      <c r="A17" s="449"/>
      <c r="B17" s="450"/>
      <c r="C17" s="450"/>
      <c r="D17" s="450"/>
      <c r="E17" s="450"/>
      <c r="F17" s="450"/>
      <c r="G17" s="450"/>
      <c r="H17" s="470"/>
      <c r="I17" s="47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</row>
    <row r="18" spans="1:29" ht="15.75" thickBot="1">
      <c r="A18" s="452" t="s">
        <v>1146</v>
      </c>
      <c r="B18" s="453">
        <f>SUM(B9:B17)</f>
        <v>49200000000</v>
      </c>
      <c r="C18" s="453">
        <f t="shared" ref="C18:H18" si="1">SUM(C9:C17)</f>
        <v>0</v>
      </c>
      <c r="D18" s="453">
        <f t="shared" si="1"/>
        <v>0</v>
      </c>
      <c r="E18" s="453">
        <f t="shared" si="1"/>
        <v>6931012994</v>
      </c>
      <c r="F18" s="453">
        <f t="shared" si="1"/>
        <v>0</v>
      </c>
      <c r="G18" s="453">
        <f t="shared" si="1"/>
        <v>0</v>
      </c>
      <c r="H18" s="472">
        <f t="shared" si="1"/>
        <v>13652924968</v>
      </c>
      <c r="I18" s="473">
        <f>SUM(I9:I17)</f>
        <v>69783937962</v>
      </c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</row>
    <row r="19" spans="1:29">
      <c r="A19" s="474"/>
      <c r="B19" s="475"/>
      <c r="C19" s="475"/>
      <c r="D19" s="475"/>
      <c r="E19" s="475"/>
      <c r="F19" s="475"/>
      <c r="G19" s="475"/>
      <c r="H19" s="475"/>
      <c r="I19" s="476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</row>
    <row r="20" spans="1:29" ht="15.75" thickBot="1">
      <c r="A20" s="477" t="s">
        <v>1050</v>
      </c>
      <c r="B20" s="478">
        <v>48000000000</v>
      </c>
      <c r="C20" s="478">
        <v>0</v>
      </c>
      <c r="D20" s="478">
        <v>0</v>
      </c>
      <c r="E20" s="479">
        <v>5635521481</v>
      </c>
      <c r="F20" s="479">
        <v>0</v>
      </c>
      <c r="G20" s="478">
        <v>0</v>
      </c>
      <c r="H20" s="478">
        <v>11887053782</v>
      </c>
      <c r="I20" s="480">
        <f>SUM(B20:H20)</f>
        <v>65522575263</v>
      </c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</row>
    <row r="21" spans="1:29" ht="15.75">
      <c r="A21" s="308"/>
      <c r="B21" s="308"/>
      <c r="C21" s="308"/>
      <c r="D21" s="308"/>
      <c r="E21" s="308"/>
      <c r="F21" s="308"/>
      <c r="G21" s="481"/>
    </row>
    <row r="22" spans="1:29" ht="15.6" customHeight="1">
      <c r="A22" s="836" t="s">
        <v>719</v>
      </c>
      <c r="B22" s="836"/>
      <c r="C22" s="836"/>
      <c r="D22" s="836"/>
      <c r="E22" s="836"/>
      <c r="F22" s="836"/>
      <c r="G22" s="836"/>
      <c r="H22" s="836"/>
      <c r="I22" s="836"/>
    </row>
    <row r="23" spans="1:29" ht="15.6" customHeight="1">
      <c r="A23" s="804"/>
      <c r="B23" s="804"/>
      <c r="C23" s="804"/>
      <c r="D23" s="804"/>
      <c r="E23" s="804"/>
      <c r="F23" s="804"/>
      <c r="G23" s="804"/>
      <c r="H23" s="804"/>
      <c r="I23" s="804"/>
    </row>
    <row r="24" spans="1:29" ht="24" customHeight="1">
      <c r="A24" s="804"/>
      <c r="B24" s="804"/>
      <c r="C24" s="804"/>
      <c r="D24" s="804"/>
      <c r="E24" s="804"/>
      <c r="F24" s="804"/>
      <c r="G24" s="804"/>
      <c r="H24" s="804"/>
      <c r="I24" s="804"/>
    </row>
    <row r="25" spans="1:29" ht="15.6" customHeight="1">
      <c r="A25" s="804"/>
      <c r="B25" s="804"/>
      <c r="C25" s="804"/>
      <c r="D25" s="804"/>
      <c r="E25" s="804"/>
      <c r="F25" s="804"/>
      <c r="G25" s="804"/>
      <c r="H25" s="804"/>
      <c r="I25" s="804"/>
    </row>
    <row r="26" spans="1:29" ht="15.6" customHeight="1">
      <c r="A26" s="804"/>
      <c r="B26" s="804"/>
      <c r="C26" s="804"/>
      <c r="D26" s="804"/>
      <c r="E26" s="804"/>
      <c r="F26" s="804"/>
      <c r="G26" s="804"/>
      <c r="H26" s="804"/>
      <c r="I26" s="804"/>
    </row>
    <row r="27" spans="1:29" ht="15.6" customHeight="1">
      <c r="A27" s="804"/>
      <c r="B27" s="804"/>
      <c r="C27" s="804"/>
      <c r="D27" s="804"/>
      <c r="E27" s="804"/>
      <c r="F27" s="804"/>
      <c r="G27" s="804"/>
      <c r="H27" s="804"/>
      <c r="I27" s="804"/>
    </row>
    <row r="28" spans="1:29">
      <c r="A28" s="825" t="s">
        <v>720</v>
      </c>
      <c r="B28" s="903" t="s">
        <v>721</v>
      </c>
      <c r="C28" s="903"/>
      <c r="D28" s="824"/>
      <c r="E28" s="902" t="s">
        <v>609</v>
      </c>
      <c r="F28" s="902"/>
      <c r="G28" s="823"/>
      <c r="H28" s="901" t="s">
        <v>722</v>
      </c>
      <c r="I28" s="901"/>
    </row>
    <row r="29" spans="1:29">
      <c r="A29" s="482" t="s">
        <v>1148</v>
      </c>
      <c r="B29" s="904" t="s">
        <v>1147</v>
      </c>
      <c r="C29" s="904"/>
      <c r="D29" s="824"/>
      <c r="E29" s="902" t="s">
        <v>723</v>
      </c>
      <c r="F29" s="902"/>
      <c r="G29" s="823"/>
      <c r="H29" s="901" t="s">
        <v>1149</v>
      </c>
      <c r="I29" s="901"/>
    </row>
    <row r="30" spans="1:29">
      <c r="A30" s="483"/>
      <c r="B30" s="483"/>
      <c r="C30" s="483"/>
      <c r="D30" s="483"/>
      <c r="E30" s="483"/>
      <c r="F30" s="483"/>
      <c r="G30" s="483"/>
    </row>
    <row r="31" spans="1:29" ht="15.6" customHeight="1">
      <c r="A31" s="804"/>
      <c r="B31" s="804"/>
      <c r="C31" s="804"/>
      <c r="D31" s="804"/>
      <c r="E31" s="804"/>
      <c r="F31" s="804"/>
      <c r="G31" s="804"/>
      <c r="H31" s="804"/>
      <c r="I31" s="804"/>
    </row>
    <row r="32" spans="1:29" ht="15.6" customHeight="1">
      <c r="A32" s="804"/>
      <c r="B32" s="804"/>
      <c r="C32" s="804"/>
      <c r="D32" s="804"/>
      <c r="E32" s="804"/>
      <c r="F32" s="804"/>
      <c r="G32" s="804"/>
      <c r="H32" s="804"/>
      <c r="I32" s="804"/>
    </row>
    <row r="33" spans="1:9" ht="15.6" customHeight="1">
      <c r="A33" s="804"/>
      <c r="B33" s="804"/>
      <c r="C33" s="804"/>
      <c r="D33" s="804"/>
      <c r="E33" s="804"/>
      <c r="F33" s="804"/>
      <c r="G33" s="804"/>
      <c r="H33" s="804"/>
      <c r="I33" s="804"/>
    </row>
    <row r="34" spans="1:9" ht="15.6" customHeight="1">
      <c r="A34" s="836"/>
      <c r="B34" s="836"/>
      <c r="C34" s="836"/>
      <c r="D34" s="836"/>
      <c r="E34" s="836"/>
      <c r="F34" s="836"/>
      <c r="G34" s="836"/>
      <c r="H34" s="836"/>
      <c r="I34" s="836"/>
    </row>
    <row r="35" spans="1:9" ht="15.6" customHeight="1">
      <c r="A35" s="804"/>
      <c r="B35" s="804"/>
      <c r="C35" s="804"/>
      <c r="D35" s="804"/>
      <c r="E35" s="804"/>
      <c r="F35" s="804"/>
      <c r="G35" s="804"/>
      <c r="H35" s="804"/>
      <c r="I35" s="804"/>
    </row>
    <row r="36" spans="1:9" ht="15.6" customHeight="1">
      <c r="A36" s="804"/>
      <c r="B36" s="804"/>
      <c r="C36" s="804"/>
      <c r="D36" s="804"/>
      <c r="E36" s="804"/>
      <c r="F36" s="804"/>
      <c r="G36" s="804"/>
      <c r="H36" s="804"/>
      <c r="I36" s="804"/>
    </row>
    <row r="37" spans="1:9" ht="15.6" customHeight="1">
      <c r="A37" s="804"/>
      <c r="B37" s="804"/>
      <c r="C37" s="804"/>
      <c r="D37" s="804"/>
      <c r="E37" s="804"/>
      <c r="F37" s="804"/>
      <c r="G37" s="804"/>
      <c r="H37" s="804"/>
      <c r="I37" s="804"/>
    </row>
    <row r="38" spans="1:9" ht="15.6" customHeight="1">
      <c r="A38" s="804"/>
      <c r="B38" s="804"/>
      <c r="C38" s="804"/>
      <c r="D38" s="804"/>
      <c r="E38" s="804"/>
      <c r="F38" s="804"/>
      <c r="G38" s="804"/>
      <c r="H38" s="804"/>
      <c r="I38" s="804"/>
    </row>
    <row r="39" spans="1:9" ht="15.6" customHeight="1">
      <c r="A39" s="804"/>
      <c r="B39" s="804"/>
      <c r="C39" s="804"/>
      <c r="D39" s="804"/>
      <c r="E39" s="804"/>
      <c r="F39" s="804"/>
      <c r="G39" s="804"/>
      <c r="H39" s="804"/>
      <c r="I39" s="804"/>
    </row>
    <row r="40" spans="1:9" ht="15.6" customHeight="1">
      <c r="A40" s="804"/>
      <c r="B40" s="804"/>
      <c r="C40" s="804"/>
      <c r="D40" s="804"/>
      <c r="E40" s="804"/>
      <c r="F40" s="804"/>
      <c r="G40" s="804"/>
      <c r="H40" s="804"/>
      <c r="I40" s="804"/>
    </row>
    <row r="41" spans="1:9" ht="15.6" customHeight="1">
      <c r="A41" s="804"/>
      <c r="B41" s="804"/>
      <c r="C41" s="804"/>
      <c r="D41" s="804"/>
      <c r="E41" s="804"/>
      <c r="F41" s="804"/>
      <c r="G41" s="804"/>
      <c r="H41" s="804"/>
      <c r="I41" s="804"/>
    </row>
    <row r="42" spans="1:9" ht="15.75">
      <c r="A42" s="315"/>
      <c r="B42" s="308"/>
      <c r="C42" s="308"/>
      <c r="D42" s="308"/>
      <c r="E42" s="308"/>
      <c r="F42" s="308"/>
      <c r="G42" s="313"/>
    </row>
    <row r="43" spans="1:9" ht="15.75">
      <c r="A43" s="315"/>
      <c r="B43" s="308"/>
      <c r="C43" s="308"/>
      <c r="D43" s="308"/>
      <c r="E43" s="483"/>
      <c r="F43" s="483"/>
      <c r="G43" s="483"/>
    </row>
    <row r="47" spans="1:9" ht="15.75">
      <c r="A47" s="483"/>
      <c r="B47" s="483"/>
      <c r="C47" s="483"/>
      <c r="D47" s="483"/>
      <c r="E47" s="308"/>
      <c r="F47" s="308"/>
      <c r="G47" s="313"/>
    </row>
    <row r="48" spans="1:9" ht="15.75">
      <c r="A48" s="483"/>
      <c r="B48" s="483"/>
      <c r="C48" s="483"/>
      <c r="D48" s="483"/>
      <c r="E48" s="313"/>
      <c r="F48" s="313"/>
      <c r="G48" s="308"/>
    </row>
    <row r="49" spans="1:7" ht="15.75">
      <c r="D49" s="483"/>
      <c r="E49" s="308"/>
      <c r="F49" s="308"/>
      <c r="G49" s="313"/>
    </row>
    <row r="50" spans="1:7" ht="15.75">
      <c r="D50" s="484"/>
      <c r="E50" s="308"/>
      <c r="F50" s="308"/>
      <c r="G50" s="313"/>
    </row>
    <row r="51" spans="1:7" ht="15.75">
      <c r="D51" s="484"/>
      <c r="E51" s="308"/>
      <c r="F51" s="308"/>
      <c r="G51" s="313"/>
    </row>
    <row r="52" spans="1:7" ht="15.75">
      <c r="D52" s="483"/>
      <c r="E52" s="308"/>
      <c r="F52" s="308"/>
      <c r="G52" s="308"/>
    </row>
    <row r="53" spans="1:7" ht="15.75">
      <c r="A53" s="315"/>
      <c r="B53" s="308"/>
      <c r="C53" s="308"/>
      <c r="D53" s="308"/>
      <c r="E53" s="308"/>
      <c r="F53" s="308"/>
      <c r="G53" s="313"/>
    </row>
    <row r="54" spans="1:7" ht="15.75">
      <c r="A54" s="315"/>
      <c r="B54" s="308"/>
      <c r="C54" s="308"/>
      <c r="D54" s="308"/>
      <c r="E54" s="308"/>
      <c r="F54" s="308"/>
      <c r="G54" s="313"/>
    </row>
    <row r="55" spans="1:7" ht="15.75">
      <c r="A55" s="315"/>
      <c r="B55" s="308"/>
      <c r="C55" s="308"/>
      <c r="D55" s="308"/>
      <c r="E55" s="308"/>
      <c r="F55" s="308"/>
      <c r="G55" s="313"/>
    </row>
    <row r="56" spans="1:7" ht="15.75">
      <c r="A56" s="315"/>
      <c r="B56" s="308"/>
      <c r="C56" s="308"/>
      <c r="D56" s="308"/>
      <c r="E56" s="308"/>
      <c r="F56" s="308"/>
      <c r="G56" s="313"/>
    </row>
    <row r="57" spans="1:7" ht="15.75">
      <c r="A57" s="315"/>
      <c r="B57" s="308"/>
      <c r="C57" s="308"/>
      <c r="D57" s="308"/>
      <c r="E57" s="308"/>
      <c r="F57" s="308"/>
      <c r="G57" s="313"/>
    </row>
    <row r="58" spans="1:7" ht="15.75">
      <c r="A58" s="315"/>
      <c r="B58" s="308"/>
      <c r="C58" s="308"/>
      <c r="D58" s="308"/>
      <c r="E58" s="308"/>
      <c r="F58" s="308"/>
      <c r="G58" s="313"/>
    </row>
    <row r="59" spans="1:7" ht="15.75">
      <c r="A59" s="315"/>
      <c r="B59" s="308"/>
      <c r="C59" s="308"/>
      <c r="D59" s="308"/>
      <c r="E59" s="308"/>
      <c r="F59" s="308"/>
      <c r="G59" s="313"/>
    </row>
    <row r="60" spans="1:7" ht="15.75">
      <c r="A60" s="315"/>
      <c r="B60" s="308"/>
      <c r="C60" s="308"/>
      <c r="D60" s="308"/>
      <c r="E60" s="308"/>
      <c r="F60" s="308"/>
      <c r="G60" s="313"/>
    </row>
    <row r="61" spans="1:7" ht="15.75">
      <c r="A61" s="315"/>
      <c r="B61" s="308"/>
      <c r="C61" s="308"/>
      <c r="D61" s="308"/>
      <c r="E61" s="308"/>
      <c r="F61" s="308"/>
      <c r="G61" s="313"/>
    </row>
    <row r="62" spans="1:7" ht="15.75">
      <c r="A62" s="315"/>
      <c r="B62" s="308"/>
      <c r="C62" s="308"/>
      <c r="D62" s="308"/>
      <c r="E62" s="308"/>
      <c r="F62" s="308"/>
      <c r="G62" s="313"/>
    </row>
    <row r="63" spans="1:7" ht="15.75">
      <c r="A63" s="315"/>
      <c r="B63" s="308"/>
      <c r="C63" s="308"/>
      <c r="D63" s="308"/>
      <c r="E63" s="308"/>
      <c r="F63" s="308"/>
      <c r="G63" s="313"/>
    </row>
    <row r="64" spans="1:7" ht="15.75">
      <c r="A64" s="315"/>
      <c r="B64" s="308"/>
      <c r="C64" s="308"/>
      <c r="D64" s="308"/>
      <c r="E64" s="308"/>
      <c r="F64" s="308"/>
      <c r="G64" s="313"/>
    </row>
    <row r="65" spans="1:7" ht="15.75">
      <c r="A65" s="315"/>
      <c r="B65" s="308"/>
      <c r="C65" s="308"/>
      <c r="D65" s="308"/>
      <c r="E65" s="308"/>
      <c r="F65" s="308"/>
      <c r="G65" s="313"/>
    </row>
    <row r="66" spans="1:7" ht="15.75">
      <c r="A66" s="315"/>
      <c r="B66" s="308"/>
      <c r="C66" s="308"/>
      <c r="D66" s="308"/>
      <c r="E66" s="308"/>
      <c r="F66" s="308"/>
      <c r="G66" s="313"/>
    </row>
    <row r="67" spans="1:7" ht="15.75">
      <c r="A67" s="308"/>
      <c r="B67" s="313"/>
      <c r="C67" s="313"/>
      <c r="D67" s="313"/>
      <c r="E67" s="313"/>
      <c r="F67" s="313"/>
      <c r="G67" s="485"/>
    </row>
    <row r="68" spans="1:7" ht="15.75">
      <c r="A68" s="308"/>
      <c r="B68" s="313"/>
      <c r="C68" s="313"/>
      <c r="D68" s="313"/>
      <c r="E68" s="313"/>
      <c r="F68" s="313"/>
      <c r="G68" s="486"/>
    </row>
    <row r="69" spans="1:7" ht="15.75">
      <c r="A69" s="487"/>
      <c r="B69" s="308"/>
      <c r="C69" s="308"/>
      <c r="D69" s="308"/>
      <c r="E69" s="308"/>
      <c r="F69" s="308"/>
      <c r="G69" s="488"/>
    </row>
    <row r="70" spans="1:7" ht="15.75">
      <c r="A70" s="315"/>
      <c r="B70" s="308"/>
      <c r="C70" s="308"/>
      <c r="D70" s="308"/>
      <c r="E70" s="308"/>
      <c r="F70" s="308"/>
      <c r="G70" s="313"/>
    </row>
    <row r="71" spans="1:7" ht="15.75">
      <c r="A71" s="308"/>
      <c r="B71" s="313"/>
      <c r="C71" s="313"/>
      <c r="D71" s="313"/>
      <c r="E71" s="313"/>
      <c r="F71" s="313"/>
      <c r="G71" s="485"/>
    </row>
    <row r="72" spans="1:7" ht="15.75">
      <c r="A72" s="308"/>
      <c r="B72" s="308"/>
      <c r="C72" s="308"/>
      <c r="D72" s="308"/>
      <c r="E72" s="308"/>
      <c r="F72" s="308"/>
      <c r="G72" s="489"/>
    </row>
    <row r="73" spans="1:7" ht="16.5" thickBot="1">
      <c r="A73" s="487"/>
      <c r="B73" s="308"/>
      <c r="C73" s="308"/>
      <c r="D73" s="308"/>
      <c r="E73" s="308"/>
      <c r="F73" s="308"/>
      <c r="G73" s="490"/>
    </row>
  </sheetData>
  <mergeCells count="14">
    <mergeCell ref="A22:I22"/>
    <mergeCell ref="B28:C28"/>
    <mergeCell ref="B29:C29"/>
    <mergeCell ref="A1:I1"/>
    <mergeCell ref="A2:I2"/>
    <mergeCell ref="A3:I3"/>
    <mergeCell ref="B5:C5"/>
    <mergeCell ref="D5:F5"/>
    <mergeCell ref="G5:H5"/>
    <mergeCell ref="A34:I34"/>
    <mergeCell ref="H28:I28"/>
    <mergeCell ref="H29:I29"/>
    <mergeCell ref="E28:F28"/>
    <mergeCell ref="E29:F29"/>
  </mergeCells>
  <printOptions horizontalCentered="1" verticalCentered="1"/>
  <pageMargins left="1.1811023622047245" right="2.3622047244094491" top="1.1811023622047245" bottom="1.1811023622047245" header="0.23622047244094491" footer="0"/>
  <pageSetup paperSize="5" scale="80" firstPageNumber="0" fitToHeight="0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showGridLines="0" zoomScale="90" workbookViewId="0">
      <selection activeCell="A57" sqref="A57"/>
    </sheetView>
  </sheetViews>
  <sheetFormatPr baseColWidth="10" defaultRowHeight="15.75"/>
  <cols>
    <col min="1" max="1" width="1.7109375" style="599" customWidth="1"/>
    <col min="2" max="2" width="30.7109375" style="533" customWidth="1"/>
    <col min="3" max="3" width="15.42578125" style="533" customWidth="1"/>
    <col min="4" max="4" width="13.42578125" style="533" bestFit="1" customWidth="1"/>
    <col min="5" max="5" width="13.7109375" style="533" customWidth="1"/>
    <col min="6" max="6" width="14.28515625" style="533" customWidth="1"/>
    <col min="7" max="7" width="15.5703125" style="533" customWidth="1"/>
    <col min="8" max="8" width="15.5703125" style="533" bestFit="1" customWidth="1"/>
    <col min="9" max="9" width="13.42578125" style="533" bestFit="1" customWidth="1"/>
    <col min="10" max="10" width="12.5703125" style="533" bestFit="1" customWidth="1"/>
    <col min="11" max="11" width="12.140625" style="533" customWidth="1"/>
    <col min="12" max="12" width="15.7109375" style="533" bestFit="1" customWidth="1"/>
    <col min="13" max="13" width="14.42578125" style="533" bestFit="1" customWidth="1"/>
    <col min="14" max="14" width="12.5703125" style="599" customWidth="1"/>
    <col min="15" max="16" width="16.7109375" style="599" bestFit="1" customWidth="1"/>
    <col min="17" max="17" width="15.7109375" style="599" bestFit="1" customWidth="1"/>
    <col min="18" max="256" width="11.42578125" style="599"/>
    <col min="257" max="257" width="1.7109375" style="599" customWidth="1"/>
    <col min="258" max="258" width="30.7109375" style="599" customWidth="1"/>
    <col min="259" max="259" width="14.28515625" style="599" customWidth="1"/>
    <col min="260" max="260" width="13.42578125" style="599" bestFit="1" customWidth="1"/>
    <col min="261" max="261" width="13.7109375" style="599" customWidth="1"/>
    <col min="262" max="262" width="14.28515625" style="599" customWidth="1"/>
    <col min="263" max="263" width="15.5703125" style="599" customWidth="1"/>
    <col min="264" max="264" width="15.5703125" style="599" bestFit="1" customWidth="1"/>
    <col min="265" max="265" width="13.42578125" style="599" bestFit="1" customWidth="1"/>
    <col min="266" max="266" width="12.5703125" style="599" bestFit="1" customWidth="1"/>
    <col min="267" max="267" width="12.140625" style="599" customWidth="1"/>
    <col min="268" max="268" width="15.7109375" style="599" bestFit="1" customWidth="1"/>
    <col min="269" max="269" width="14.42578125" style="599" bestFit="1" customWidth="1"/>
    <col min="270" max="270" width="12.5703125" style="599" customWidth="1"/>
    <col min="271" max="272" width="16.7109375" style="599" bestFit="1" customWidth="1"/>
    <col min="273" max="273" width="15.7109375" style="599" bestFit="1" customWidth="1"/>
    <col min="274" max="512" width="11.42578125" style="599"/>
    <col min="513" max="513" width="1.7109375" style="599" customWidth="1"/>
    <col min="514" max="514" width="30.7109375" style="599" customWidth="1"/>
    <col min="515" max="515" width="14.28515625" style="599" customWidth="1"/>
    <col min="516" max="516" width="13.42578125" style="599" bestFit="1" customWidth="1"/>
    <col min="517" max="517" width="13.7109375" style="599" customWidth="1"/>
    <col min="518" max="518" width="14.28515625" style="599" customWidth="1"/>
    <col min="519" max="519" width="15.5703125" style="599" customWidth="1"/>
    <col min="520" max="520" width="15.5703125" style="599" bestFit="1" customWidth="1"/>
    <col min="521" max="521" width="13.42578125" style="599" bestFit="1" customWidth="1"/>
    <col min="522" max="522" width="12.5703125" style="599" bestFit="1" customWidth="1"/>
    <col min="523" max="523" width="12.140625" style="599" customWidth="1"/>
    <col min="524" max="524" width="15.7109375" style="599" bestFit="1" customWidth="1"/>
    <col min="525" max="525" width="14.42578125" style="599" bestFit="1" customWidth="1"/>
    <col min="526" max="526" width="12.5703125" style="599" customWidth="1"/>
    <col min="527" max="528" width="16.7109375" style="599" bestFit="1" customWidth="1"/>
    <col min="529" max="529" width="15.7109375" style="599" bestFit="1" customWidth="1"/>
    <col min="530" max="768" width="11.42578125" style="599"/>
    <col min="769" max="769" width="1.7109375" style="599" customWidth="1"/>
    <col min="770" max="770" width="30.7109375" style="599" customWidth="1"/>
    <col min="771" max="771" width="14.28515625" style="599" customWidth="1"/>
    <col min="772" max="772" width="13.42578125" style="599" bestFit="1" customWidth="1"/>
    <col min="773" max="773" width="13.7109375" style="599" customWidth="1"/>
    <col min="774" max="774" width="14.28515625" style="599" customWidth="1"/>
    <col min="775" max="775" width="15.5703125" style="599" customWidth="1"/>
    <col min="776" max="776" width="15.5703125" style="599" bestFit="1" customWidth="1"/>
    <col min="777" max="777" width="13.42578125" style="599" bestFit="1" customWidth="1"/>
    <col min="778" max="778" width="12.5703125" style="599" bestFit="1" customWidth="1"/>
    <col min="779" max="779" width="12.140625" style="599" customWidth="1"/>
    <col min="780" max="780" width="15.7109375" style="599" bestFit="1" customWidth="1"/>
    <col min="781" max="781" width="14.42578125" style="599" bestFit="1" customWidth="1"/>
    <col min="782" max="782" width="12.5703125" style="599" customWidth="1"/>
    <col min="783" max="784" width="16.7109375" style="599" bestFit="1" customWidth="1"/>
    <col min="785" max="785" width="15.7109375" style="599" bestFit="1" customWidth="1"/>
    <col min="786" max="1024" width="11.42578125" style="599"/>
    <col min="1025" max="1025" width="1.7109375" style="599" customWidth="1"/>
    <col min="1026" max="1026" width="30.7109375" style="599" customWidth="1"/>
    <col min="1027" max="1027" width="14.28515625" style="599" customWidth="1"/>
    <col min="1028" max="1028" width="13.42578125" style="599" bestFit="1" customWidth="1"/>
    <col min="1029" max="1029" width="13.7109375" style="599" customWidth="1"/>
    <col min="1030" max="1030" width="14.28515625" style="599" customWidth="1"/>
    <col min="1031" max="1031" width="15.5703125" style="599" customWidth="1"/>
    <col min="1032" max="1032" width="15.5703125" style="599" bestFit="1" customWidth="1"/>
    <col min="1033" max="1033" width="13.42578125" style="599" bestFit="1" customWidth="1"/>
    <col min="1034" max="1034" width="12.5703125" style="599" bestFit="1" customWidth="1"/>
    <col min="1035" max="1035" width="12.140625" style="599" customWidth="1"/>
    <col min="1036" max="1036" width="15.7109375" style="599" bestFit="1" customWidth="1"/>
    <col min="1037" max="1037" width="14.42578125" style="599" bestFit="1" customWidth="1"/>
    <col min="1038" max="1038" width="12.5703125" style="599" customWidth="1"/>
    <col min="1039" max="1040" width="16.7109375" style="599" bestFit="1" customWidth="1"/>
    <col min="1041" max="1041" width="15.7109375" style="599" bestFit="1" customWidth="1"/>
    <col min="1042" max="1280" width="11.42578125" style="599"/>
    <col min="1281" max="1281" width="1.7109375" style="599" customWidth="1"/>
    <col min="1282" max="1282" width="30.7109375" style="599" customWidth="1"/>
    <col min="1283" max="1283" width="14.28515625" style="599" customWidth="1"/>
    <col min="1284" max="1284" width="13.42578125" style="599" bestFit="1" customWidth="1"/>
    <col min="1285" max="1285" width="13.7109375" style="599" customWidth="1"/>
    <col min="1286" max="1286" width="14.28515625" style="599" customWidth="1"/>
    <col min="1287" max="1287" width="15.5703125" style="599" customWidth="1"/>
    <col min="1288" max="1288" width="15.5703125" style="599" bestFit="1" customWidth="1"/>
    <col min="1289" max="1289" width="13.42578125" style="599" bestFit="1" customWidth="1"/>
    <col min="1290" max="1290" width="12.5703125" style="599" bestFit="1" customWidth="1"/>
    <col min="1291" max="1291" width="12.140625" style="599" customWidth="1"/>
    <col min="1292" max="1292" width="15.7109375" style="599" bestFit="1" customWidth="1"/>
    <col min="1293" max="1293" width="14.42578125" style="599" bestFit="1" customWidth="1"/>
    <col min="1294" max="1294" width="12.5703125" style="599" customWidth="1"/>
    <col min="1295" max="1296" width="16.7109375" style="599" bestFit="1" customWidth="1"/>
    <col min="1297" max="1297" width="15.7109375" style="599" bestFit="1" customWidth="1"/>
    <col min="1298" max="1536" width="11.42578125" style="599"/>
    <col min="1537" max="1537" width="1.7109375" style="599" customWidth="1"/>
    <col min="1538" max="1538" width="30.7109375" style="599" customWidth="1"/>
    <col min="1539" max="1539" width="14.28515625" style="599" customWidth="1"/>
    <col min="1540" max="1540" width="13.42578125" style="599" bestFit="1" customWidth="1"/>
    <col min="1541" max="1541" width="13.7109375" style="599" customWidth="1"/>
    <col min="1542" max="1542" width="14.28515625" style="599" customWidth="1"/>
    <col min="1543" max="1543" width="15.5703125" style="599" customWidth="1"/>
    <col min="1544" max="1544" width="15.5703125" style="599" bestFit="1" customWidth="1"/>
    <col min="1545" max="1545" width="13.42578125" style="599" bestFit="1" customWidth="1"/>
    <col min="1546" max="1546" width="12.5703125" style="599" bestFit="1" customWidth="1"/>
    <col min="1547" max="1547" width="12.140625" style="599" customWidth="1"/>
    <col min="1548" max="1548" width="15.7109375" style="599" bestFit="1" customWidth="1"/>
    <col min="1549" max="1549" width="14.42578125" style="599" bestFit="1" customWidth="1"/>
    <col min="1550" max="1550" width="12.5703125" style="599" customWidth="1"/>
    <col min="1551" max="1552" width="16.7109375" style="599" bestFit="1" customWidth="1"/>
    <col min="1553" max="1553" width="15.7109375" style="599" bestFit="1" customWidth="1"/>
    <col min="1554" max="1792" width="11.42578125" style="599"/>
    <col min="1793" max="1793" width="1.7109375" style="599" customWidth="1"/>
    <col min="1794" max="1794" width="30.7109375" style="599" customWidth="1"/>
    <col min="1795" max="1795" width="14.28515625" style="599" customWidth="1"/>
    <col min="1796" max="1796" width="13.42578125" style="599" bestFit="1" customWidth="1"/>
    <col min="1797" max="1797" width="13.7109375" style="599" customWidth="1"/>
    <col min="1798" max="1798" width="14.28515625" style="599" customWidth="1"/>
    <col min="1799" max="1799" width="15.5703125" style="599" customWidth="1"/>
    <col min="1800" max="1800" width="15.5703125" style="599" bestFit="1" customWidth="1"/>
    <col min="1801" max="1801" width="13.42578125" style="599" bestFit="1" customWidth="1"/>
    <col min="1802" max="1802" width="12.5703125" style="599" bestFit="1" customWidth="1"/>
    <col min="1803" max="1803" width="12.140625" style="599" customWidth="1"/>
    <col min="1804" max="1804" width="15.7109375" style="599" bestFit="1" customWidth="1"/>
    <col min="1805" max="1805" width="14.42578125" style="599" bestFit="1" customWidth="1"/>
    <col min="1806" max="1806" width="12.5703125" style="599" customWidth="1"/>
    <col min="1807" max="1808" width="16.7109375" style="599" bestFit="1" customWidth="1"/>
    <col min="1809" max="1809" width="15.7109375" style="599" bestFit="1" customWidth="1"/>
    <col min="1810" max="2048" width="11.42578125" style="599"/>
    <col min="2049" max="2049" width="1.7109375" style="599" customWidth="1"/>
    <col min="2050" max="2050" width="30.7109375" style="599" customWidth="1"/>
    <col min="2051" max="2051" width="14.28515625" style="599" customWidth="1"/>
    <col min="2052" max="2052" width="13.42578125" style="599" bestFit="1" customWidth="1"/>
    <col min="2053" max="2053" width="13.7109375" style="599" customWidth="1"/>
    <col min="2054" max="2054" width="14.28515625" style="599" customWidth="1"/>
    <col min="2055" max="2055" width="15.5703125" style="599" customWidth="1"/>
    <col min="2056" max="2056" width="15.5703125" style="599" bestFit="1" customWidth="1"/>
    <col min="2057" max="2057" width="13.42578125" style="599" bestFit="1" customWidth="1"/>
    <col min="2058" max="2058" width="12.5703125" style="599" bestFit="1" customWidth="1"/>
    <col min="2059" max="2059" width="12.140625" style="599" customWidth="1"/>
    <col min="2060" max="2060" width="15.7109375" style="599" bestFit="1" customWidth="1"/>
    <col min="2061" max="2061" width="14.42578125" style="599" bestFit="1" customWidth="1"/>
    <col min="2062" max="2062" width="12.5703125" style="599" customWidth="1"/>
    <col min="2063" max="2064" width="16.7109375" style="599" bestFit="1" customWidth="1"/>
    <col min="2065" max="2065" width="15.7109375" style="599" bestFit="1" customWidth="1"/>
    <col min="2066" max="2304" width="11.42578125" style="599"/>
    <col min="2305" max="2305" width="1.7109375" style="599" customWidth="1"/>
    <col min="2306" max="2306" width="30.7109375" style="599" customWidth="1"/>
    <col min="2307" max="2307" width="14.28515625" style="599" customWidth="1"/>
    <col min="2308" max="2308" width="13.42578125" style="599" bestFit="1" customWidth="1"/>
    <col min="2309" max="2309" width="13.7109375" style="599" customWidth="1"/>
    <col min="2310" max="2310" width="14.28515625" style="599" customWidth="1"/>
    <col min="2311" max="2311" width="15.5703125" style="599" customWidth="1"/>
    <col min="2312" max="2312" width="15.5703125" style="599" bestFit="1" customWidth="1"/>
    <col min="2313" max="2313" width="13.42578125" style="599" bestFit="1" customWidth="1"/>
    <col min="2314" max="2314" width="12.5703125" style="599" bestFit="1" customWidth="1"/>
    <col min="2315" max="2315" width="12.140625" style="599" customWidth="1"/>
    <col min="2316" max="2316" width="15.7109375" style="599" bestFit="1" customWidth="1"/>
    <col min="2317" max="2317" width="14.42578125" style="599" bestFit="1" customWidth="1"/>
    <col min="2318" max="2318" width="12.5703125" style="599" customWidth="1"/>
    <col min="2319" max="2320" width="16.7109375" style="599" bestFit="1" customWidth="1"/>
    <col min="2321" max="2321" width="15.7109375" style="599" bestFit="1" customWidth="1"/>
    <col min="2322" max="2560" width="11.42578125" style="599"/>
    <col min="2561" max="2561" width="1.7109375" style="599" customWidth="1"/>
    <col min="2562" max="2562" width="30.7109375" style="599" customWidth="1"/>
    <col min="2563" max="2563" width="14.28515625" style="599" customWidth="1"/>
    <col min="2564" max="2564" width="13.42578125" style="599" bestFit="1" customWidth="1"/>
    <col min="2565" max="2565" width="13.7109375" style="599" customWidth="1"/>
    <col min="2566" max="2566" width="14.28515625" style="599" customWidth="1"/>
    <col min="2567" max="2567" width="15.5703125" style="599" customWidth="1"/>
    <col min="2568" max="2568" width="15.5703125" style="599" bestFit="1" customWidth="1"/>
    <col min="2569" max="2569" width="13.42578125" style="599" bestFit="1" customWidth="1"/>
    <col min="2570" max="2570" width="12.5703125" style="599" bestFit="1" customWidth="1"/>
    <col min="2571" max="2571" width="12.140625" style="599" customWidth="1"/>
    <col min="2572" max="2572" width="15.7109375" style="599" bestFit="1" customWidth="1"/>
    <col min="2573" max="2573" width="14.42578125" style="599" bestFit="1" customWidth="1"/>
    <col min="2574" max="2574" width="12.5703125" style="599" customWidth="1"/>
    <col min="2575" max="2576" width="16.7109375" style="599" bestFit="1" customWidth="1"/>
    <col min="2577" max="2577" width="15.7109375" style="599" bestFit="1" customWidth="1"/>
    <col min="2578" max="2816" width="11.42578125" style="599"/>
    <col min="2817" max="2817" width="1.7109375" style="599" customWidth="1"/>
    <col min="2818" max="2818" width="30.7109375" style="599" customWidth="1"/>
    <col min="2819" max="2819" width="14.28515625" style="599" customWidth="1"/>
    <col min="2820" max="2820" width="13.42578125" style="599" bestFit="1" customWidth="1"/>
    <col min="2821" max="2821" width="13.7109375" style="599" customWidth="1"/>
    <col min="2822" max="2822" width="14.28515625" style="599" customWidth="1"/>
    <col min="2823" max="2823" width="15.5703125" style="599" customWidth="1"/>
    <col min="2824" max="2824" width="15.5703125" style="599" bestFit="1" customWidth="1"/>
    <col min="2825" max="2825" width="13.42578125" style="599" bestFit="1" customWidth="1"/>
    <col min="2826" max="2826" width="12.5703125" style="599" bestFit="1" customWidth="1"/>
    <col min="2827" max="2827" width="12.140625" style="599" customWidth="1"/>
    <col min="2828" max="2828" width="15.7109375" style="599" bestFit="1" customWidth="1"/>
    <col min="2829" max="2829" width="14.42578125" style="599" bestFit="1" customWidth="1"/>
    <col min="2830" max="2830" width="12.5703125" style="599" customWidth="1"/>
    <col min="2831" max="2832" width="16.7109375" style="599" bestFit="1" customWidth="1"/>
    <col min="2833" max="2833" width="15.7109375" style="599" bestFit="1" customWidth="1"/>
    <col min="2834" max="3072" width="11.42578125" style="599"/>
    <col min="3073" max="3073" width="1.7109375" style="599" customWidth="1"/>
    <col min="3074" max="3074" width="30.7109375" style="599" customWidth="1"/>
    <col min="3075" max="3075" width="14.28515625" style="599" customWidth="1"/>
    <col min="3076" max="3076" width="13.42578125" style="599" bestFit="1" customWidth="1"/>
    <col min="3077" max="3077" width="13.7109375" style="599" customWidth="1"/>
    <col min="3078" max="3078" width="14.28515625" style="599" customWidth="1"/>
    <col min="3079" max="3079" width="15.5703125" style="599" customWidth="1"/>
    <col min="3080" max="3080" width="15.5703125" style="599" bestFit="1" customWidth="1"/>
    <col min="3081" max="3081" width="13.42578125" style="599" bestFit="1" customWidth="1"/>
    <col min="3082" max="3082" width="12.5703125" style="599" bestFit="1" customWidth="1"/>
    <col min="3083" max="3083" width="12.140625" style="599" customWidth="1"/>
    <col min="3084" max="3084" width="15.7109375" style="599" bestFit="1" customWidth="1"/>
    <col min="3085" max="3085" width="14.42578125" style="599" bestFit="1" customWidth="1"/>
    <col min="3086" max="3086" width="12.5703125" style="599" customWidth="1"/>
    <col min="3087" max="3088" width="16.7109375" style="599" bestFit="1" customWidth="1"/>
    <col min="3089" max="3089" width="15.7109375" style="599" bestFit="1" customWidth="1"/>
    <col min="3090" max="3328" width="11.42578125" style="599"/>
    <col min="3329" max="3329" width="1.7109375" style="599" customWidth="1"/>
    <col min="3330" max="3330" width="30.7109375" style="599" customWidth="1"/>
    <col min="3331" max="3331" width="14.28515625" style="599" customWidth="1"/>
    <col min="3332" max="3332" width="13.42578125" style="599" bestFit="1" customWidth="1"/>
    <col min="3333" max="3333" width="13.7109375" style="599" customWidth="1"/>
    <col min="3334" max="3334" width="14.28515625" style="599" customWidth="1"/>
    <col min="3335" max="3335" width="15.5703125" style="599" customWidth="1"/>
    <col min="3336" max="3336" width="15.5703125" style="599" bestFit="1" customWidth="1"/>
    <col min="3337" max="3337" width="13.42578125" style="599" bestFit="1" customWidth="1"/>
    <col min="3338" max="3338" width="12.5703125" style="599" bestFit="1" customWidth="1"/>
    <col min="3339" max="3339" width="12.140625" style="599" customWidth="1"/>
    <col min="3340" max="3340" width="15.7109375" style="599" bestFit="1" customWidth="1"/>
    <col min="3341" max="3341" width="14.42578125" style="599" bestFit="1" customWidth="1"/>
    <col min="3342" max="3342" width="12.5703125" style="599" customWidth="1"/>
    <col min="3343" max="3344" width="16.7109375" style="599" bestFit="1" customWidth="1"/>
    <col min="3345" max="3345" width="15.7109375" style="599" bestFit="1" customWidth="1"/>
    <col min="3346" max="3584" width="11.42578125" style="599"/>
    <col min="3585" max="3585" width="1.7109375" style="599" customWidth="1"/>
    <col min="3586" max="3586" width="30.7109375" style="599" customWidth="1"/>
    <col min="3587" max="3587" width="14.28515625" style="599" customWidth="1"/>
    <col min="3588" max="3588" width="13.42578125" style="599" bestFit="1" customWidth="1"/>
    <col min="3589" max="3589" width="13.7109375" style="599" customWidth="1"/>
    <col min="3590" max="3590" width="14.28515625" style="599" customWidth="1"/>
    <col min="3591" max="3591" width="15.5703125" style="599" customWidth="1"/>
    <col min="3592" max="3592" width="15.5703125" style="599" bestFit="1" customWidth="1"/>
    <col min="3593" max="3593" width="13.42578125" style="599" bestFit="1" customWidth="1"/>
    <col min="3594" max="3594" width="12.5703125" style="599" bestFit="1" customWidth="1"/>
    <col min="3595" max="3595" width="12.140625" style="599" customWidth="1"/>
    <col min="3596" max="3596" width="15.7109375" style="599" bestFit="1" customWidth="1"/>
    <col min="3597" max="3597" width="14.42578125" style="599" bestFit="1" customWidth="1"/>
    <col min="3598" max="3598" width="12.5703125" style="599" customWidth="1"/>
    <col min="3599" max="3600" width="16.7109375" style="599" bestFit="1" customWidth="1"/>
    <col min="3601" max="3601" width="15.7109375" style="599" bestFit="1" customWidth="1"/>
    <col min="3602" max="3840" width="11.42578125" style="599"/>
    <col min="3841" max="3841" width="1.7109375" style="599" customWidth="1"/>
    <col min="3842" max="3842" width="30.7109375" style="599" customWidth="1"/>
    <col min="3843" max="3843" width="14.28515625" style="599" customWidth="1"/>
    <col min="3844" max="3844" width="13.42578125" style="599" bestFit="1" customWidth="1"/>
    <col min="3845" max="3845" width="13.7109375" style="599" customWidth="1"/>
    <col min="3846" max="3846" width="14.28515625" style="599" customWidth="1"/>
    <col min="3847" max="3847" width="15.5703125" style="599" customWidth="1"/>
    <col min="3848" max="3848" width="15.5703125" style="599" bestFit="1" customWidth="1"/>
    <col min="3849" max="3849" width="13.42578125" style="599" bestFit="1" customWidth="1"/>
    <col min="3850" max="3850" width="12.5703125" style="599" bestFit="1" customWidth="1"/>
    <col min="3851" max="3851" width="12.140625" style="599" customWidth="1"/>
    <col min="3852" max="3852" width="15.7109375" style="599" bestFit="1" customWidth="1"/>
    <col min="3853" max="3853" width="14.42578125" style="599" bestFit="1" customWidth="1"/>
    <col min="3854" max="3854" width="12.5703125" style="599" customWidth="1"/>
    <col min="3855" max="3856" width="16.7109375" style="599" bestFit="1" customWidth="1"/>
    <col min="3857" max="3857" width="15.7109375" style="599" bestFit="1" customWidth="1"/>
    <col min="3858" max="4096" width="11.42578125" style="599"/>
    <col min="4097" max="4097" width="1.7109375" style="599" customWidth="1"/>
    <col min="4098" max="4098" width="30.7109375" style="599" customWidth="1"/>
    <col min="4099" max="4099" width="14.28515625" style="599" customWidth="1"/>
    <col min="4100" max="4100" width="13.42578125" style="599" bestFit="1" customWidth="1"/>
    <col min="4101" max="4101" width="13.7109375" style="599" customWidth="1"/>
    <col min="4102" max="4102" width="14.28515625" style="599" customWidth="1"/>
    <col min="4103" max="4103" width="15.5703125" style="599" customWidth="1"/>
    <col min="4104" max="4104" width="15.5703125" style="599" bestFit="1" customWidth="1"/>
    <col min="4105" max="4105" width="13.42578125" style="599" bestFit="1" customWidth="1"/>
    <col min="4106" max="4106" width="12.5703125" style="599" bestFit="1" customWidth="1"/>
    <col min="4107" max="4107" width="12.140625" style="599" customWidth="1"/>
    <col min="4108" max="4108" width="15.7109375" style="599" bestFit="1" customWidth="1"/>
    <col min="4109" max="4109" width="14.42578125" style="599" bestFit="1" customWidth="1"/>
    <col min="4110" max="4110" width="12.5703125" style="599" customWidth="1"/>
    <col min="4111" max="4112" width="16.7109375" style="599" bestFit="1" customWidth="1"/>
    <col min="4113" max="4113" width="15.7109375" style="599" bestFit="1" customWidth="1"/>
    <col min="4114" max="4352" width="11.42578125" style="599"/>
    <col min="4353" max="4353" width="1.7109375" style="599" customWidth="1"/>
    <col min="4354" max="4354" width="30.7109375" style="599" customWidth="1"/>
    <col min="4355" max="4355" width="14.28515625" style="599" customWidth="1"/>
    <col min="4356" max="4356" width="13.42578125" style="599" bestFit="1" customWidth="1"/>
    <col min="4357" max="4357" width="13.7109375" style="599" customWidth="1"/>
    <col min="4358" max="4358" width="14.28515625" style="599" customWidth="1"/>
    <col min="4359" max="4359" width="15.5703125" style="599" customWidth="1"/>
    <col min="4360" max="4360" width="15.5703125" style="599" bestFit="1" customWidth="1"/>
    <col min="4361" max="4361" width="13.42578125" style="599" bestFit="1" customWidth="1"/>
    <col min="4362" max="4362" width="12.5703125" style="599" bestFit="1" customWidth="1"/>
    <col min="4363" max="4363" width="12.140625" style="599" customWidth="1"/>
    <col min="4364" max="4364" width="15.7109375" style="599" bestFit="1" customWidth="1"/>
    <col min="4365" max="4365" width="14.42578125" style="599" bestFit="1" customWidth="1"/>
    <col min="4366" max="4366" width="12.5703125" style="599" customWidth="1"/>
    <col min="4367" max="4368" width="16.7109375" style="599" bestFit="1" customWidth="1"/>
    <col min="4369" max="4369" width="15.7109375" style="599" bestFit="1" customWidth="1"/>
    <col min="4370" max="4608" width="11.42578125" style="599"/>
    <col min="4609" max="4609" width="1.7109375" style="599" customWidth="1"/>
    <col min="4610" max="4610" width="30.7109375" style="599" customWidth="1"/>
    <col min="4611" max="4611" width="14.28515625" style="599" customWidth="1"/>
    <col min="4612" max="4612" width="13.42578125" style="599" bestFit="1" customWidth="1"/>
    <col min="4613" max="4613" width="13.7109375" style="599" customWidth="1"/>
    <col min="4614" max="4614" width="14.28515625" style="599" customWidth="1"/>
    <col min="4615" max="4615" width="15.5703125" style="599" customWidth="1"/>
    <col min="4616" max="4616" width="15.5703125" style="599" bestFit="1" customWidth="1"/>
    <col min="4617" max="4617" width="13.42578125" style="599" bestFit="1" customWidth="1"/>
    <col min="4618" max="4618" width="12.5703125" style="599" bestFit="1" customWidth="1"/>
    <col min="4619" max="4619" width="12.140625" style="599" customWidth="1"/>
    <col min="4620" max="4620" width="15.7109375" style="599" bestFit="1" customWidth="1"/>
    <col min="4621" max="4621" width="14.42578125" style="599" bestFit="1" customWidth="1"/>
    <col min="4622" max="4622" width="12.5703125" style="599" customWidth="1"/>
    <col min="4623" max="4624" width="16.7109375" style="599" bestFit="1" customWidth="1"/>
    <col min="4625" max="4625" width="15.7109375" style="599" bestFit="1" customWidth="1"/>
    <col min="4626" max="4864" width="11.42578125" style="599"/>
    <col min="4865" max="4865" width="1.7109375" style="599" customWidth="1"/>
    <col min="4866" max="4866" width="30.7109375" style="599" customWidth="1"/>
    <col min="4867" max="4867" width="14.28515625" style="599" customWidth="1"/>
    <col min="4868" max="4868" width="13.42578125" style="599" bestFit="1" customWidth="1"/>
    <col min="4869" max="4869" width="13.7109375" style="599" customWidth="1"/>
    <col min="4870" max="4870" width="14.28515625" style="599" customWidth="1"/>
    <col min="4871" max="4871" width="15.5703125" style="599" customWidth="1"/>
    <col min="4872" max="4872" width="15.5703125" style="599" bestFit="1" customWidth="1"/>
    <col min="4873" max="4873" width="13.42578125" style="599" bestFit="1" customWidth="1"/>
    <col min="4874" max="4874" width="12.5703125" style="599" bestFit="1" customWidth="1"/>
    <col min="4875" max="4875" width="12.140625" style="599" customWidth="1"/>
    <col min="4876" max="4876" width="15.7109375" style="599" bestFit="1" customWidth="1"/>
    <col min="4877" max="4877" width="14.42578125" style="599" bestFit="1" customWidth="1"/>
    <col min="4878" max="4878" width="12.5703125" style="599" customWidth="1"/>
    <col min="4879" max="4880" width="16.7109375" style="599" bestFit="1" customWidth="1"/>
    <col min="4881" max="4881" width="15.7109375" style="599" bestFit="1" customWidth="1"/>
    <col min="4882" max="5120" width="11.42578125" style="599"/>
    <col min="5121" max="5121" width="1.7109375" style="599" customWidth="1"/>
    <col min="5122" max="5122" width="30.7109375" style="599" customWidth="1"/>
    <col min="5123" max="5123" width="14.28515625" style="599" customWidth="1"/>
    <col min="5124" max="5124" width="13.42578125" style="599" bestFit="1" customWidth="1"/>
    <col min="5125" max="5125" width="13.7109375" style="599" customWidth="1"/>
    <col min="5126" max="5126" width="14.28515625" style="599" customWidth="1"/>
    <col min="5127" max="5127" width="15.5703125" style="599" customWidth="1"/>
    <col min="5128" max="5128" width="15.5703125" style="599" bestFit="1" customWidth="1"/>
    <col min="5129" max="5129" width="13.42578125" style="599" bestFit="1" customWidth="1"/>
    <col min="5130" max="5130" width="12.5703125" style="599" bestFit="1" customWidth="1"/>
    <col min="5131" max="5131" width="12.140625" style="599" customWidth="1"/>
    <col min="5132" max="5132" width="15.7109375" style="599" bestFit="1" customWidth="1"/>
    <col min="5133" max="5133" width="14.42578125" style="599" bestFit="1" customWidth="1"/>
    <col min="5134" max="5134" width="12.5703125" style="599" customWidth="1"/>
    <col min="5135" max="5136" width="16.7109375" style="599" bestFit="1" customWidth="1"/>
    <col min="5137" max="5137" width="15.7109375" style="599" bestFit="1" customWidth="1"/>
    <col min="5138" max="5376" width="11.42578125" style="599"/>
    <col min="5377" max="5377" width="1.7109375" style="599" customWidth="1"/>
    <col min="5378" max="5378" width="30.7109375" style="599" customWidth="1"/>
    <col min="5379" max="5379" width="14.28515625" style="599" customWidth="1"/>
    <col min="5380" max="5380" width="13.42578125" style="599" bestFit="1" customWidth="1"/>
    <col min="5381" max="5381" width="13.7109375" style="599" customWidth="1"/>
    <col min="5382" max="5382" width="14.28515625" style="599" customWidth="1"/>
    <col min="5383" max="5383" width="15.5703125" style="599" customWidth="1"/>
    <col min="5384" max="5384" width="15.5703125" style="599" bestFit="1" customWidth="1"/>
    <col min="5385" max="5385" width="13.42578125" style="599" bestFit="1" customWidth="1"/>
    <col min="5386" max="5386" width="12.5703125" style="599" bestFit="1" customWidth="1"/>
    <col min="5387" max="5387" width="12.140625" style="599" customWidth="1"/>
    <col min="5388" max="5388" width="15.7109375" style="599" bestFit="1" customWidth="1"/>
    <col min="5389" max="5389" width="14.42578125" style="599" bestFit="1" customWidth="1"/>
    <col min="5390" max="5390" width="12.5703125" style="599" customWidth="1"/>
    <col min="5391" max="5392" width="16.7109375" style="599" bestFit="1" customWidth="1"/>
    <col min="5393" max="5393" width="15.7109375" style="599" bestFit="1" customWidth="1"/>
    <col min="5394" max="5632" width="11.42578125" style="599"/>
    <col min="5633" max="5633" width="1.7109375" style="599" customWidth="1"/>
    <col min="5634" max="5634" width="30.7109375" style="599" customWidth="1"/>
    <col min="5635" max="5635" width="14.28515625" style="599" customWidth="1"/>
    <col min="5636" max="5636" width="13.42578125" style="599" bestFit="1" customWidth="1"/>
    <col min="5637" max="5637" width="13.7109375" style="599" customWidth="1"/>
    <col min="5638" max="5638" width="14.28515625" style="599" customWidth="1"/>
    <col min="5639" max="5639" width="15.5703125" style="599" customWidth="1"/>
    <col min="5640" max="5640" width="15.5703125" style="599" bestFit="1" customWidth="1"/>
    <col min="5641" max="5641" width="13.42578125" style="599" bestFit="1" customWidth="1"/>
    <col min="5642" max="5642" width="12.5703125" style="599" bestFit="1" customWidth="1"/>
    <col min="5643" max="5643" width="12.140625" style="599" customWidth="1"/>
    <col min="5644" max="5644" width="15.7109375" style="599" bestFit="1" customWidth="1"/>
    <col min="5645" max="5645" width="14.42578125" style="599" bestFit="1" customWidth="1"/>
    <col min="5646" max="5646" width="12.5703125" style="599" customWidth="1"/>
    <col min="5647" max="5648" width="16.7109375" style="599" bestFit="1" customWidth="1"/>
    <col min="5649" max="5649" width="15.7109375" style="599" bestFit="1" customWidth="1"/>
    <col min="5650" max="5888" width="11.42578125" style="599"/>
    <col min="5889" max="5889" width="1.7109375" style="599" customWidth="1"/>
    <col min="5890" max="5890" width="30.7109375" style="599" customWidth="1"/>
    <col min="5891" max="5891" width="14.28515625" style="599" customWidth="1"/>
    <col min="5892" max="5892" width="13.42578125" style="599" bestFit="1" customWidth="1"/>
    <col min="5893" max="5893" width="13.7109375" style="599" customWidth="1"/>
    <col min="5894" max="5894" width="14.28515625" style="599" customWidth="1"/>
    <col min="5895" max="5895" width="15.5703125" style="599" customWidth="1"/>
    <col min="5896" max="5896" width="15.5703125" style="599" bestFit="1" customWidth="1"/>
    <col min="5897" max="5897" width="13.42578125" style="599" bestFit="1" customWidth="1"/>
    <col min="5898" max="5898" width="12.5703125" style="599" bestFit="1" customWidth="1"/>
    <col min="5899" max="5899" width="12.140625" style="599" customWidth="1"/>
    <col min="5900" max="5900" width="15.7109375" style="599" bestFit="1" customWidth="1"/>
    <col min="5901" max="5901" width="14.42578125" style="599" bestFit="1" customWidth="1"/>
    <col min="5902" max="5902" width="12.5703125" style="599" customWidth="1"/>
    <col min="5903" max="5904" width="16.7109375" style="599" bestFit="1" customWidth="1"/>
    <col min="5905" max="5905" width="15.7109375" style="599" bestFit="1" customWidth="1"/>
    <col min="5906" max="6144" width="11.42578125" style="599"/>
    <col min="6145" max="6145" width="1.7109375" style="599" customWidth="1"/>
    <col min="6146" max="6146" width="30.7109375" style="599" customWidth="1"/>
    <col min="6147" max="6147" width="14.28515625" style="599" customWidth="1"/>
    <col min="6148" max="6148" width="13.42578125" style="599" bestFit="1" customWidth="1"/>
    <col min="6149" max="6149" width="13.7109375" style="599" customWidth="1"/>
    <col min="6150" max="6150" width="14.28515625" style="599" customWidth="1"/>
    <col min="6151" max="6151" width="15.5703125" style="599" customWidth="1"/>
    <col min="6152" max="6152" width="15.5703125" style="599" bestFit="1" customWidth="1"/>
    <col min="6153" max="6153" width="13.42578125" style="599" bestFit="1" customWidth="1"/>
    <col min="6154" max="6154" width="12.5703125" style="599" bestFit="1" customWidth="1"/>
    <col min="6155" max="6155" width="12.140625" style="599" customWidth="1"/>
    <col min="6156" max="6156" width="15.7109375" style="599" bestFit="1" customWidth="1"/>
    <col min="6157" max="6157" width="14.42578125" style="599" bestFit="1" customWidth="1"/>
    <col min="6158" max="6158" width="12.5703125" style="599" customWidth="1"/>
    <col min="6159" max="6160" width="16.7109375" style="599" bestFit="1" customWidth="1"/>
    <col min="6161" max="6161" width="15.7109375" style="599" bestFit="1" customWidth="1"/>
    <col min="6162" max="6400" width="11.42578125" style="599"/>
    <col min="6401" max="6401" width="1.7109375" style="599" customWidth="1"/>
    <col min="6402" max="6402" width="30.7109375" style="599" customWidth="1"/>
    <col min="6403" max="6403" width="14.28515625" style="599" customWidth="1"/>
    <col min="6404" max="6404" width="13.42578125" style="599" bestFit="1" customWidth="1"/>
    <col min="6405" max="6405" width="13.7109375" style="599" customWidth="1"/>
    <col min="6406" max="6406" width="14.28515625" style="599" customWidth="1"/>
    <col min="6407" max="6407" width="15.5703125" style="599" customWidth="1"/>
    <col min="6408" max="6408" width="15.5703125" style="599" bestFit="1" customWidth="1"/>
    <col min="6409" max="6409" width="13.42578125" style="599" bestFit="1" customWidth="1"/>
    <col min="6410" max="6410" width="12.5703125" style="599" bestFit="1" customWidth="1"/>
    <col min="6411" max="6411" width="12.140625" style="599" customWidth="1"/>
    <col min="6412" max="6412" width="15.7109375" style="599" bestFit="1" customWidth="1"/>
    <col min="6413" max="6413" width="14.42578125" style="599" bestFit="1" customWidth="1"/>
    <col min="6414" max="6414" width="12.5703125" style="599" customWidth="1"/>
    <col min="6415" max="6416" width="16.7109375" style="599" bestFit="1" customWidth="1"/>
    <col min="6417" max="6417" width="15.7109375" style="599" bestFit="1" customWidth="1"/>
    <col min="6418" max="6656" width="11.42578125" style="599"/>
    <col min="6657" max="6657" width="1.7109375" style="599" customWidth="1"/>
    <col min="6658" max="6658" width="30.7109375" style="599" customWidth="1"/>
    <col min="6659" max="6659" width="14.28515625" style="599" customWidth="1"/>
    <col min="6660" max="6660" width="13.42578125" style="599" bestFit="1" customWidth="1"/>
    <col min="6661" max="6661" width="13.7109375" style="599" customWidth="1"/>
    <col min="6662" max="6662" width="14.28515625" style="599" customWidth="1"/>
    <col min="6663" max="6663" width="15.5703125" style="599" customWidth="1"/>
    <col min="6664" max="6664" width="15.5703125" style="599" bestFit="1" customWidth="1"/>
    <col min="6665" max="6665" width="13.42578125" style="599" bestFit="1" customWidth="1"/>
    <col min="6666" max="6666" width="12.5703125" style="599" bestFit="1" customWidth="1"/>
    <col min="6667" max="6667" width="12.140625" style="599" customWidth="1"/>
    <col min="6668" max="6668" width="15.7109375" style="599" bestFit="1" customWidth="1"/>
    <col min="6669" max="6669" width="14.42578125" style="599" bestFit="1" customWidth="1"/>
    <col min="6670" max="6670" width="12.5703125" style="599" customWidth="1"/>
    <col min="6671" max="6672" width="16.7109375" style="599" bestFit="1" customWidth="1"/>
    <col min="6673" max="6673" width="15.7109375" style="599" bestFit="1" customWidth="1"/>
    <col min="6674" max="6912" width="11.42578125" style="599"/>
    <col min="6913" max="6913" width="1.7109375" style="599" customWidth="1"/>
    <col min="6914" max="6914" width="30.7109375" style="599" customWidth="1"/>
    <col min="6915" max="6915" width="14.28515625" style="599" customWidth="1"/>
    <col min="6916" max="6916" width="13.42578125" style="599" bestFit="1" customWidth="1"/>
    <col min="6917" max="6917" width="13.7109375" style="599" customWidth="1"/>
    <col min="6918" max="6918" width="14.28515625" style="599" customWidth="1"/>
    <col min="6919" max="6919" width="15.5703125" style="599" customWidth="1"/>
    <col min="6920" max="6920" width="15.5703125" style="599" bestFit="1" customWidth="1"/>
    <col min="6921" max="6921" width="13.42578125" style="599" bestFit="1" customWidth="1"/>
    <col min="6922" max="6922" width="12.5703125" style="599" bestFit="1" customWidth="1"/>
    <col min="6923" max="6923" width="12.140625" style="599" customWidth="1"/>
    <col min="6924" max="6924" width="15.7109375" style="599" bestFit="1" customWidth="1"/>
    <col min="6925" max="6925" width="14.42578125" style="599" bestFit="1" customWidth="1"/>
    <col min="6926" max="6926" width="12.5703125" style="599" customWidth="1"/>
    <col min="6927" max="6928" width="16.7109375" style="599" bestFit="1" customWidth="1"/>
    <col min="6929" max="6929" width="15.7109375" style="599" bestFit="1" customWidth="1"/>
    <col min="6930" max="7168" width="11.42578125" style="599"/>
    <col min="7169" max="7169" width="1.7109375" style="599" customWidth="1"/>
    <col min="7170" max="7170" width="30.7109375" style="599" customWidth="1"/>
    <col min="7171" max="7171" width="14.28515625" style="599" customWidth="1"/>
    <col min="7172" max="7172" width="13.42578125" style="599" bestFit="1" customWidth="1"/>
    <col min="7173" max="7173" width="13.7109375" style="599" customWidth="1"/>
    <col min="7174" max="7174" width="14.28515625" style="599" customWidth="1"/>
    <col min="7175" max="7175" width="15.5703125" style="599" customWidth="1"/>
    <col min="7176" max="7176" width="15.5703125" style="599" bestFit="1" customWidth="1"/>
    <col min="7177" max="7177" width="13.42578125" style="599" bestFit="1" customWidth="1"/>
    <col min="7178" max="7178" width="12.5703125" style="599" bestFit="1" customWidth="1"/>
    <col min="7179" max="7179" width="12.140625" style="599" customWidth="1"/>
    <col min="7180" max="7180" width="15.7109375" style="599" bestFit="1" customWidth="1"/>
    <col min="7181" max="7181" width="14.42578125" style="599" bestFit="1" customWidth="1"/>
    <col min="7182" max="7182" width="12.5703125" style="599" customWidth="1"/>
    <col min="7183" max="7184" width="16.7109375" style="599" bestFit="1" customWidth="1"/>
    <col min="7185" max="7185" width="15.7109375" style="599" bestFit="1" customWidth="1"/>
    <col min="7186" max="7424" width="11.42578125" style="599"/>
    <col min="7425" max="7425" width="1.7109375" style="599" customWidth="1"/>
    <col min="7426" max="7426" width="30.7109375" style="599" customWidth="1"/>
    <col min="7427" max="7427" width="14.28515625" style="599" customWidth="1"/>
    <col min="7428" max="7428" width="13.42578125" style="599" bestFit="1" customWidth="1"/>
    <col min="7429" max="7429" width="13.7109375" style="599" customWidth="1"/>
    <col min="7430" max="7430" width="14.28515625" style="599" customWidth="1"/>
    <col min="7431" max="7431" width="15.5703125" style="599" customWidth="1"/>
    <col min="7432" max="7432" width="15.5703125" style="599" bestFit="1" customWidth="1"/>
    <col min="7433" max="7433" width="13.42578125" style="599" bestFit="1" customWidth="1"/>
    <col min="7434" max="7434" width="12.5703125" style="599" bestFit="1" customWidth="1"/>
    <col min="7435" max="7435" width="12.140625" style="599" customWidth="1"/>
    <col min="7436" max="7436" width="15.7109375" style="599" bestFit="1" customWidth="1"/>
    <col min="7437" max="7437" width="14.42578125" style="599" bestFit="1" customWidth="1"/>
    <col min="7438" max="7438" width="12.5703125" style="599" customWidth="1"/>
    <col min="7439" max="7440" width="16.7109375" style="599" bestFit="1" customWidth="1"/>
    <col min="7441" max="7441" width="15.7109375" style="599" bestFit="1" customWidth="1"/>
    <col min="7442" max="7680" width="11.42578125" style="599"/>
    <col min="7681" max="7681" width="1.7109375" style="599" customWidth="1"/>
    <col min="7682" max="7682" width="30.7109375" style="599" customWidth="1"/>
    <col min="7683" max="7683" width="14.28515625" style="599" customWidth="1"/>
    <col min="7684" max="7684" width="13.42578125" style="599" bestFit="1" customWidth="1"/>
    <col min="7685" max="7685" width="13.7109375" style="599" customWidth="1"/>
    <col min="7686" max="7686" width="14.28515625" style="599" customWidth="1"/>
    <col min="7687" max="7687" width="15.5703125" style="599" customWidth="1"/>
    <col min="7688" max="7688" width="15.5703125" style="599" bestFit="1" customWidth="1"/>
    <col min="7689" max="7689" width="13.42578125" style="599" bestFit="1" customWidth="1"/>
    <col min="7690" max="7690" width="12.5703125" style="599" bestFit="1" customWidth="1"/>
    <col min="7691" max="7691" width="12.140625" style="599" customWidth="1"/>
    <col min="7692" max="7692" width="15.7109375" style="599" bestFit="1" customWidth="1"/>
    <col min="7693" max="7693" width="14.42578125" style="599" bestFit="1" customWidth="1"/>
    <col min="7694" max="7694" width="12.5703125" style="599" customWidth="1"/>
    <col min="7695" max="7696" width="16.7109375" style="599" bestFit="1" customWidth="1"/>
    <col min="7697" max="7697" width="15.7109375" style="599" bestFit="1" customWidth="1"/>
    <col min="7698" max="7936" width="11.42578125" style="599"/>
    <col min="7937" max="7937" width="1.7109375" style="599" customWidth="1"/>
    <col min="7938" max="7938" width="30.7109375" style="599" customWidth="1"/>
    <col min="7939" max="7939" width="14.28515625" style="599" customWidth="1"/>
    <col min="7940" max="7940" width="13.42578125" style="599" bestFit="1" customWidth="1"/>
    <col min="7941" max="7941" width="13.7109375" style="599" customWidth="1"/>
    <col min="7942" max="7942" width="14.28515625" style="599" customWidth="1"/>
    <col min="7943" max="7943" width="15.5703125" style="599" customWidth="1"/>
    <col min="7944" max="7944" width="15.5703125" style="599" bestFit="1" customWidth="1"/>
    <col min="7945" max="7945" width="13.42578125" style="599" bestFit="1" customWidth="1"/>
    <col min="7946" max="7946" width="12.5703125" style="599" bestFit="1" customWidth="1"/>
    <col min="7947" max="7947" width="12.140625" style="599" customWidth="1"/>
    <col min="7948" max="7948" width="15.7109375" style="599" bestFit="1" customWidth="1"/>
    <col min="7949" max="7949" width="14.42578125" style="599" bestFit="1" customWidth="1"/>
    <col min="7950" max="7950" width="12.5703125" style="599" customWidth="1"/>
    <col min="7951" max="7952" width="16.7109375" style="599" bestFit="1" customWidth="1"/>
    <col min="7953" max="7953" width="15.7109375" style="599" bestFit="1" customWidth="1"/>
    <col min="7954" max="8192" width="11.42578125" style="599"/>
    <col min="8193" max="8193" width="1.7109375" style="599" customWidth="1"/>
    <col min="8194" max="8194" width="30.7109375" style="599" customWidth="1"/>
    <col min="8195" max="8195" width="14.28515625" style="599" customWidth="1"/>
    <col min="8196" max="8196" width="13.42578125" style="599" bestFit="1" customWidth="1"/>
    <col min="8197" max="8197" width="13.7109375" style="599" customWidth="1"/>
    <col min="8198" max="8198" width="14.28515625" style="599" customWidth="1"/>
    <col min="8199" max="8199" width="15.5703125" style="599" customWidth="1"/>
    <col min="8200" max="8200" width="15.5703125" style="599" bestFit="1" customWidth="1"/>
    <col min="8201" max="8201" width="13.42578125" style="599" bestFit="1" customWidth="1"/>
    <col min="8202" max="8202" width="12.5703125" style="599" bestFit="1" customWidth="1"/>
    <col min="8203" max="8203" width="12.140625" style="599" customWidth="1"/>
    <col min="8204" max="8204" width="15.7109375" style="599" bestFit="1" customWidth="1"/>
    <col min="8205" max="8205" width="14.42578125" style="599" bestFit="1" customWidth="1"/>
    <col min="8206" max="8206" width="12.5703125" style="599" customWidth="1"/>
    <col min="8207" max="8208" width="16.7109375" style="599" bestFit="1" customWidth="1"/>
    <col min="8209" max="8209" width="15.7109375" style="599" bestFit="1" customWidth="1"/>
    <col min="8210" max="8448" width="11.42578125" style="599"/>
    <col min="8449" max="8449" width="1.7109375" style="599" customWidth="1"/>
    <col min="8450" max="8450" width="30.7109375" style="599" customWidth="1"/>
    <col min="8451" max="8451" width="14.28515625" style="599" customWidth="1"/>
    <col min="8452" max="8452" width="13.42578125" style="599" bestFit="1" customWidth="1"/>
    <col min="8453" max="8453" width="13.7109375" style="599" customWidth="1"/>
    <col min="8454" max="8454" width="14.28515625" style="599" customWidth="1"/>
    <col min="8455" max="8455" width="15.5703125" style="599" customWidth="1"/>
    <col min="8456" max="8456" width="15.5703125" style="599" bestFit="1" customWidth="1"/>
    <col min="8457" max="8457" width="13.42578125" style="599" bestFit="1" customWidth="1"/>
    <col min="8458" max="8458" width="12.5703125" style="599" bestFit="1" customWidth="1"/>
    <col min="8459" max="8459" width="12.140625" style="599" customWidth="1"/>
    <col min="8460" max="8460" width="15.7109375" style="599" bestFit="1" customWidth="1"/>
    <col min="8461" max="8461" width="14.42578125" style="599" bestFit="1" customWidth="1"/>
    <col min="8462" max="8462" width="12.5703125" style="599" customWidth="1"/>
    <col min="8463" max="8464" width="16.7109375" style="599" bestFit="1" customWidth="1"/>
    <col min="8465" max="8465" width="15.7109375" style="599" bestFit="1" customWidth="1"/>
    <col min="8466" max="8704" width="11.42578125" style="599"/>
    <col min="8705" max="8705" width="1.7109375" style="599" customWidth="1"/>
    <col min="8706" max="8706" width="30.7109375" style="599" customWidth="1"/>
    <col min="8707" max="8707" width="14.28515625" style="599" customWidth="1"/>
    <col min="8708" max="8708" width="13.42578125" style="599" bestFit="1" customWidth="1"/>
    <col min="8709" max="8709" width="13.7109375" style="599" customWidth="1"/>
    <col min="8710" max="8710" width="14.28515625" style="599" customWidth="1"/>
    <col min="8711" max="8711" width="15.5703125" style="599" customWidth="1"/>
    <col min="8712" max="8712" width="15.5703125" style="599" bestFit="1" customWidth="1"/>
    <col min="8713" max="8713" width="13.42578125" style="599" bestFit="1" customWidth="1"/>
    <col min="8714" max="8714" width="12.5703125" style="599" bestFit="1" customWidth="1"/>
    <col min="8715" max="8715" width="12.140625" style="599" customWidth="1"/>
    <col min="8716" max="8716" width="15.7109375" style="599" bestFit="1" customWidth="1"/>
    <col min="8717" max="8717" width="14.42578125" style="599" bestFit="1" customWidth="1"/>
    <col min="8718" max="8718" width="12.5703125" style="599" customWidth="1"/>
    <col min="8719" max="8720" width="16.7109375" style="599" bestFit="1" customWidth="1"/>
    <col min="8721" max="8721" width="15.7109375" style="599" bestFit="1" customWidth="1"/>
    <col min="8722" max="8960" width="11.42578125" style="599"/>
    <col min="8961" max="8961" width="1.7109375" style="599" customWidth="1"/>
    <col min="8962" max="8962" width="30.7109375" style="599" customWidth="1"/>
    <col min="8963" max="8963" width="14.28515625" style="599" customWidth="1"/>
    <col min="8964" max="8964" width="13.42578125" style="599" bestFit="1" customWidth="1"/>
    <col min="8965" max="8965" width="13.7109375" style="599" customWidth="1"/>
    <col min="8966" max="8966" width="14.28515625" style="599" customWidth="1"/>
    <col min="8967" max="8967" width="15.5703125" style="599" customWidth="1"/>
    <col min="8968" max="8968" width="15.5703125" style="599" bestFit="1" customWidth="1"/>
    <col min="8969" max="8969" width="13.42578125" style="599" bestFit="1" customWidth="1"/>
    <col min="8970" max="8970" width="12.5703125" style="599" bestFit="1" customWidth="1"/>
    <col min="8971" max="8971" width="12.140625" style="599" customWidth="1"/>
    <col min="8972" max="8972" width="15.7109375" style="599" bestFit="1" customWidth="1"/>
    <col min="8973" max="8973" width="14.42578125" style="599" bestFit="1" customWidth="1"/>
    <col min="8974" max="8974" width="12.5703125" style="599" customWidth="1"/>
    <col min="8975" max="8976" width="16.7109375" style="599" bestFit="1" customWidth="1"/>
    <col min="8977" max="8977" width="15.7109375" style="599" bestFit="1" customWidth="1"/>
    <col min="8978" max="9216" width="11.42578125" style="599"/>
    <col min="9217" max="9217" width="1.7109375" style="599" customWidth="1"/>
    <col min="9218" max="9218" width="30.7109375" style="599" customWidth="1"/>
    <col min="9219" max="9219" width="14.28515625" style="599" customWidth="1"/>
    <col min="9220" max="9220" width="13.42578125" style="599" bestFit="1" customWidth="1"/>
    <col min="9221" max="9221" width="13.7109375" style="599" customWidth="1"/>
    <col min="9222" max="9222" width="14.28515625" style="599" customWidth="1"/>
    <col min="9223" max="9223" width="15.5703125" style="599" customWidth="1"/>
    <col min="9224" max="9224" width="15.5703125" style="599" bestFit="1" customWidth="1"/>
    <col min="9225" max="9225" width="13.42578125" style="599" bestFit="1" customWidth="1"/>
    <col min="9226" max="9226" width="12.5703125" style="599" bestFit="1" customWidth="1"/>
    <col min="9227" max="9227" width="12.140625" style="599" customWidth="1"/>
    <col min="9228" max="9228" width="15.7109375" style="599" bestFit="1" customWidth="1"/>
    <col min="9229" max="9229" width="14.42578125" style="599" bestFit="1" customWidth="1"/>
    <col min="9230" max="9230" width="12.5703125" style="599" customWidth="1"/>
    <col min="9231" max="9232" width="16.7109375" style="599" bestFit="1" customWidth="1"/>
    <col min="9233" max="9233" width="15.7109375" style="599" bestFit="1" customWidth="1"/>
    <col min="9234" max="9472" width="11.42578125" style="599"/>
    <col min="9473" max="9473" width="1.7109375" style="599" customWidth="1"/>
    <col min="9474" max="9474" width="30.7109375" style="599" customWidth="1"/>
    <col min="9475" max="9475" width="14.28515625" style="599" customWidth="1"/>
    <col min="9476" max="9476" width="13.42578125" style="599" bestFit="1" customWidth="1"/>
    <col min="9477" max="9477" width="13.7109375" style="599" customWidth="1"/>
    <col min="9478" max="9478" width="14.28515625" style="599" customWidth="1"/>
    <col min="9479" max="9479" width="15.5703125" style="599" customWidth="1"/>
    <col min="9480" max="9480" width="15.5703125" style="599" bestFit="1" customWidth="1"/>
    <col min="9481" max="9481" width="13.42578125" style="599" bestFit="1" customWidth="1"/>
    <col min="9482" max="9482" width="12.5703125" style="599" bestFit="1" customWidth="1"/>
    <col min="9483" max="9483" width="12.140625" style="599" customWidth="1"/>
    <col min="9484" max="9484" width="15.7109375" style="599" bestFit="1" customWidth="1"/>
    <col min="9485" max="9485" width="14.42578125" style="599" bestFit="1" customWidth="1"/>
    <col min="9486" max="9486" width="12.5703125" style="599" customWidth="1"/>
    <col min="9487" max="9488" width="16.7109375" style="599" bestFit="1" customWidth="1"/>
    <col min="9489" max="9489" width="15.7109375" style="599" bestFit="1" customWidth="1"/>
    <col min="9490" max="9728" width="11.42578125" style="599"/>
    <col min="9729" max="9729" width="1.7109375" style="599" customWidth="1"/>
    <col min="9730" max="9730" width="30.7109375" style="599" customWidth="1"/>
    <col min="9731" max="9731" width="14.28515625" style="599" customWidth="1"/>
    <col min="9732" max="9732" width="13.42578125" style="599" bestFit="1" customWidth="1"/>
    <col min="9733" max="9733" width="13.7109375" style="599" customWidth="1"/>
    <col min="9734" max="9734" width="14.28515625" style="599" customWidth="1"/>
    <col min="9735" max="9735" width="15.5703125" style="599" customWidth="1"/>
    <col min="9736" max="9736" width="15.5703125" style="599" bestFit="1" customWidth="1"/>
    <col min="9737" max="9737" width="13.42578125" style="599" bestFit="1" customWidth="1"/>
    <col min="9738" max="9738" width="12.5703125" style="599" bestFit="1" customWidth="1"/>
    <col min="9739" max="9739" width="12.140625" style="599" customWidth="1"/>
    <col min="9740" max="9740" width="15.7109375" style="599" bestFit="1" customWidth="1"/>
    <col min="9741" max="9741" width="14.42578125" style="599" bestFit="1" customWidth="1"/>
    <col min="9742" max="9742" width="12.5703125" style="599" customWidth="1"/>
    <col min="9743" max="9744" width="16.7109375" style="599" bestFit="1" customWidth="1"/>
    <col min="9745" max="9745" width="15.7109375" style="599" bestFit="1" customWidth="1"/>
    <col min="9746" max="9984" width="11.42578125" style="599"/>
    <col min="9985" max="9985" width="1.7109375" style="599" customWidth="1"/>
    <col min="9986" max="9986" width="30.7109375" style="599" customWidth="1"/>
    <col min="9987" max="9987" width="14.28515625" style="599" customWidth="1"/>
    <col min="9988" max="9988" width="13.42578125" style="599" bestFit="1" customWidth="1"/>
    <col min="9989" max="9989" width="13.7109375" style="599" customWidth="1"/>
    <col min="9990" max="9990" width="14.28515625" style="599" customWidth="1"/>
    <col min="9991" max="9991" width="15.5703125" style="599" customWidth="1"/>
    <col min="9992" max="9992" width="15.5703125" style="599" bestFit="1" customWidth="1"/>
    <col min="9993" max="9993" width="13.42578125" style="599" bestFit="1" customWidth="1"/>
    <col min="9994" max="9994" width="12.5703125" style="599" bestFit="1" customWidth="1"/>
    <col min="9995" max="9995" width="12.140625" style="599" customWidth="1"/>
    <col min="9996" max="9996" width="15.7109375" style="599" bestFit="1" customWidth="1"/>
    <col min="9997" max="9997" width="14.42578125" style="599" bestFit="1" customWidth="1"/>
    <col min="9998" max="9998" width="12.5703125" style="599" customWidth="1"/>
    <col min="9999" max="10000" width="16.7109375" style="599" bestFit="1" customWidth="1"/>
    <col min="10001" max="10001" width="15.7109375" style="599" bestFit="1" customWidth="1"/>
    <col min="10002" max="10240" width="11.42578125" style="599"/>
    <col min="10241" max="10241" width="1.7109375" style="599" customWidth="1"/>
    <col min="10242" max="10242" width="30.7109375" style="599" customWidth="1"/>
    <col min="10243" max="10243" width="14.28515625" style="599" customWidth="1"/>
    <col min="10244" max="10244" width="13.42578125" style="599" bestFit="1" customWidth="1"/>
    <col min="10245" max="10245" width="13.7109375" style="599" customWidth="1"/>
    <col min="10246" max="10246" width="14.28515625" style="599" customWidth="1"/>
    <col min="10247" max="10247" width="15.5703125" style="599" customWidth="1"/>
    <col min="10248" max="10248" width="15.5703125" style="599" bestFit="1" customWidth="1"/>
    <col min="10249" max="10249" width="13.42578125" style="599" bestFit="1" customWidth="1"/>
    <col min="10250" max="10250" width="12.5703125" style="599" bestFit="1" customWidth="1"/>
    <col min="10251" max="10251" width="12.140625" style="599" customWidth="1"/>
    <col min="10252" max="10252" width="15.7109375" style="599" bestFit="1" customWidth="1"/>
    <col min="10253" max="10253" width="14.42578125" style="599" bestFit="1" customWidth="1"/>
    <col min="10254" max="10254" width="12.5703125" style="599" customWidth="1"/>
    <col min="10255" max="10256" width="16.7109375" style="599" bestFit="1" customWidth="1"/>
    <col min="10257" max="10257" width="15.7109375" style="599" bestFit="1" customWidth="1"/>
    <col min="10258" max="10496" width="11.42578125" style="599"/>
    <col min="10497" max="10497" width="1.7109375" style="599" customWidth="1"/>
    <col min="10498" max="10498" width="30.7109375" style="599" customWidth="1"/>
    <col min="10499" max="10499" width="14.28515625" style="599" customWidth="1"/>
    <col min="10500" max="10500" width="13.42578125" style="599" bestFit="1" customWidth="1"/>
    <col min="10501" max="10501" width="13.7109375" style="599" customWidth="1"/>
    <col min="10502" max="10502" width="14.28515625" style="599" customWidth="1"/>
    <col min="10503" max="10503" width="15.5703125" style="599" customWidth="1"/>
    <col min="10504" max="10504" width="15.5703125" style="599" bestFit="1" customWidth="1"/>
    <col min="10505" max="10505" width="13.42578125" style="599" bestFit="1" customWidth="1"/>
    <col min="10506" max="10506" width="12.5703125" style="599" bestFit="1" customWidth="1"/>
    <col min="10507" max="10507" width="12.140625" style="599" customWidth="1"/>
    <col min="10508" max="10508" width="15.7109375" style="599" bestFit="1" customWidth="1"/>
    <col min="10509" max="10509" width="14.42578125" style="599" bestFit="1" customWidth="1"/>
    <col min="10510" max="10510" width="12.5703125" style="599" customWidth="1"/>
    <col min="10511" max="10512" width="16.7109375" style="599" bestFit="1" customWidth="1"/>
    <col min="10513" max="10513" width="15.7109375" style="599" bestFit="1" customWidth="1"/>
    <col min="10514" max="10752" width="11.42578125" style="599"/>
    <col min="10753" max="10753" width="1.7109375" style="599" customWidth="1"/>
    <col min="10754" max="10754" width="30.7109375" style="599" customWidth="1"/>
    <col min="10755" max="10755" width="14.28515625" style="599" customWidth="1"/>
    <col min="10756" max="10756" width="13.42578125" style="599" bestFit="1" customWidth="1"/>
    <col min="10757" max="10757" width="13.7109375" style="599" customWidth="1"/>
    <col min="10758" max="10758" width="14.28515625" style="599" customWidth="1"/>
    <col min="10759" max="10759" width="15.5703125" style="599" customWidth="1"/>
    <col min="10760" max="10760" width="15.5703125" style="599" bestFit="1" customWidth="1"/>
    <col min="10761" max="10761" width="13.42578125" style="599" bestFit="1" customWidth="1"/>
    <col min="10762" max="10762" width="12.5703125" style="599" bestFit="1" customWidth="1"/>
    <col min="10763" max="10763" width="12.140625" style="599" customWidth="1"/>
    <col min="10764" max="10764" width="15.7109375" style="599" bestFit="1" customWidth="1"/>
    <col min="10765" max="10765" width="14.42578125" style="599" bestFit="1" customWidth="1"/>
    <col min="10766" max="10766" width="12.5703125" style="599" customWidth="1"/>
    <col min="10767" max="10768" width="16.7109375" style="599" bestFit="1" customWidth="1"/>
    <col min="10769" max="10769" width="15.7109375" style="599" bestFit="1" customWidth="1"/>
    <col min="10770" max="11008" width="11.42578125" style="599"/>
    <col min="11009" max="11009" width="1.7109375" style="599" customWidth="1"/>
    <col min="11010" max="11010" width="30.7109375" style="599" customWidth="1"/>
    <col min="11011" max="11011" width="14.28515625" style="599" customWidth="1"/>
    <col min="11012" max="11012" width="13.42578125" style="599" bestFit="1" customWidth="1"/>
    <col min="11013" max="11013" width="13.7109375" style="599" customWidth="1"/>
    <col min="11014" max="11014" width="14.28515625" style="599" customWidth="1"/>
    <col min="11015" max="11015" width="15.5703125" style="599" customWidth="1"/>
    <col min="11016" max="11016" width="15.5703125" style="599" bestFit="1" customWidth="1"/>
    <col min="11017" max="11017" width="13.42578125" style="599" bestFit="1" customWidth="1"/>
    <col min="11018" max="11018" width="12.5703125" style="599" bestFit="1" customWidth="1"/>
    <col min="11019" max="11019" width="12.140625" style="599" customWidth="1"/>
    <col min="11020" max="11020" width="15.7109375" style="599" bestFit="1" customWidth="1"/>
    <col min="11021" max="11021" width="14.42578125" style="599" bestFit="1" customWidth="1"/>
    <col min="11022" max="11022" width="12.5703125" style="599" customWidth="1"/>
    <col min="11023" max="11024" width="16.7109375" style="599" bestFit="1" customWidth="1"/>
    <col min="11025" max="11025" width="15.7109375" style="599" bestFit="1" customWidth="1"/>
    <col min="11026" max="11264" width="11.42578125" style="599"/>
    <col min="11265" max="11265" width="1.7109375" style="599" customWidth="1"/>
    <col min="11266" max="11266" width="30.7109375" style="599" customWidth="1"/>
    <col min="11267" max="11267" width="14.28515625" style="599" customWidth="1"/>
    <col min="11268" max="11268" width="13.42578125" style="599" bestFit="1" customWidth="1"/>
    <col min="11269" max="11269" width="13.7109375" style="599" customWidth="1"/>
    <col min="11270" max="11270" width="14.28515625" style="599" customWidth="1"/>
    <col min="11271" max="11271" width="15.5703125" style="599" customWidth="1"/>
    <col min="11272" max="11272" width="15.5703125" style="599" bestFit="1" customWidth="1"/>
    <col min="11273" max="11273" width="13.42578125" style="599" bestFit="1" customWidth="1"/>
    <col min="11274" max="11274" width="12.5703125" style="599" bestFit="1" customWidth="1"/>
    <col min="11275" max="11275" width="12.140625" style="599" customWidth="1"/>
    <col min="11276" max="11276" width="15.7109375" style="599" bestFit="1" customWidth="1"/>
    <col min="11277" max="11277" width="14.42578125" style="599" bestFit="1" customWidth="1"/>
    <col min="11278" max="11278" width="12.5703125" style="599" customWidth="1"/>
    <col min="11279" max="11280" width="16.7109375" style="599" bestFit="1" customWidth="1"/>
    <col min="11281" max="11281" width="15.7109375" style="599" bestFit="1" customWidth="1"/>
    <col min="11282" max="11520" width="11.42578125" style="599"/>
    <col min="11521" max="11521" width="1.7109375" style="599" customWidth="1"/>
    <col min="11522" max="11522" width="30.7109375" style="599" customWidth="1"/>
    <col min="11523" max="11523" width="14.28515625" style="599" customWidth="1"/>
    <col min="11524" max="11524" width="13.42578125" style="599" bestFit="1" customWidth="1"/>
    <col min="11525" max="11525" width="13.7109375" style="599" customWidth="1"/>
    <col min="11526" max="11526" width="14.28515625" style="599" customWidth="1"/>
    <col min="11527" max="11527" width="15.5703125" style="599" customWidth="1"/>
    <col min="11528" max="11528" width="15.5703125" style="599" bestFit="1" customWidth="1"/>
    <col min="11529" max="11529" width="13.42578125" style="599" bestFit="1" customWidth="1"/>
    <col min="11530" max="11530" width="12.5703125" style="599" bestFit="1" customWidth="1"/>
    <col min="11531" max="11531" width="12.140625" style="599" customWidth="1"/>
    <col min="11532" max="11532" width="15.7109375" style="599" bestFit="1" customWidth="1"/>
    <col min="11533" max="11533" width="14.42578125" style="599" bestFit="1" customWidth="1"/>
    <col min="11534" max="11534" width="12.5703125" style="599" customWidth="1"/>
    <col min="11535" max="11536" width="16.7109375" style="599" bestFit="1" customWidth="1"/>
    <col min="11537" max="11537" width="15.7109375" style="599" bestFit="1" customWidth="1"/>
    <col min="11538" max="11776" width="11.42578125" style="599"/>
    <col min="11777" max="11777" width="1.7109375" style="599" customWidth="1"/>
    <col min="11778" max="11778" width="30.7109375" style="599" customWidth="1"/>
    <col min="11779" max="11779" width="14.28515625" style="599" customWidth="1"/>
    <col min="11780" max="11780" width="13.42578125" style="599" bestFit="1" customWidth="1"/>
    <col min="11781" max="11781" width="13.7109375" style="599" customWidth="1"/>
    <col min="11782" max="11782" width="14.28515625" style="599" customWidth="1"/>
    <col min="11783" max="11783" width="15.5703125" style="599" customWidth="1"/>
    <col min="11784" max="11784" width="15.5703125" style="599" bestFit="1" customWidth="1"/>
    <col min="11785" max="11785" width="13.42578125" style="599" bestFit="1" customWidth="1"/>
    <col min="11786" max="11786" width="12.5703125" style="599" bestFit="1" customWidth="1"/>
    <col min="11787" max="11787" width="12.140625" style="599" customWidth="1"/>
    <col min="11788" max="11788" width="15.7109375" style="599" bestFit="1" customWidth="1"/>
    <col min="11789" max="11789" width="14.42578125" style="599" bestFit="1" customWidth="1"/>
    <col min="11790" max="11790" width="12.5703125" style="599" customWidth="1"/>
    <col min="11791" max="11792" width="16.7109375" style="599" bestFit="1" customWidth="1"/>
    <col min="11793" max="11793" width="15.7109375" style="599" bestFit="1" customWidth="1"/>
    <col min="11794" max="12032" width="11.42578125" style="599"/>
    <col min="12033" max="12033" width="1.7109375" style="599" customWidth="1"/>
    <col min="12034" max="12034" width="30.7109375" style="599" customWidth="1"/>
    <col min="12035" max="12035" width="14.28515625" style="599" customWidth="1"/>
    <col min="12036" max="12036" width="13.42578125" style="599" bestFit="1" customWidth="1"/>
    <col min="12037" max="12037" width="13.7109375" style="599" customWidth="1"/>
    <col min="12038" max="12038" width="14.28515625" style="599" customWidth="1"/>
    <col min="12039" max="12039" width="15.5703125" style="599" customWidth="1"/>
    <col min="12040" max="12040" width="15.5703125" style="599" bestFit="1" customWidth="1"/>
    <col min="12041" max="12041" width="13.42578125" style="599" bestFit="1" customWidth="1"/>
    <col min="12042" max="12042" width="12.5703125" style="599" bestFit="1" customWidth="1"/>
    <col min="12043" max="12043" width="12.140625" style="599" customWidth="1"/>
    <col min="12044" max="12044" width="15.7109375" style="599" bestFit="1" customWidth="1"/>
    <col min="12045" max="12045" width="14.42578125" style="599" bestFit="1" customWidth="1"/>
    <col min="12046" max="12046" width="12.5703125" style="599" customWidth="1"/>
    <col min="12047" max="12048" width="16.7109375" style="599" bestFit="1" customWidth="1"/>
    <col min="12049" max="12049" width="15.7109375" style="599" bestFit="1" customWidth="1"/>
    <col min="12050" max="12288" width="11.42578125" style="599"/>
    <col min="12289" max="12289" width="1.7109375" style="599" customWidth="1"/>
    <col min="12290" max="12290" width="30.7109375" style="599" customWidth="1"/>
    <col min="12291" max="12291" width="14.28515625" style="599" customWidth="1"/>
    <col min="12292" max="12292" width="13.42578125" style="599" bestFit="1" customWidth="1"/>
    <col min="12293" max="12293" width="13.7109375" style="599" customWidth="1"/>
    <col min="12294" max="12294" width="14.28515625" style="599" customWidth="1"/>
    <col min="12295" max="12295" width="15.5703125" style="599" customWidth="1"/>
    <col min="12296" max="12296" width="15.5703125" style="599" bestFit="1" customWidth="1"/>
    <col min="12297" max="12297" width="13.42578125" style="599" bestFit="1" customWidth="1"/>
    <col min="12298" max="12298" width="12.5703125" style="599" bestFit="1" customWidth="1"/>
    <col min="12299" max="12299" width="12.140625" style="599" customWidth="1"/>
    <col min="12300" max="12300" width="15.7109375" style="599" bestFit="1" customWidth="1"/>
    <col min="12301" max="12301" width="14.42578125" style="599" bestFit="1" customWidth="1"/>
    <col min="12302" max="12302" width="12.5703125" style="599" customWidth="1"/>
    <col min="12303" max="12304" width="16.7109375" style="599" bestFit="1" customWidth="1"/>
    <col min="12305" max="12305" width="15.7109375" style="599" bestFit="1" customWidth="1"/>
    <col min="12306" max="12544" width="11.42578125" style="599"/>
    <col min="12545" max="12545" width="1.7109375" style="599" customWidth="1"/>
    <col min="12546" max="12546" width="30.7109375" style="599" customWidth="1"/>
    <col min="12547" max="12547" width="14.28515625" style="599" customWidth="1"/>
    <col min="12548" max="12548" width="13.42578125" style="599" bestFit="1" customWidth="1"/>
    <col min="12549" max="12549" width="13.7109375" style="599" customWidth="1"/>
    <col min="12550" max="12550" width="14.28515625" style="599" customWidth="1"/>
    <col min="12551" max="12551" width="15.5703125" style="599" customWidth="1"/>
    <col min="12552" max="12552" width="15.5703125" style="599" bestFit="1" customWidth="1"/>
    <col min="12553" max="12553" width="13.42578125" style="599" bestFit="1" customWidth="1"/>
    <col min="12554" max="12554" width="12.5703125" style="599" bestFit="1" customWidth="1"/>
    <col min="12555" max="12555" width="12.140625" style="599" customWidth="1"/>
    <col min="12556" max="12556" width="15.7109375" style="599" bestFit="1" customWidth="1"/>
    <col min="12557" max="12557" width="14.42578125" style="599" bestFit="1" customWidth="1"/>
    <col min="12558" max="12558" width="12.5703125" style="599" customWidth="1"/>
    <col min="12559" max="12560" width="16.7109375" style="599" bestFit="1" customWidth="1"/>
    <col min="12561" max="12561" width="15.7109375" style="599" bestFit="1" customWidth="1"/>
    <col min="12562" max="12800" width="11.42578125" style="599"/>
    <col min="12801" max="12801" width="1.7109375" style="599" customWidth="1"/>
    <col min="12802" max="12802" width="30.7109375" style="599" customWidth="1"/>
    <col min="12803" max="12803" width="14.28515625" style="599" customWidth="1"/>
    <col min="12804" max="12804" width="13.42578125" style="599" bestFit="1" customWidth="1"/>
    <col min="12805" max="12805" width="13.7109375" style="599" customWidth="1"/>
    <col min="12806" max="12806" width="14.28515625" style="599" customWidth="1"/>
    <col min="12807" max="12807" width="15.5703125" style="599" customWidth="1"/>
    <col min="12808" max="12808" width="15.5703125" style="599" bestFit="1" customWidth="1"/>
    <col min="12809" max="12809" width="13.42578125" style="599" bestFit="1" customWidth="1"/>
    <col min="12810" max="12810" width="12.5703125" style="599" bestFit="1" customWidth="1"/>
    <col min="12811" max="12811" width="12.140625" style="599" customWidth="1"/>
    <col min="12812" max="12812" width="15.7109375" style="599" bestFit="1" customWidth="1"/>
    <col min="12813" max="12813" width="14.42578125" style="599" bestFit="1" customWidth="1"/>
    <col min="12814" max="12814" width="12.5703125" style="599" customWidth="1"/>
    <col min="12815" max="12816" width="16.7109375" style="599" bestFit="1" customWidth="1"/>
    <col min="12817" max="12817" width="15.7109375" style="599" bestFit="1" customWidth="1"/>
    <col min="12818" max="13056" width="11.42578125" style="599"/>
    <col min="13057" max="13057" width="1.7109375" style="599" customWidth="1"/>
    <col min="13058" max="13058" width="30.7109375" style="599" customWidth="1"/>
    <col min="13059" max="13059" width="14.28515625" style="599" customWidth="1"/>
    <col min="13060" max="13060" width="13.42578125" style="599" bestFit="1" customWidth="1"/>
    <col min="13061" max="13061" width="13.7109375" style="599" customWidth="1"/>
    <col min="13062" max="13062" width="14.28515625" style="599" customWidth="1"/>
    <col min="13063" max="13063" width="15.5703125" style="599" customWidth="1"/>
    <col min="13064" max="13064" width="15.5703125" style="599" bestFit="1" customWidth="1"/>
    <col min="13065" max="13065" width="13.42578125" style="599" bestFit="1" customWidth="1"/>
    <col min="13066" max="13066" width="12.5703125" style="599" bestFit="1" customWidth="1"/>
    <col min="13067" max="13067" width="12.140625" style="599" customWidth="1"/>
    <col min="13068" max="13068" width="15.7109375" style="599" bestFit="1" customWidth="1"/>
    <col min="13069" max="13069" width="14.42578125" style="599" bestFit="1" customWidth="1"/>
    <col min="13070" max="13070" width="12.5703125" style="599" customWidth="1"/>
    <col min="13071" max="13072" width="16.7109375" style="599" bestFit="1" customWidth="1"/>
    <col min="13073" max="13073" width="15.7109375" style="599" bestFit="1" customWidth="1"/>
    <col min="13074" max="13312" width="11.42578125" style="599"/>
    <col min="13313" max="13313" width="1.7109375" style="599" customWidth="1"/>
    <col min="13314" max="13314" width="30.7109375" style="599" customWidth="1"/>
    <col min="13315" max="13315" width="14.28515625" style="599" customWidth="1"/>
    <col min="13316" max="13316" width="13.42578125" style="599" bestFit="1" customWidth="1"/>
    <col min="13317" max="13317" width="13.7109375" style="599" customWidth="1"/>
    <col min="13318" max="13318" width="14.28515625" style="599" customWidth="1"/>
    <col min="13319" max="13319" width="15.5703125" style="599" customWidth="1"/>
    <col min="13320" max="13320" width="15.5703125" style="599" bestFit="1" customWidth="1"/>
    <col min="13321" max="13321" width="13.42578125" style="599" bestFit="1" customWidth="1"/>
    <col min="13322" max="13322" width="12.5703125" style="599" bestFit="1" customWidth="1"/>
    <col min="13323" max="13323" width="12.140625" style="599" customWidth="1"/>
    <col min="13324" max="13324" width="15.7109375" style="599" bestFit="1" customWidth="1"/>
    <col min="13325" max="13325" width="14.42578125" style="599" bestFit="1" customWidth="1"/>
    <col min="13326" max="13326" width="12.5703125" style="599" customWidth="1"/>
    <col min="13327" max="13328" width="16.7109375" style="599" bestFit="1" customWidth="1"/>
    <col min="13329" max="13329" width="15.7109375" style="599" bestFit="1" customWidth="1"/>
    <col min="13330" max="13568" width="11.42578125" style="599"/>
    <col min="13569" max="13569" width="1.7109375" style="599" customWidth="1"/>
    <col min="13570" max="13570" width="30.7109375" style="599" customWidth="1"/>
    <col min="13571" max="13571" width="14.28515625" style="599" customWidth="1"/>
    <col min="13572" max="13572" width="13.42578125" style="599" bestFit="1" customWidth="1"/>
    <col min="13573" max="13573" width="13.7109375" style="599" customWidth="1"/>
    <col min="13574" max="13574" width="14.28515625" style="599" customWidth="1"/>
    <col min="13575" max="13575" width="15.5703125" style="599" customWidth="1"/>
    <col min="13576" max="13576" width="15.5703125" style="599" bestFit="1" customWidth="1"/>
    <col min="13577" max="13577" width="13.42578125" style="599" bestFit="1" customWidth="1"/>
    <col min="13578" max="13578" width="12.5703125" style="599" bestFit="1" customWidth="1"/>
    <col min="13579" max="13579" width="12.140625" style="599" customWidth="1"/>
    <col min="13580" max="13580" width="15.7109375" style="599" bestFit="1" customWidth="1"/>
    <col min="13581" max="13581" width="14.42578125" style="599" bestFit="1" customWidth="1"/>
    <col min="13582" max="13582" width="12.5703125" style="599" customWidth="1"/>
    <col min="13583" max="13584" width="16.7109375" style="599" bestFit="1" customWidth="1"/>
    <col min="13585" max="13585" width="15.7109375" style="599" bestFit="1" customWidth="1"/>
    <col min="13586" max="13824" width="11.42578125" style="599"/>
    <col min="13825" max="13825" width="1.7109375" style="599" customWidth="1"/>
    <col min="13826" max="13826" width="30.7109375" style="599" customWidth="1"/>
    <col min="13827" max="13827" width="14.28515625" style="599" customWidth="1"/>
    <col min="13828" max="13828" width="13.42578125" style="599" bestFit="1" customWidth="1"/>
    <col min="13829" max="13829" width="13.7109375" style="599" customWidth="1"/>
    <col min="13830" max="13830" width="14.28515625" style="599" customWidth="1"/>
    <col min="13831" max="13831" width="15.5703125" style="599" customWidth="1"/>
    <col min="13832" max="13832" width="15.5703125" style="599" bestFit="1" customWidth="1"/>
    <col min="13833" max="13833" width="13.42578125" style="599" bestFit="1" customWidth="1"/>
    <col min="13834" max="13834" width="12.5703125" style="599" bestFit="1" customWidth="1"/>
    <col min="13835" max="13835" width="12.140625" style="599" customWidth="1"/>
    <col min="13836" max="13836" width="15.7109375" style="599" bestFit="1" customWidth="1"/>
    <col min="13837" max="13837" width="14.42578125" style="599" bestFit="1" customWidth="1"/>
    <col min="13838" max="13838" width="12.5703125" style="599" customWidth="1"/>
    <col min="13839" max="13840" width="16.7109375" style="599" bestFit="1" customWidth="1"/>
    <col min="13841" max="13841" width="15.7109375" style="599" bestFit="1" customWidth="1"/>
    <col min="13842" max="14080" width="11.42578125" style="599"/>
    <col min="14081" max="14081" width="1.7109375" style="599" customWidth="1"/>
    <col min="14082" max="14082" width="30.7109375" style="599" customWidth="1"/>
    <col min="14083" max="14083" width="14.28515625" style="599" customWidth="1"/>
    <col min="14084" max="14084" width="13.42578125" style="599" bestFit="1" customWidth="1"/>
    <col min="14085" max="14085" width="13.7109375" style="599" customWidth="1"/>
    <col min="14086" max="14086" width="14.28515625" style="599" customWidth="1"/>
    <col min="14087" max="14087" width="15.5703125" style="599" customWidth="1"/>
    <col min="14088" max="14088" width="15.5703125" style="599" bestFit="1" customWidth="1"/>
    <col min="14089" max="14089" width="13.42578125" style="599" bestFit="1" customWidth="1"/>
    <col min="14090" max="14090" width="12.5703125" style="599" bestFit="1" customWidth="1"/>
    <col min="14091" max="14091" width="12.140625" style="599" customWidth="1"/>
    <col min="14092" max="14092" width="15.7109375" style="599" bestFit="1" customWidth="1"/>
    <col min="14093" max="14093" width="14.42578125" style="599" bestFit="1" customWidth="1"/>
    <col min="14094" max="14094" width="12.5703125" style="599" customWidth="1"/>
    <col min="14095" max="14096" width="16.7109375" style="599" bestFit="1" customWidth="1"/>
    <col min="14097" max="14097" width="15.7109375" style="599" bestFit="1" customWidth="1"/>
    <col min="14098" max="14336" width="11.42578125" style="599"/>
    <col min="14337" max="14337" width="1.7109375" style="599" customWidth="1"/>
    <col min="14338" max="14338" width="30.7109375" style="599" customWidth="1"/>
    <col min="14339" max="14339" width="14.28515625" style="599" customWidth="1"/>
    <col min="14340" max="14340" width="13.42578125" style="599" bestFit="1" customWidth="1"/>
    <col min="14341" max="14341" width="13.7109375" style="599" customWidth="1"/>
    <col min="14342" max="14342" width="14.28515625" style="599" customWidth="1"/>
    <col min="14343" max="14343" width="15.5703125" style="599" customWidth="1"/>
    <col min="14344" max="14344" width="15.5703125" style="599" bestFit="1" customWidth="1"/>
    <col min="14345" max="14345" width="13.42578125" style="599" bestFit="1" customWidth="1"/>
    <col min="14346" max="14346" width="12.5703125" style="599" bestFit="1" customWidth="1"/>
    <col min="14347" max="14347" width="12.140625" style="599" customWidth="1"/>
    <col min="14348" max="14348" width="15.7109375" style="599" bestFit="1" customWidth="1"/>
    <col min="14349" max="14349" width="14.42578125" style="599" bestFit="1" customWidth="1"/>
    <col min="14350" max="14350" width="12.5703125" style="599" customWidth="1"/>
    <col min="14351" max="14352" width="16.7109375" style="599" bestFit="1" customWidth="1"/>
    <col min="14353" max="14353" width="15.7109375" style="599" bestFit="1" customWidth="1"/>
    <col min="14354" max="14592" width="11.42578125" style="599"/>
    <col min="14593" max="14593" width="1.7109375" style="599" customWidth="1"/>
    <col min="14594" max="14594" width="30.7109375" style="599" customWidth="1"/>
    <col min="14595" max="14595" width="14.28515625" style="599" customWidth="1"/>
    <col min="14596" max="14596" width="13.42578125" style="599" bestFit="1" customWidth="1"/>
    <col min="14597" max="14597" width="13.7109375" style="599" customWidth="1"/>
    <col min="14598" max="14598" width="14.28515625" style="599" customWidth="1"/>
    <col min="14599" max="14599" width="15.5703125" style="599" customWidth="1"/>
    <col min="14600" max="14600" width="15.5703125" style="599" bestFit="1" customWidth="1"/>
    <col min="14601" max="14601" width="13.42578125" style="599" bestFit="1" customWidth="1"/>
    <col min="14602" max="14602" width="12.5703125" style="599" bestFit="1" customWidth="1"/>
    <col min="14603" max="14603" width="12.140625" style="599" customWidth="1"/>
    <col min="14604" max="14604" width="15.7109375" style="599" bestFit="1" customWidth="1"/>
    <col min="14605" max="14605" width="14.42578125" style="599" bestFit="1" customWidth="1"/>
    <col min="14606" max="14606" width="12.5703125" style="599" customWidth="1"/>
    <col min="14607" max="14608" width="16.7109375" style="599" bestFit="1" customWidth="1"/>
    <col min="14609" max="14609" width="15.7109375" style="599" bestFit="1" customWidth="1"/>
    <col min="14610" max="14848" width="11.42578125" style="599"/>
    <col min="14849" max="14849" width="1.7109375" style="599" customWidth="1"/>
    <col min="14850" max="14850" width="30.7109375" style="599" customWidth="1"/>
    <col min="14851" max="14851" width="14.28515625" style="599" customWidth="1"/>
    <col min="14852" max="14852" width="13.42578125" style="599" bestFit="1" customWidth="1"/>
    <col min="14853" max="14853" width="13.7109375" style="599" customWidth="1"/>
    <col min="14854" max="14854" width="14.28515625" style="599" customWidth="1"/>
    <col min="14855" max="14855" width="15.5703125" style="599" customWidth="1"/>
    <col min="14856" max="14856" width="15.5703125" style="599" bestFit="1" customWidth="1"/>
    <col min="14857" max="14857" width="13.42578125" style="599" bestFit="1" customWidth="1"/>
    <col min="14858" max="14858" width="12.5703125" style="599" bestFit="1" customWidth="1"/>
    <col min="14859" max="14859" width="12.140625" style="599" customWidth="1"/>
    <col min="14860" max="14860" width="15.7109375" style="599" bestFit="1" customWidth="1"/>
    <col min="14861" max="14861" width="14.42578125" style="599" bestFit="1" customWidth="1"/>
    <col min="14862" max="14862" width="12.5703125" style="599" customWidth="1"/>
    <col min="14863" max="14864" width="16.7109375" style="599" bestFit="1" customWidth="1"/>
    <col min="14865" max="14865" width="15.7109375" style="599" bestFit="1" customWidth="1"/>
    <col min="14866" max="15104" width="11.42578125" style="599"/>
    <col min="15105" max="15105" width="1.7109375" style="599" customWidth="1"/>
    <col min="15106" max="15106" width="30.7109375" style="599" customWidth="1"/>
    <col min="15107" max="15107" width="14.28515625" style="599" customWidth="1"/>
    <col min="15108" max="15108" width="13.42578125" style="599" bestFit="1" customWidth="1"/>
    <col min="15109" max="15109" width="13.7109375" style="599" customWidth="1"/>
    <col min="15110" max="15110" width="14.28515625" style="599" customWidth="1"/>
    <col min="15111" max="15111" width="15.5703125" style="599" customWidth="1"/>
    <col min="15112" max="15112" width="15.5703125" style="599" bestFit="1" customWidth="1"/>
    <col min="15113" max="15113" width="13.42578125" style="599" bestFit="1" customWidth="1"/>
    <col min="15114" max="15114" width="12.5703125" style="599" bestFit="1" customWidth="1"/>
    <col min="15115" max="15115" width="12.140625" style="599" customWidth="1"/>
    <col min="15116" max="15116" width="15.7109375" style="599" bestFit="1" customWidth="1"/>
    <col min="15117" max="15117" width="14.42578125" style="599" bestFit="1" customWidth="1"/>
    <col min="15118" max="15118" width="12.5703125" style="599" customWidth="1"/>
    <col min="15119" max="15120" width="16.7109375" style="599" bestFit="1" customWidth="1"/>
    <col min="15121" max="15121" width="15.7109375" style="599" bestFit="1" customWidth="1"/>
    <col min="15122" max="15360" width="11.42578125" style="599"/>
    <col min="15361" max="15361" width="1.7109375" style="599" customWidth="1"/>
    <col min="15362" max="15362" width="30.7109375" style="599" customWidth="1"/>
    <col min="15363" max="15363" width="14.28515625" style="599" customWidth="1"/>
    <col min="15364" max="15364" width="13.42578125" style="599" bestFit="1" customWidth="1"/>
    <col min="15365" max="15365" width="13.7109375" style="599" customWidth="1"/>
    <col min="15366" max="15366" width="14.28515625" style="599" customWidth="1"/>
    <col min="15367" max="15367" width="15.5703125" style="599" customWidth="1"/>
    <col min="15368" max="15368" width="15.5703125" style="599" bestFit="1" customWidth="1"/>
    <col min="15369" max="15369" width="13.42578125" style="599" bestFit="1" customWidth="1"/>
    <col min="15370" max="15370" width="12.5703125" style="599" bestFit="1" customWidth="1"/>
    <col min="15371" max="15371" width="12.140625" style="599" customWidth="1"/>
    <col min="15372" max="15372" width="15.7109375" style="599" bestFit="1" customWidth="1"/>
    <col min="15373" max="15373" width="14.42578125" style="599" bestFit="1" customWidth="1"/>
    <col min="15374" max="15374" width="12.5703125" style="599" customWidth="1"/>
    <col min="15375" max="15376" width="16.7109375" style="599" bestFit="1" customWidth="1"/>
    <col min="15377" max="15377" width="15.7109375" style="599" bestFit="1" customWidth="1"/>
    <col min="15378" max="15616" width="11.42578125" style="599"/>
    <col min="15617" max="15617" width="1.7109375" style="599" customWidth="1"/>
    <col min="15618" max="15618" width="30.7109375" style="599" customWidth="1"/>
    <col min="15619" max="15619" width="14.28515625" style="599" customWidth="1"/>
    <col min="15620" max="15620" width="13.42578125" style="599" bestFit="1" customWidth="1"/>
    <col min="15621" max="15621" width="13.7109375" style="599" customWidth="1"/>
    <col min="15622" max="15622" width="14.28515625" style="599" customWidth="1"/>
    <col min="15623" max="15623" width="15.5703125" style="599" customWidth="1"/>
    <col min="15624" max="15624" width="15.5703125" style="599" bestFit="1" customWidth="1"/>
    <col min="15625" max="15625" width="13.42578125" style="599" bestFit="1" customWidth="1"/>
    <col min="15626" max="15626" width="12.5703125" style="599" bestFit="1" customWidth="1"/>
    <col min="15627" max="15627" width="12.140625" style="599" customWidth="1"/>
    <col min="15628" max="15628" width="15.7109375" style="599" bestFit="1" customWidth="1"/>
    <col min="15629" max="15629" width="14.42578125" style="599" bestFit="1" customWidth="1"/>
    <col min="15630" max="15630" width="12.5703125" style="599" customWidth="1"/>
    <col min="15631" max="15632" width="16.7109375" style="599" bestFit="1" customWidth="1"/>
    <col min="15633" max="15633" width="15.7109375" style="599" bestFit="1" customWidth="1"/>
    <col min="15634" max="15872" width="11.42578125" style="599"/>
    <col min="15873" max="15873" width="1.7109375" style="599" customWidth="1"/>
    <col min="15874" max="15874" width="30.7109375" style="599" customWidth="1"/>
    <col min="15875" max="15875" width="14.28515625" style="599" customWidth="1"/>
    <col min="15876" max="15876" width="13.42578125" style="599" bestFit="1" customWidth="1"/>
    <col min="15877" max="15877" width="13.7109375" style="599" customWidth="1"/>
    <col min="15878" max="15878" width="14.28515625" style="599" customWidth="1"/>
    <col min="15879" max="15879" width="15.5703125" style="599" customWidth="1"/>
    <col min="15880" max="15880" width="15.5703125" style="599" bestFit="1" customWidth="1"/>
    <col min="15881" max="15881" width="13.42578125" style="599" bestFit="1" customWidth="1"/>
    <col min="15882" max="15882" width="12.5703125" style="599" bestFit="1" customWidth="1"/>
    <col min="15883" max="15883" width="12.140625" style="599" customWidth="1"/>
    <col min="15884" max="15884" width="15.7109375" style="599" bestFit="1" customWidth="1"/>
    <col min="15885" max="15885" width="14.42578125" style="599" bestFit="1" customWidth="1"/>
    <col min="15886" max="15886" width="12.5703125" style="599" customWidth="1"/>
    <col min="15887" max="15888" width="16.7109375" style="599" bestFit="1" customWidth="1"/>
    <col min="15889" max="15889" width="15.7109375" style="599" bestFit="1" customWidth="1"/>
    <col min="15890" max="16128" width="11.42578125" style="599"/>
    <col min="16129" max="16129" width="1.7109375" style="599" customWidth="1"/>
    <col min="16130" max="16130" width="30.7109375" style="599" customWidth="1"/>
    <col min="16131" max="16131" width="14.28515625" style="599" customWidth="1"/>
    <col min="16132" max="16132" width="13.42578125" style="599" bestFit="1" customWidth="1"/>
    <col min="16133" max="16133" width="13.7109375" style="599" customWidth="1"/>
    <col min="16134" max="16134" width="14.28515625" style="599" customWidth="1"/>
    <col min="16135" max="16135" width="15.5703125" style="599" customWidth="1"/>
    <col min="16136" max="16136" width="15.5703125" style="599" bestFit="1" customWidth="1"/>
    <col min="16137" max="16137" width="13.42578125" style="599" bestFit="1" customWidth="1"/>
    <col min="16138" max="16138" width="12.5703125" style="599" bestFit="1" customWidth="1"/>
    <col min="16139" max="16139" width="12.140625" style="599" customWidth="1"/>
    <col min="16140" max="16140" width="15.7109375" style="599" bestFit="1" customWidth="1"/>
    <col min="16141" max="16141" width="14.42578125" style="599" bestFit="1" customWidth="1"/>
    <col min="16142" max="16142" width="12.5703125" style="599" customWidth="1"/>
    <col min="16143" max="16144" width="16.7109375" style="599" bestFit="1" customWidth="1"/>
    <col min="16145" max="16145" width="15.7109375" style="599" bestFit="1" customWidth="1"/>
    <col min="16146" max="16384" width="11.42578125" style="599"/>
  </cols>
  <sheetData>
    <row r="1" spans="2:14" s="533" customFormat="1"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2:14" s="533" customFormat="1" ht="25.5">
      <c r="K2" s="779" t="s">
        <v>780</v>
      </c>
      <c r="L2" s="779"/>
      <c r="M2" s="779"/>
    </row>
    <row r="3" spans="2:14" s="534" customFormat="1" ht="22.5">
      <c r="B3" s="912" t="s">
        <v>575</v>
      </c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</row>
    <row r="4" spans="2:14" s="534" customFormat="1" ht="22.5">
      <c r="B4" s="912" t="s">
        <v>1122</v>
      </c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</row>
    <row r="5" spans="2:14" s="534" customFormat="1" ht="18.75">
      <c r="B5" s="914" t="s">
        <v>576</v>
      </c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</row>
    <row r="6" spans="2:14" s="536" customFormat="1" ht="10.5"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</row>
    <row r="7" spans="2:14" s="534" customFormat="1" ht="23.25" thickBot="1">
      <c r="B7" s="912" t="s">
        <v>781</v>
      </c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</row>
    <row r="8" spans="2:14" s="491" customFormat="1" ht="16.5" thickBot="1">
      <c r="B8" s="537" t="s">
        <v>782</v>
      </c>
      <c r="C8" s="911" t="s">
        <v>727</v>
      </c>
      <c r="D8" s="911"/>
      <c r="E8" s="911"/>
      <c r="F8" s="911"/>
      <c r="G8" s="911"/>
      <c r="H8" s="911" t="s">
        <v>728</v>
      </c>
      <c r="I8" s="911"/>
      <c r="J8" s="911"/>
      <c r="K8" s="911"/>
      <c r="L8" s="911"/>
      <c r="M8" s="538"/>
    </row>
    <row r="9" spans="2:14" s="491" customFormat="1" ht="12.75">
      <c r="B9" s="539"/>
      <c r="C9" s="540" t="s">
        <v>783</v>
      </c>
      <c r="D9" s="541" t="s">
        <v>784</v>
      </c>
      <c r="E9" s="541" t="s">
        <v>785</v>
      </c>
      <c r="F9" s="541" t="s">
        <v>709</v>
      </c>
      <c r="G9" s="542" t="s">
        <v>786</v>
      </c>
      <c r="H9" s="543" t="s">
        <v>787</v>
      </c>
      <c r="I9" s="544" t="s">
        <v>788</v>
      </c>
      <c r="J9" s="545"/>
      <c r="K9" s="546" t="s">
        <v>709</v>
      </c>
      <c r="L9" s="542" t="s">
        <v>787</v>
      </c>
      <c r="M9" s="539" t="s">
        <v>736</v>
      </c>
    </row>
    <row r="10" spans="2:14" s="491" customFormat="1" ht="13.5" thickBot="1">
      <c r="B10" s="539" t="s">
        <v>732</v>
      </c>
      <c r="C10" s="547" t="s">
        <v>789</v>
      </c>
      <c r="D10" s="541" t="s">
        <v>789</v>
      </c>
      <c r="E10" s="541" t="s">
        <v>790</v>
      </c>
      <c r="F10" s="541" t="s">
        <v>789</v>
      </c>
      <c r="G10" s="548" t="s">
        <v>789</v>
      </c>
      <c r="H10" s="549" t="s">
        <v>791</v>
      </c>
      <c r="I10" s="550" t="s">
        <v>789</v>
      </c>
      <c r="J10" s="551" t="s">
        <v>792</v>
      </c>
      <c r="K10" s="546" t="s">
        <v>789</v>
      </c>
      <c r="L10" s="548" t="s">
        <v>793</v>
      </c>
      <c r="M10" s="539" t="s">
        <v>742</v>
      </c>
    </row>
    <row r="11" spans="2:14" s="559" customFormat="1" ht="12.75">
      <c r="B11" s="552"/>
      <c r="C11" s="553"/>
      <c r="D11" s="554"/>
      <c r="E11" s="553"/>
      <c r="F11" s="554"/>
      <c r="G11" s="555"/>
      <c r="H11" s="556"/>
      <c r="I11" s="554"/>
      <c r="J11" s="557"/>
      <c r="K11" s="554"/>
      <c r="L11" s="555"/>
      <c r="M11" s="558"/>
    </row>
    <row r="12" spans="2:14" s="559" customFormat="1" ht="12.75">
      <c r="B12" s="560" t="s">
        <v>794</v>
      </c>
      <c r="C12" s="561">
        <v>8936968875</v>
      </c>
      <c r="D12" s="502">
        <v>0</v>
      </c>
      <c r="E12" s="502">
        <v>0</v>
      </c>
      <c r="F12" s="502">
        <v>0</v>
      </c>
      <c r="G12" s="562">
        <f>SUM(C12:F12)</f>
        <v>8936968875</v>
      </c>
      <c r="H12" s="563">
        <v>0</v>
      </c>
      <c r="I12" s="502">
        <v>0</v>
      </c>
      <c r="J12" s="564">
        <v>0</v>
      </c>
      <c r="K12" s="564">
        <v>0</v>
      </c>
      <c r="L12" s="562">
        <v>0</v>
      </c>
      <c r="M12" s="565">
        <f>G12-L12</f>
        <v>8936968875</v>
      </c>
      <c r="N12" s="566"/>
    </row>
    <row r="13" spans="2:14" s="559" customFormat="1" ht="3.75" customHeight="1">
      <c r="B13" s="560"/>
      <c r="C13" s="561"/>
      <c r="D13" s="502">
        <v>0</v>
      </c>
      <c r="E13" s="502"/>
      <c r="F13" s="502"/>
      <c r="G13" s="562"/>
      <c r="H13" s="563"/>
      <c r="I13" s="502">
        <v>0</v>
      </c>
      <c r="J13" s="564"/>
      <c r="K13" s="564"/>
      <c r="L13" s="562"/>
      <c r="M13" s="565"/>
    </row>
    <row r="14" spans="2:14" s="559" customFormat="1" ht="12.75">
      <c r="B14" s="560" t="s">
        <v>795</v>
      </c>
      <c r="C14" s="561">
        <v>12713442916</v>
      </c>
      <c r="D14" s="502">
        <f>7677556+422727</f>
        <v>8100283</v>
      </c>
      <c r="E14" s="502">
        <v>0</v>
      </c>
      <c r="F14" s="502">
        <v>0</v>
      </c>
      <c r="G14" s="562">
        <f>SUM(C14:F14)</f>
        <v>12721543199</v>
      </c>
      <c r="H14" s="563">
        <v>3834435112</v>
      </c>
      <c r="I14" s="502">
        <f>39356109+44178921</f>
        <v>83535030</v>
      </c>
      <c r="J14" s="564">
        <v>0</v>
      </c>
      <c r="K14" s="564">
        <v>0</v>
      </c>
      <c r="L14" s="562">
        <f>SUM(H14:K14)</f>
        <v>3917970142</v>
      </c>
      <c r="M14" s="565">
        <f>G14-L14</f>
        <v>8803573057</v>
      </c>
      <c r="N14" s="566"/>
    </row>
    <row r="15" spans="2:14" s="559" customFormat="1" ht="3.75" customHeight="1">
      <c r="B15" s="560"/>
      <c r="C15" s="561"/>
      <c r="D15" s="502">
        <v>0</v>
      </c>
      <c r="E15" s="502"/>
      <c r="F15" s="502"/>
      <c r="G15" s="562"/>
      <c r="H15" s="563">
        <v>0</v>
      </c>
      <c r="I15" s="502">
        <v>0</v>
      </c>
      <c r="J15" s="564"/>
      <c r="K15" s="564"/>
      <c r="L15" s="562">
        <f t="shared" ref="L15:L48" si="0">SUM(H15:K15)</f>
        <v>0</v>
      </c>
      <c r="M15" s="565"/>
    </row>
    <row r="16" spans="2:14" s="559" customFormat="1" ht="12.75">
      <c r="B16" s="560" t="s">
        <v>796</v>
      </c>
      <c r="C16" s="561">
        <v>10698596699</v>
      </c>
      <c r="D16" s="502">
        <v>16527273</v>
      </c>
      <c r="E16" s="502">
        <v>0</v>
      </c>
      <c r="F16" s="502">
        <v>0</v>
      </c>
      <c r="G16" s="562">
        <f>SUM(C16:F16)</f>
        <v>10715123972</v>
      </c>
      <c r="H16" s="563">
        <v>6774273212</v>
      </c>
      <c r="I16" s="502">
        <v>176299656</v>
      </c>
      <c r="J16" s="564">
        <v>0</v>
      </c>
      <c r="K16" s="564">
        <v>0</v>
      </c>
      <c r="L16" s="562">
        <f t="shared" si="0"/>
        <v>6950572868</v>
      </c>
      <c r="M16" s="565">
        <f>G16-L16</f>
        <v>3764551104</v>
      </c>
      <c r="N16" s="566"/>
    </row>
    <row r="17" spans="2:14" s="559" customFormat="1" ht="3.75" customHeight="1">
      <c r="B17" s="560"/>
      <c r="C17" s="561"/>
      <c r="D17" s="502">
        <v>0</v>
      </c>
      <c r="E17" s="502"/>
      <c r="F17" s="502"/>
      <c r="G17" s="562"/>
      <c r="H17" s="563">
        <v>0</v>
      </c>
      <c r="I17" s="502">
        <v>0</v>
      </c>
      <c r="J17" s="564"/>
      <c r="K17" s="564"/>
      <c r="L17" s="562">
        <f t="shared" si="0"/>
        <v>0</v>
      </c>
      <c r="M17" s="565"/>
    </row>
    <row r="18" spans="2:14" s="559" customFormat="1" ht="12.75">
      <c r="B18" s="560" t="s">
        <v>797</v>
      </c>
      <c r="C18" s="561">
        <v>109299967</v>
      </c>
      <c r="D18" s="502">
        <v>0</v>
      </c>
      <c r="E18" s="502">
        <v>0</v>
      </c>
      <c r="F18" s="502">
        <v>0</v>
      </c>
      <c r="G18" s="562">
        <f>SUM(C18:F18)</f>
        <v>109299967</v>
      </c>
      <c r="H18" s="563">
        <v>97959051</v>
      </c>
      <c r="I18" s="502">
        <v>600000</v>
      </c>
      <c r="J18" s="564">
        <v>0</v>
      </c>
      <c r="K18" s="564">
        <v>0</v>
      </c>
      <c r="L18" s="562">
        <f t="shared" si="0"/>
        <v>98559051</v>
      </c>
      <c r="M18" s="565">
        <f>G18-L18</f>
        <v>10740916</v>
      </c>
      <c r="N18" s="566"/>
    </row>
    <row r="19" spans="2:14" s="559" customFormat="1" ht="3.75" customHeight="1">
      <c r="B19" s="560"/>
      <c r="C19" s="561"/>
      <c r="D19" s="502"/>
      <c r="E19" s="502"/>
      <c r="F19" s="502"/>
      <c r="G19" s="562"/>
      <c r="H19" s="563">
        <v>0</v>
      </c>
      <c r="I19" s="502">
        <v>0</v>
      </c>
      <c r="J19" s="564"/>
      <c r="K19" s="564"/>
      <c r="L19" s="562">
        <f t="shared" si="0"/>
        <v>0</v>
      </c>
      <c r="M19" s="565"/>
    </row>
    <row r="20" spans="2:14" s="559" customFormat="1" ht="12.75">
      <c r="B20" s="560" t="s">
        <v>798</v>
      </c>
      <c r="C20" s="561">
        <v>12377132241</v>
      </c>
      <c r="D20" s="502">
        <v>0</v>
      </c>
      <c r="E20" s="502">
        <v>0</v>
      </c>
      <c r="F20" s="502">
        <v>0</v>
      </c>
      <c r="G20" s="562">
        <f>SUM(C20:F20)</f>
        <v>12377132241</v>
      </c>
      <c r="H20" s="563">
        <v>12229918766</v>
      </c>
      <c r="I20" s="502">
        <v>211209255</v>
      </c>
      <c r="J20" s="564">
        <v>0</v>
      </c>
      <c r="K20" s="564">
        <v>0</v>
      </c>
      <c r="L20" s="562">
        <f t="shared" si="0"/>
        <v>12441128021</v>
      </c>
      <c r="M20" s="565">
        <f>G20-L20</f>
        <v>-63995780</v>
      </c>
      <c r="N20" s="566"/>
    </row>
    <row r="21" spans="2:14" s="559" customFormat="1" ht="3.75" customHeight="1">
      <c r="B21" s="560"/>
      <c r="C21" s="561">
        <v>0</v>
      </c>
      <c r="D21" s="502">
        <v>0</v>
      </c>
      <c r="E21" s="502"/>
      <c r="F21" s="502"/>
      <c r="G21" s="562">
        <f>SUM(C21:F21)</f>
        <v>0</v>
      </c>
      <c r="H21" s="563">
        <v>0</v>
      </c>
      <c r="I21" s="502">
        <v>0</v>
      </c>
      <c r="J21" s="564"/>
      <c r="K21" s="564"/>
      <c r="L21" s="562">
        <f t="shared" si="0"/>
        <v>0</v>
      </c>
      <c r="M21" s="565"/>
    </row>
    <row r="22" spans="2:14" s="559" customFormat="1" ht="12.75">
      <c r="B22" s="560" t="s">
        <v>799</v>
      </c>
      <c r="C22" s="561">
        <v>2233337113</v>
      </c>
      <c r="D22" s="502">
        <v>13090909</v>
      </c>
      <c r="E22" s="502">
        <v>0</v>
      </c>
      <c r="F22" s="502">
        <v>0</v>
      </c>
      <c r="G22" s="562">
        <f>SUM(C22:F22)</f>
        <v>2246428022</v>
      </c>
      <c r="H22" s="567">
        <v>1828585964</v>
      </c>
      <c r="I22" s="502">
        <v>40991925</v>
      </c>
      <c r="J22" s="564">
        <v>0</v>
      </c>
      <c r="K22" s="564">
        <v>0</v>
      </c>
      <c r="L22" s="562">
        <f t="shared" si="0"/>
        <v>1869577889</v>
      </c>
      <c r="M22" s="565">
        <f>G22-L22</f>
        <v>376850133</v>
      </c>
      <c r="N22" s="566"/>
    </row>
    <row r="23" spans="2:14" s="559" customFormat="1" ht="3.75" customHeight="1">
      <c r="B23" s="560"/>
      <c r="C23" s="561"/>
      <c r="D23" s="502">
        <v>0</v>
      </c>
      <c r="E23" s="502"/>
      <c r="F23" s="502"/>
      <c r="G23" s="562"/>
      <c r="H23" s="563">
        <v>0</v>
      </c>
      <c r="I23" s="502">
        <v>0</v>
      </c>
      <c r="J23" s="564"/>
      <c r="K23" s="564"/>
      <c r="L23" s="562">
        <f t="shared" si="0"/>
        <v>0</v>
      </c>
      <c r="M23" s="565"/>
    </row>
    <row r="24" spans="2:14" s="559" customFormat="1" ht="12.75">
      <c r="B24" s="560" t="s">
        <v>800</v>
      </c>
      <c r="C24" s="561">
        <v>996419795</v>
      </c>
      <c r="D24" s="502">
        <v>8513485</v>
      </c>
      <c r="E24" s="502">
        <v>0</v>
      </c>
      <c r="F24" s="502">
        <v>0</v>
      </c>
      <c r="G24" s="562">
        <f>SUM(C24:F24)</f>
        <v>1004933280</v>
      </c>
      <c r="H24" s="563">
        <v>631089186</v>
      </c>
      <c r="I24" s="502">
        <v>21314625</v>
      </c>
      <c r="J24" s="564">
        <v>0</v>
      </c>
      <c r="K24" s="564">
        <v>0</v>
      </c>
      <c r="L24" s="562">
        <f t="shared" si="0"/>
        <v>652403811</v>
      </c>
      <c r="M24" s="565">
        <f>G24-L24</f>
        <v>352529469</v>
      </c>
      <c r="N24" s="566"/>
    </row>
    <row r="25" spans="2:14" s="559" customFormat="1" ht="3.75" customHeight="1">
      <c r="B25" s="560"/>
      <c r="C25" s="561"/>
      <c r="D25" s="502">
        <v>0</v>
      </c>
      <c r="E25" s="502"/>
      <c r="F25" s="502"/>
      <c r="G25" s="562"/>
      <c r="H25" s="563">
        <v>0</v>
      </c>
      <c r="I25" s="502">
        <v>0</v>
      </c>
      <c r="J25" s="564"/>
      <c r="K25" s="564"/>
      <c r="L25" s="562">
        <f t="shared" si="0"/>
        <v>0</v>
      </c>
      <c r="M25" s="565"/>
    </row>
    <row r="26" spans="2:14" s="559" customFormat="1" ht="12.75">
      <c r="B26" s="560" t="s">
        <v>801</v>
      </c>
      <c r="C26" s="561">
        <v>645315851</v>
      </c>
      <c r="D26" s="502">
        <v>0</v>
      </c>
      <c r="E26" s="502">
        <v>0</v>
      </c>
      <c r="F26" s="502">
        <v>0</v>
      </c>
      <c r="G26" s="562">
        <f>SUM(C26:F26)</f>
        <v>645315851</v>
      </c>
      <c r="H26" s="563">
        <v>502307444</v>
      </c>
      <c r="I26" s="502">
        <v>6273438</v>
      </c>
      <c r="J26" s="564">
        <v>0</v>
      </c>
      <c r="K26" s="564">
        <v>0</v>
      </c>
      <c r="L26" s="562">
        <f t="shared" si="0"/>
        <v>508580882</v>
      </c>
      <c r="M26" s="565">
        <f>G26-L26</f>
        <v>136734969</v>
      </c>
      <c r="N26" s="566"/>
    </row>
    <row r="27" spans="2:14" s="559" customFormat="1" ht="3.75" customHeight="1">
      <c r="B27" s="560"/>
      <c r="C27" s="561"/>
      <c r="D27" s="502">
        <v>0</v>
      </c>
      <c r="E27" s="502"/>
      <c r="F27" s="502"/>
      <c r="G27" s="562"/>
      <c r="H27" s="563"/>
      <c r="I27" s="502">
        <v>0</v>
      </c>
      <c r="J27" s="564"/>
      <c r="K27" s="564"/>
      <c r="L27" s="562">
        <f t="shared" si="0"/>
        <v>0</v>
      </c>
      <c r="M27" s="565"/>
    </row>
    <row r="28" spans="2:14" s="559" customFormat="1" ht="12.75">
      <c r="B28" s="560" t="s">
        <v>802</v>
      </c>
      <c r="C28" s="561">
        <v>127897749</v>
      </c>
      <c r="D28" s="502">
        <v>0</v>
      </c>
      <c r="E28" s="502">
        <v>0</v>
      </c>
      <c r="F28" s="502">
        <v>0</v>
      </c>
      <c r="G28" s="562">
        <f>SUM(C28:F28)</f>
        <v>127897749</v>
      </c>
      <c r="H28" s="563">
        <v>80600745</v>
      </c>
      <c r="I28" s="502">
        <v>2886702</v>
      </c>
      <c r="J28" s="564">
        <v>0</v>
      </c>
      <c r="K28" s="564">
        <v>0</v>
      </c>
      <c r="L28" s="562">
        <f t="shared" si="0"/>
        <v>83487447</v>
      </c>
      <c r="M28" s="565">
        <f>G28-L28</f>
        <v>44410302</v>
      </c>
      <c r="N28" s="566"/>
    </row>
    <row r="29" spans="2:14" s="559" customFormat="1" ht="3.75" customHeight="1">
      <c r="B29" s="560"/>
      <c r="C29" s="561"/>
      <c r="D29" s="502">
        <v>0</v>
      </c>
      <c r="E29" s="502"/>
      <c r="F29" s="502"/>
      <c r="G29" s="562"/>
      <c r="H29" s="563">
        <v>0</v>
      </c>
      <c r="I29" s="502">
        <v>0</v>
      </c>
      <c r="J29" s="564"/>
      <c r="K29" s="564"/>
      <c r="L29" s="562">
        <f t="shared" si="0"/>
        <v>0</v>
      </c>
      <c r="M29" s="565"/>
    </row>
    <row r="30" spans="2:14" s="559" customFormat="1" ht="12.75">
      <c r="B30" s="560" t="s">
        <v>803</v>
      </c>
      <c r="C30" s="561">
        <v>1313335499</v>
      </c>
      <c r="D30" s="502">
        <v>0</v>
      </c>
      <c r="E30" s="502">
        <v>0</v>
      </c>
      <c r="F30" s="502">
        <v>0</v>
      </c>
      <c r="G30" s="562">
        <f>SUM(C30:F30)</f>
        <v>1313335499</v>
      </c>
      <c r="H30" s="563">
        <v>1103056914</v>
      </c>
      <c r="I30" s="502">
        <v>60325995</v>
      </c>
      <c r="J30" s="564">
        <v>0</v>
      </c>
      <c r="K30" s="564">
        <v>0</v>
      </c>
      <c r="L30" s="562">
        <f t="shared" si="0"/>
        <v>1163382909</v>
      </c>
      <c r="M30" s="565">
        <f>G30-L30</f>
        <v>149952590</v>
      </c>
      <c r="N30" s="566"/>
    </row>
    <row r="31" spans="2:14" s="559" customFormat="1" ht="3.75" customHeight="1">
      <c r="B31" s="560"/>
      <c r="C31" s="561"/>
      <c r="D31" s="502">
        <v>0</v>
      </c>
      <c r="E31" s="502"/>
      <c r="F31" s="502"/>
      <c r="G31" s="562"/>
      <c r="H31" s="563">
        <v>0</v>
      </c>
      <c r="I31" s="502">
        <v>0</v>
      </c>
      <c r="J31" s="564"/>
      <c r="K31" s="564"/>
      <c r="L31" s="562">
        <f t="shared" si="0"/>
        <v>0</v>
      </c>
      <c r="M31" s="565"/>
    </row>
    <row r="32" spans="2:14" s="559" customFormat="1" ht="12.75">
      <c r="B32" s="560" t="s">
        <v>804</v>
      </c>
      <c r="C32" s="561">
        <v>337836559</v>
      </c>
      <c r="D32" s="502">
        <v>0</v>
      </c>
      <c r="E32" s="502">
        <v>0</v>
      </c>
      <c r="F32" s="502">
        <v>0</v>
      </c>
      <c r="G32" s="562">
        <f>SUM(C32:F32)</f>
        <v>337836559</v>
      </c>
      <c r="H32" s="568">
        <v>327271157</v>
      </c>
      <c r="I32" s="569">
        <v>1489242</v>
      </c>
      <c r="J32" s="564">
        <v>0</v>
      </c>
      <c r="K32" s="564">
        <v>0</v>
      </c>
      <c r="L32" s="562">
        <f t="shared" si="0"/>
        <v>328760399</v>
      </c>
      <c r="M32" s="565">
        <f>G32-L32</f>
        <v>9076160</v>
      </c>
      <c r="N32" s="566"/>
    </row>
    <row r="33" spans="2:17" s="559" customFormat="1" ht="3.75" customHeight="1">
      <c r="B33" s="560"/>
      <c r="C33" s="561"/>
      <c r="D33" s="502">
        <v>0</v>
      </c>
      <c r="E33" s="502"/>
      <c r="F33" s="502"/>
      <c r="G33" s="562"/>
      <c r="H33" s="568">
        <v>0</v>
      </c>
      <c r="I33" s="569">
        <v>0</v>
      </c>
      <c r="J33" s="564"/>
      <c r="K33" s="564"/>
      <c r="L33" s="562">
        <f t="shared" si="0"/>
        <v>0</v>
      </c>
      <c r="M33" s="565"/>
    </row>
    <row r="34" spans="2:17" s="559" customFormat="1" ht="12.75">
      <c r="B34" s="560" t="s">
        <v>93</v>
      </c>
      <c r="C34" s="561">
        <v>22649600403</v>
      </c>
      <c r="D34" s="502">
        <v>157112643</v>
      </c>
      <c r="E34" s="502">
        <v>0</v>
      </c>
      <c r="F34" s="502">
        <v>0</v>
      </c>
      <c r="G34" s="562">
        <f t="shared" ref="G34:G40" si="1">SUM(C34:F34)</f>
        <v>22806713046</v>
      </c>
      <c r="H34" s="568">
        <v>15429828898</v>
      </c>
      <c r="I34" s="569">
        <v>663728547</v>
      </c>
      <c r="J34" s="564">
        <v>0</v>
      </c>
      <c r="K34" s="564">
        <v>0</v>
      </c>
      <c r="L34" s="562">
        <f t="shared" si="0"/>
        <v>16093557445</v>
      </c>
      <c r="M34" s="565">
        <f t="shared" ref="M34:M42" si="2">G34-L34</f>
        <v>6713155601</v>
      </c>
      <c r="N34" s="566"/>
    </row>
    <row r="35" spans="2:17" s="559" customFormat="1" ht="4.5" customHeight="1">
      <c r="B35" s="560"/>
      <c r="C35" s="561">
        <v>0</v>
      </c>
      <c r="D35" s="502">
        <v>0</v>
      </c>
      <c r="E35" s="502"/>
      <c r="F35" s="502"/>
      <c r="G35" s="562">
        <f t="shared" si="1"/>
        <v>0</v>
      </c>
      <c r="H35" s="568">
        <v>0</v>
      </c>
      <c r="I35" s="569">
        <v>0</v>
      </c>
      <c r="J35" s="564"/>
      <c r="K35" s="564"/>
      <c r="L35" s="562">
        <f t="shared" si="0"/>
        <v>0</v>
      </c>
      <c r="M35" s="565">
        <f t="shared" si="2"/>
        <v>0</v>
      </c>
      <c r="N35" s="566"/>
    </row>
    <row r="36" spans="2:17" s="559" customFormat="1" ht="12.75">
      <c r="B36" s="560" t="s">
        <v>805</v>
      </c>
      <c r="C36" s="561">
        <v>29860051</v>
      </c>
      <c r="D36" s="502">
        <v>0</v>
      </c>
      <c r="E36" s="502"/>
      <c r="F36" s="502">
        <v>0</v>
      </c>
      <c r="G36" s="562">
        <f t="shared" si="1"/>
        <v>29860051</v>
      </c>
      <c r="H36" s="568">
        <v>3322989</v>
      </c>
      <c r="I36" s="569">
        <v>373761</v>
      </c>
      <c r="J36" s="564"/>
      <c r="K36" s="564"/>
      <c r="L36" s="562">
        <f t="shared" si="0"/>
        <v>3696750</v>
      </c>
      <c r="M36" s="565">
        <f t="shared" si="2"/>
        <v>26163301</v>
      </c>
      <c r="N36" s="566"/>
    </row>
    <row r="37" spans="2:17" s="559" customFormat="1" ht="3.75" customHeight="1">
      <c r="B37" s="560"/>
      <c r="C37" s="561">
        <v>0</v>
      </c>
      <c r="D37" s="502">
        <v>0</v>
      </c>
      <c r="E37" s="502"/>
      <c r="F37" s="502"/>
      <c r="G37" s="562">
        <f t="shared" si="1"/>
        <v>0</v>
      </c>
      <c r="H37" s="568">
        <v>0</v>
      </c>
      <c r="I37" s="569">
        <v>0</v>
      </c>
      <c r="J37" s="564"/>
      <c r="K37" s="564"/>
      <c r="L37" s="562">
        <f t="shared" si="0"/>
        <v>0</v>
      </c>
      <c r="M37" s="565">
        <f t="shared" si="2"/>
        <v>0</v>
      </c>
    </row>
    <row r="38" spans="2:17" s="559" customFormat="1" ht="12.75">
      <c r="B38" s="560" t="s">
        <v>806</v>
      </c>
      <c r="C38" s="561">
        <v>991727905</v>
      </c>
      <c r="D38" s="570">
        <v>4689545</v>
      </c>
      <c r="E38" s="502">
        <v>0</v>
      </c>
      <c r="F38" s="502">
        <v>0</v>
      </c>
      <c r="G38" s="562">
        <f t="shared" si="1"/>
        <v>996417450</v>
      </c>
      <c r="H38" s="568">
        <v>887359785</v>
      </c>
      <c r="I38" s="569">
        <v>12881874</v>
      </c>
      <c r="J38" s="564">
        <v>0</v>
      </c>
      <c r="K38" s="564">
        <v>0</v>
      </c>
      <c r="L38" s="562">
        <f t="shared" si="0"/>
        <v>900241659</v>
      </c>
      <c r="M38" s="565">
        <f t="shared" si="2"/>
        <v>96175791</v>
      </c>
      <c r="N38" s="566"/>
    </row>
    <row r="39" spans="2:17" s="559" customFormat="1" ht="3.75" customHeight="1">
      <c r="B39" s="560"/>
      <c r="C39" s="561">
        <v>0</v>
      </c>
      <c r="D39" s="502">
        <v>0</v>
      </c>
      <c r="E39" s="502"/>
      <c r="F39" s="502"/>
      <c r="G39" s="562">
        <f t="shared" si="1"/>
        <v>0</v>
      </c>
      <c r="H39" s="568">
        <v>0</v>
      </c>
      <c r="I39" s="569">
        <v>0</v>
      </c>
      <c r="J39" s="564"/>
      <c r="K39" s="564"/>
      <c r="L39" s="562">
        <f t="shared" si="0"/>
        <v>0</v>
      </c>
      <c r="M39" s="565">
        <f t="shared" si="2"/>
        <v>0</v>
      </c>
    </row>
    <row r="40" spans="2:17" s="559" customFormat="1" ht="10.5" customHeight="1">
      <c r="B40" s="560" t="s">
        <v>807</v>
      </c>
      <c r="C40" s="561">
        <v>1979970919</v>
      </c>
      <c r="D40" s="502">
        <v>56584800</v>
      </c>
      <c r="E40" s="502"/>
      <c r="F40" s="502"/>
      <c r="G40" s="562">
        <f t="shared" si="1"/>
        <v>2036555719</v>
      </c>
      <c r="H40" s="568">
        <v>1247698429</v>
      </c>
      <c r="I40" s="569">
        <v>97933701</v>
      </c>
      <c r="J40" s="564"/>
      <c r="K40" s="564"/>
      <c r="L40" s="562">
        <f t="shared" si="0"/>
        <v>1345632130</v>
      </c>
      <c r="M40" s="565">
        <f t="shared" si="2"/>
        <v>690923589</v>
      </c>
    </row>
    <row r="41" spans="2:17" s="559" customFormat="1" ht="4.5" customHeight="1">
      <c r="B41" s="560"/>
      <c r="C41" s="561"/>
      <c r="D41" s="502">
        <v>0</v>
      </c>
      <c r="E41" s="502"/>
      <c r="F41" s="502"/>
      <c r="G41" s="562"/>
      <c r="H41" s="568"/>
      <c r="I41" s="569">
        <v>0</v>
      </c>
      <c r="J41" s="564"/>
      <c r="K41" s="564"/>
      <c r="L41" s="562"/>
      <c r="M41" s="565">
        <f t="shared" si="2"/>
        <v>0</v>
      </c>
    </row>
    <row r="42" spans="2:17" s="559" customFormat="1" ht="12.75" customHeight="1">
      <c r="B42" s="560" t="s">
        <v>808</v>
      </c>
      <c r="C42" s="561">
        <v>17542918</v>
      </c>
      <c r="D42" s="502">
        <v>0</v>
      </c>
      <c r="E42" s="502">
        <v>0</v>
      </c>
      <c r="F42" s="502">
        <v>0</v>
      </c>
      <c r="G42" s="562">
        <f>SUM(C42:F42)</f>
        <v>17542918</v>
      </c>
      <c r="H42" s="568">
        <v>17542921</v>
      </c>
      <c r="I42" s="569">
        <v>0</v>
      </c>
      <c r="J42" s="564">
        <v>0</v>
      </c>
      <c r="K42" s="564">
        <v>0</v>
      </c>
      <c r="L42" s="562">
        <f t="shared" si="0"/>
        <v>17542921</v>
      </c>
      <c r="M42" s="565">
        <f t="shared" si="2"/>
        <v>-3</v>
      </c>
    </row>
    <row r="43" spans="2:17" s="559" customFormat="1" ht="4.5" customHeight="1">
      <c r="B43" s="560"/>
      <c r="C43" s="561"/>
      <c r="D43" s="502">
        <v>0</v>
      </c>
      <c r="E43" s="502"/>
      <c r="F43" s="502"/>
      <c r="G43" s="562"/>
      <c r="H43" s="568"/>
      <c r="I43" s="569">
        <v>0</v>
      </c>
      <c r="J43" s="564"/>
      <c r="K43" s="564"/>
      <c r="L43" s="562"/>
      <c r="M43" s="565"/>
    </row>
    <row r="44" spans="2:17" s="559" customFormat="1" ht="12.75">
      <c r="B44" s="560" t="s">
        <v>809</v>
      </c>
      <c r="C44" s="561">
        <v>18190414103</v>
      </c>
      <c r="D44" s="502">
        <v>0</v>
      </c>
      <c r="E44" s="502">
        <v>0</v>
      </c>
      <c r="F44" s="502">
        <v>0</v>
      </c>
      <c r="G44" s="562">
        <f>SUM(C44:F44)</f>
        <v>18190414103</v>
      </c>
      <c r="H44" s="568">
        <v>12735659564</v>
      </c>
      <c r="I44" s="569">
        <v>437374053</v>
      </c>
      <c r="J44" s="564">
        <v>0</v>
      </c>
      <c r="K44" s="564">
        <v>0</v>
      </c>
      <c r="L44" s="562">
        <f t="shared" si="0"/>
        <v>13173033617</v>
      </c>
      <c r="M44" s="565">
        <f>G44-L44</f>
        <v>5017380486</v>
      </c>
      <c r="N44" s="566"/>
      <c r="O44" s="571"/>
    </row>
    <row r="45" spans="2:17" s="559" customFormat="1" ht="3.75" customHeight="1">
      <c r="B45" s="560"/>
      <c r="C45" s="561"/>
      <c r="D45" s="502">
        <v>0</v>
      </c>
      <c r="E45" s="502"/>
      <c r="F45" s="502"/>
      <c r="G45" s="562"/>
      <c r="H45" s="568">
        <v>0</v>
      </c>
      <c r="I45" s="564"/>
      <c r="J45" s="564"/>
      <c r="K45" s="564"/>
      <c r="L45" s="562">
        <f t="shared" si="0"/>
        <v>0</v>
      </c>
      <c r="M45" s="565"/>
      <c r="O45" s="571"/>
    </row>
    <row r="46" spans="2:17" s="559" customFormat="1" ht="12.75">
      <c r="B46" s="560" t="s">
        <v>810</v>
      </c>
      <c r="C46" s="561">
        <v>74064545</v>
      </c>
      <c r="D46" s="502">
        <v>0</v>
      </c>
      <c r="E46" s="502">
        <v>0</v>
      </c>
      <c r="F46" s="502">
        <v>0</v>
      </c>
      <c r="G46" s="562">
        <f>SUM(C46:F46)</f>
        <v>74064545</v>
      </c>
      <c r="H46" s="568">
        <v>0</v>
      </c>
      <c r="I46" s="564">
        <v>0</v>
      </c>
      <c r="J46" s="564">
        <v>0</v>
      </c>
      <c r="K46" s="564">
        <v>0</v>
      </c>
      <c r="L46" s="562">
        <f t="shared" si="0"/>
        <v>0</v>
      </c>
      <c r="M46" s="565">
        <f>G46-L46</f>
        <v>74064545</v>
      </c>
      <c r="N46" s="566"/>
      <c r="O46" s="571"/>
      <c r="P46" s="572"/>
      <c r="Q46" s="572"/>
    </row>
    <row r="47" spans="2:17" s="559" customFormat="1" ht="6" customHeight="1">
      <c r="B47" s="560"/>
      <c r="C47" s="568">
        <v>0</v>
      </c>
      <c r="D47" s="502">
        <v>0</v>
      </c>
      <c r="E47" s="502"/>
      <c r="F47" s="502"/>
      <c r="G47" s="562">
        <f>SUM(C47:F47)</f>
        <v>0</v>
      </c>
      <c r="H47" s="567">
        <v>0</v>
      </c>
      <c r="I47" s="564">
        <v>0</v>
      </c>
      <c r="J47" s="564"/>
      <c r="K47" s="564"/>
      <c r="L47" s="562">
        <f t="shared" si="0"/>
        <v>0</v>
      </c>
      <c r="M47" s="565">
        <f>G47-L47</f>
        <v>0</v>
      </c>
      <c r="N47" s="566"/>
      <c r="P47" s="572"/>
      <c r="Q47" s="572"/>
    </row>
    <row r="48" spans="2:17" s="559" customFormat="1" ht="12.75" customHeight="1">
      <c r="B48" s="560" t="s">
        <v>811</v>
      </c>
      <c r="C48" s="568">
        <v>5867623677</v>
      </c>
      <c r="D48" s="502">
        <v>0</v>
      </c>
      <c r="E48" s="502">
        <v>0</v>
      </c>
      <c r="F48" s="502">
        <v>0</v>
      </c>
      <c r="G48" s="562">
        <f>SUM(C48:F48)</f>
        <v>5867623677</v>
      </c>
      <c r="H48" s="567">
        <v>2374999999</v>
      </c>
      <c r="I48" s="564">
        <v>474999999</v>
      </c>
      <c r="J48" s="564">
        <v>0</v>
      </c>
      <c r="K48" s="564">
        <v>0</v>
      </c>
      <c r="L48" s="562">
        <f t="shared" si="0"/>
        <v>2849999998</v>
      </c>
      <c r="M48" s="565">
        <f>G48-L48</f>
        <v>3017623679</v>
      </c>
      <c r="N48" s="566"/>
      <c r="P48" s="572"/>
      <c r="Q48" s="572"/>
    </row>
    <row r="49" spans="2:17" s="559" customFormat="1" ht="6" customHeight="1" thickBot="1">
      <c r="B49" s="573"/>
      <c r="C49" s="568"/>
      <c r="D49" s="502"/>
      <c r="E49" s="502"/>
      <c r="F49" s="502"/>
      <c r="G49" s="562"/>
      <c r="H49" s="567"/>
      <c r="I49" s="564">
        <v>0</v>
      </c>
      <c r="J49" s="564"/>
      <c r="K49" s="564"/>
      <c r="L49" s="562"/>
      <c r="M49" s="565"/>
      <c r="N49" s="566"/>
      <c r="P49" s="572"/>
      <c r="Q49" s="572"/>
    </row>
    <row r="50" spans="2:17" s="559" customFormat="1" ht="12.75">
      <c r="B50" s="574"/>
      <c r="C50" s="575"/>
      <c r="D50" s="576"/>
      <c r="E50" s="576"/>
      <c r="F50" s="576"/>
      <c r="G50" s="577"/>
      <c r="H50" s="575"/>
      <c r="I50" s="578"/>
      <c r="J50" s="576"/>
      <c r="K50" s="578"/>
      <c r="L50" s="577"/>
      <c r="M50" s="579"/>
      <c r="O50" s="571"/>
      <c r="P50" s="571">
        <f>SUM(G12:G47)</f>
        <v>94687383046</v>
      </c>
      <c r="Q50" s="571">
        <f>P50-O50</f>
        <v>94687383046</v>
      </c>
    </row>
    <row r="51" spans="2:17" s="559" customFormat="1" ht="13.5" thickBot="1">
      <c r="B51" s="580" t="s">
        <v>812</v>
      </c>
      <c r="C51" s="581">
        <f>SUM(C11:C49)</f>
        <v>100290387785</v>
      </c>
      <c r="D51" s="582">
        <f t="shared" ref="D51:M51" si="3">SUM(D11:D49)</f>
        <v>264618938</v>
      </c>
      <c r="E51" s="582">
        <f t="shared" si="3"/>
        <v>0</v>
      </c>
      <c r="F51" s="582">
        <f t="shared" si="3"/>
        <v>0</v>
      </c>
      <c r="G51" s="583">
        <f t="shared" si="3"/>
        <v>100555006723</v>
      </c>
      <c r="H51" s="581">
        <f t="shared" si="3"/>
        <v>60105910136</v>
      </c>
      <c r="I51" s="584">
        <f t="shared" si="3"/>
        <v>2292217803</v>
      </c>
      <c r="J51" s="582">
        <f t="shared" si="3"/>
        <v>0</v>
      </c>
      <c r="K51" s="582">
        <f t="shared" si="3"/>
        <v>0</v>
      </c>
      <c r="L51" s="583">
        <f>SUM(L11:L49)</f>
        <v>62398127939</v>
      </c>
      <c r="M51" s="585">
        <f t="shared" si="3"/>
        <v>38156878784</v>
      </c>
    </row>
    <row r="52" spans="2:17" s="586" customFormat="1" ht="12.75">
      <c r="B52" s="560"/>
      <c r="C52" s="569"/>
      <c r="D52" s="569"/>
      <c r="E52" s="569"/>
      <c r="F52" s="569"/>
      <c r="G52" s="562"/>
      <c r="H52" s="568"/>
      <c r="I52" s="569"/>
      <c r="J52" s="569"/>
      <c r="K52" s="569"/>
      <c r="L52" s="562"/>
      <c r="M52" s="565"/>
    </row>
    <row r="53" spans="2:17" s="586" customFormat="1" ht="13.5" thickBot="1">
      <c r="B53" s="587" t="s">
        <v>813</v>
      </c>
      <c r="C53" s="588">
        <v>98042685249</v>
      </c>
      <c r="D53" s="589">
        <v>1249091242</v>
      </c>
      <c r="E53" s="589">
        <v>0</v>
      </c>
      <c r="F53" s="589">
        <v>0</v>
      </c>
      <c r="G53" s="590">
        <v>99291776491</v>
      </c>
      <c r="H53" s="591">
        <v>53834902321</v>
      </c>
      <c r="I53" s="592">
        <v>1789482303</v>
      </c>
      <c r="J53" s="592">
        <v>0</v>
      </c>
      <c r="K53" s="593">
        <v>0</v>
      </c>
      <c r="L53" s="594">
        <v>55624384624</v>
      </c>
      <c r="M53" s="595">
        <v>43667391867</v>
      </c>
    </row>
    <row r="54" spans="2:17" s="491" customFormat="1" ht="12.75">
      <c r="B54" s="491" t="s">
        <v>814</v>
      </c>
      <c r="D54" s="596"/>
      <c r="F54" s="596"/>
      <c r="G54" s="596"/>
      <c r="I54" s="596"/>
      <c r="M54" s="596"/>
    </row>
    <row r="55" spans="2:17" s="491" customFormat="1" ht="22.5" customHeight="1">
      <c r="D55" s="596"/>
      <c r="F55" s="596"/>
      <c r="G55" s="596"/>
      <c r="I55" s="596"/>
      <c r="M55" s="596"/>
    </row>
    <row r="56" spans="2:17" s="491" customFormat="1" ht="12.75">
      <c r="D56" s="596"/>
      <c r="F56" s="596"/>
      <c r="G56" s="596"/>
      <c r="I56" s="596"/>
      <c r="M56" s="596"/>
    </row>
    <row r="57" spans="2:17" s="491" customFormat="1" ht="21" customHeight="1">
      <c r="F57" s="596"/>
      <c r="G57" s="596"/>
      <c r="I57" s="596"/>
      <c r="L57" s="596"/>
      <c r="M57" s="596"/>
    </row>
    <row r="58" spans="2:17" s="491" customFormat="1" ht="12.75">
      <c r="F58" s="596"/>
      <c r="G58" s="596"/>
      <c r="I58" s="596"/>
      <c r="L58" s="596"/>
      <c r="M58" s="596"/>
    </row>
    <row r="59" spans="2:17" s="491" customFormat="1" ht="12.75">
      <c r="G59" s="596"/>
      <c r="I59" s="596"/>
      <c r="J59" s="596"/>
      <c r="L59" s="596"/>
      <c r="M59" s="596"/>
    </row>
    <row r="60" spans="2:17" s="491" customFormat="1" ht="12.75">
      <c r="G60" s="597"/>
      <c r="H60" s="597"/>
      <c r="I60" s="597"/>
      <c r="M60" s="596"/>
    </row>
    <row r="61" spans="2:17" s="492" customFormat="1" ht="14.25">
      <c r="B61" s="907" t="s">
        <v>720</v>
      </c>
      <c r="C61" s="907"/>
      <c r="D61" s="907"/>
      <c r="E61" s="907" t="s">
        <v>569</v>
      </c>
      <c r="F61" s="907"/>
      <c r="G61" s="907"/>
      <c r="H61" s="907" t="s">
        <v>609</v>
      </c>
      <c r="I61" s="907"/>
      <c r="J61" s="907"/>
      <c r="K61" s="908" t="s">
        <v>1015</v>
      </c>
      <c r="L61" s="908"/>
      <c r="M61" s="908"/>
    </row>
    <row r="62" spans="2:17" s="492" customFormat="1" ht="14.25">
      <c r="B62" s="907" t="s">
        <v>607</v>
      </c>
      <c r="C62" s="907"/>
      <c r="D62" s="907"/>
      <c r="E62" s="908" t="s">
        <v>608</v>
      </c>
      <c r="F62" s="908"/>
      <c r="G62" s="908"/>
      <c r="H62" s="909" t="s">
        <v>611</v>
      </c>
      <c r="I62" s="909"/>
      <c r="J62" s="909"/>
      <c r="K62" s="910" t="s">
        <v>698</v>
      </c>
      <c r="L62" s="910"/>
      <c r="M62" s="910"/>
      <c r="N62" s="516"/>
    </row>
    <row r="63" spans="2:17" s="491" customFormat="1" ht="12.75"/>
    <row r="64" spans="2:17" s="491" customFormat="1" ht="12.75"/>
    <row r="65" spans="2:13" s="491" customFormat="1" ht="12.75"/>
    <row r="66" spans="2:13" s="491" customFormat="1" ht="12.75"/>
    <row r="67" spans="2:13" s="559" customFormat="1" ht="12.75"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596"/>
    </row>
    <row r="68" spans="2:13" s="559" customFormat="1" ht="12.75"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596"/>
    </row>
    <row r="69" spans="2:13" s="559" customFormat="1" ht="12.75">
      <c r="B69" s="491"/>
      <c r="C69" s="598"/>
      <c r="D69" s="491"/>
      <c r="E69" s="491"/>
      <c r="F69" s="491"/>
      <c r="G69" s="491"/>
      <c r="H69" s="491"/>
      <c r="I69" s="491"/>
      <c r="J69" s="491"/>
      <c r="K69" s="491"/>
      <c r="L69" s="491"/>
      <c r="M69" s="491"/>
    </row>
    <row r="70" spans="2:13">
      <c r="C70" s="598"/>
    </row>
  </sheetData>
  <mergeCells count="15">
    <mergeCell ref="B7:M7"/>
    <mergeCell ref="B1:M1"/>
    <mergeCell ref="B3:M3"/>
    <mergeCell ref="B4:M4"/>
    <mergeCell ref="B5:M5"/>
    <mergeCell ref="B62:D62"/>
    <mergeCell ref="E62:G62"/>
    <mergeCell ref="H62:J62"/>
    <mergeCell ref="K62:M62"/>
    <mergeCell ref="C8:G8"/>
    <mergeCell ref="H8:L8"/>
    <mergeCell ref="B61:D61"/>
    <mergeCell ref="E61:G61"/>
    <mergeCell ref="H61:J61"/>
    <mergeCell ref="K61:M61"/>
  </mergeCells>
  <pageMargins left="1.5748031496062993" right="1.9685039370078741" top="0.78740157480314965" bottom="0.78740157480314965" header="0" footer="0"/>
  <pageSetup paperSize="5" scale="70" firstPageNumber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topLeftCell="A17" workbookViewId="0">
      <selection activeCell="B30" sqref="B30"/>
    </sheetView>
  </sheetViews>
  <sheetFormatPr baseColWidth="10" defaultColWidth="11" defaultRowHeight="12.75"/>
  <cols>
    <col min="1" max="1" width="13.42578125" style="492" customWidth="1"/>
    <col min="2" max="2" width="21.7109375" style="492" customWidth="1"/>
    <col min="3" max="3" width="14.42578125" style="492" customWidth="1"/>
    <col min="4" max="4" width="13" style="492" customWidth="1"/>
    <col min="5" max="5" width="11.140625" style="492" customWidth="1"/>
    <col min="6" max="6" width="14.7109375" style="492" customWidth="1"/>
    <col min="7" max="8" width="14" style="492" customWidth="1"/>
    <col min="9" max="9" width="7.7109375" style="492" customWidth="1"/>
    <col min="10" max="10" width="13.140625" style="492" customWidth="1"/>
    <col min="11" max="11" width="12" style="492" bestFit="1" customWidth="1"/>
    <col min="12" max="256" width="11" style="492"/>
    <col min="257" max="257" width="13.42578125" style="492" customWidth="1"/>
    <col min="258" max="258" width="21.7109375" style="492" customWidth="1"/>
    <col min="259" max="259" width="14.42578125" style="492" customWidth="1"/>
    <col min="260" max="260" width="13" style="492" customWidth="1"/>
    <col min="261" max="261" width="11.7109375" style="492" customWidth="1"/>
    <col min="262" max="262" width="14.7109375" style="492" customWidth="1"/>
    <col min="263" max="263" width="11.7109375" style="492" customWidth="1"/>
    <col min="264" max="264" width="14" style="492" customWidth="1"/>
    <col min="265" max="265" width="7.7109375" style="492" customWidth="1"/>
    <col min="266" max="266" width="12.140625" style="492" customWidth="1"/>
    <col min="267" max="267" width="12" style="492" bestFit="1" customWidth="1"/>
    <col min="268" max="512" width="11" style="492"/>
    <col min="513" max="513" width="13.42578125" style="492" customWidth="1"/>
    <col min="514" max="514" width="21.7109375" style="492" customWidth="1"/>
    <col min="515" max="515" width="14.42578125" style="492" customWidth="1"/>
    <col min="516" max="516" width="13" style="492" customWidth="1"/>
    <col min="517" max="517" width="11.7109375" style="492" customWidth="1"/>
    <col min="518" max="518" width="14.7109375" style="492" customWidth="1"/>
    <col min="519" max="519" width="11.7109375" style="492" customWidth="1"/>
    <col min="520" max="520" width="14" style="492" customWidth="1"/>
    <col min="521" max="521" width="7.7109375" style="492" customWidth="1"/>
    <col min="522" max="522" width="12.140625" style="492" customWidth="1"/>
    <col min="523" max="523" width="12" style="492" bestFit="1" customWidth="1"/>
    <col min="524" max="768" width="11" style="492"/>
    <col min="769" max="769" width="13.42578125" style="492" customWidth="1"/>
    <col min="770" max="770" width="21.7109375" style="492" customWidth="1"/>
    <col min="771" max="771" width="14.42578125" style="492" customWidth="1"/>
    <col min="772" max="772" width="13" style="492" customWidth="1"/>
    <col min="773" max="773" width="11.7109375" style="492" customWidth="1"/>
    <col min="774" max="774" width="14.7109375" style="492" customWidth="1"/>
    <col min="775" max="775" width="11.7109375" style="492" customWidth="1"/>
    <col min="776" max="776" width="14" style="492" customWidth="1"/>
    <col min="777" max="777" width="7.7109375" style="492" customWidth="1"/>
    <col min="778" max="778" width="12.140625" style="492" customWidth="1"/>
    <col min="779" max="779" width="12" style="492" bestFit="1" customWidth="1"/>
    <col min="780" max="1024" width="11" style="492"/>
    <col min="1025" max="1025" width="13.42578125" style="492" customWidth="1"/>
    <col min="1026" max="1026" width="21.7109375" style="492" customWidth="1"/>
    <col min="1027" max="1027" width="14.42578125" style="492" customWidth="1"/>
    <col min="1028" max="1028" width="13" style="492" customWidth="1"/>
    <col min="1029" max="1029" width="11.7109375" style="492" customWidth="1"/>
    <col min="1030" max="1030" width="14.7109375" style="492" customWidth="1"/>
    <col min="1031" max="1031" width="11.7109375" style="492" customWidth="1"/>
    <col min="1032" max="1032" width="14" style="492" customWidth="1"/>
    <col min="1033" max="1033" width="7.7109375" style="492" customWidth="1"/>
    <col min="1034" max="1034" width="12.140625" style="492" customWidth="1"/>
    <col min="1035" max="1035" width="12" style="492" bestFit="1" customWidth="1"/>
    <col min="1036" max="1280" width="11" style="492"/>
    <col min="1281" max="1281" width="13.42578125" style="492" customWidth="1"/>
    <col min="1282" max="1282" width="21.7109375" style="492" customWidth="1"/>
    <col min="1283" max="1283" width="14.42578125" style="492" customWidth="1"/>
    <col min="1284" max="1284" width="13" style="492" customWidth="1"/>
    <col min="1285" max="1285" width="11.7109375" style="492" customWidth="1"/>
    <col min="1286" max="1286" width="14.7109375" style="492" customWidth="1"/>
    <col min="1287" max="1287" width="11.7109375" style="492" customWidth="1"/>
    <col min="1288" max="1288" width="14" style="492" customWidth="1"/>
    <col min="1289" max="1289" width="7.7109375" style="492" customWidth="1"/>
    <col min="1290" max="1290" width="12.140625" style="492" customWidth="1"/>
    <col min="1291" max="1291" width="12" style="492" bestFit="1" customWidth="1"/>
    <col min="1292" max="1536" width="11" style="492"/>
    <col min="1537" max="1537" width="13.42578125" style="492" customWidth="1"/>
    <col min="1538" max="1538" width="21.7109375" style="492" customWidth="1"/>
    <col min="1539" max="1539" width="14.42578125" style="492" customWidth="1"/>
    <col min="1540" max="1540" width="13" style="492" customWidth="1"/>
    <col min="1541" max="1541" width="11.7109375" style="492" customWidth="1"/>
    <col min="1542" max="1542" width="14.7109375" style="492" customWidth="1"/>
    <col min="1543" max="1543" width="11.7109375" style="492" customWidth="1"/>
    <col min="1544" max="1544" width="14" style="492" customWidth="1"/>
    <col min="1545" max="1545" width="7.7109375" style="492" customWidth="1"/>
    <col min="1546" max="1546" width="12.140625" style="492" customWidth="1"/>
    <col min="1547" max="1547" width="12" style="492" bestFit="1" customWidth="1"/>
    <col min="1548" max="1792" width="11" style="492"/>
    <col min="1793" max="1793" width="13.42578125" style="492" customWidth="1"/>
    <col min="1794" max="1794" width="21.7109375" style="492" customWidth="1"/>
    <col min="1795" max="1795" width="14.42578125" style="492" customWidth="1"/>
    <col min="1796" max="1796" width="13" style="492" customWidth="1"/>
    <col min="1797" max="1797" width="11.7109375" style="492" customWidth="1"/>
    <col min="1798" max="1798" width="14.7109375" style="492" customWidth="1"/>
    <col min="1799" max="1799" width="11.7109375" style="492" customWidth="1"/>
    <col min="1800" max="1800" width="14" style="492" customWidth="1"/>
    <col min="1801" max="1801" width="7.7109375" style="492" customWidth="1"/>
    <col min="1802" max="1802" width="12.140625" style="492" customWidth="1"/>
    <col min="1803" max="1803" width="12" style="492" bestFit="1" customWidth="1"/>
    <col min="1804" max="2048" width="11" style="492"/>
    <col min="2049" max="2049" width="13.42578125" style="492" customWidth="1"/>
    <col min="2050" max="2050" width="21.7109375" style="492" customWidth="1"/>
    <col min="2051" max="2051" width="14.42578125" style="492" customWidth="1"/>
    <col min="2052" max="2052" width="13" style="492" customWidth="1"/>
    <col min="2053" max="2053" width="11.7109375" style="492" customWidth="1"/>
    <col min="2054" max="2054" width="14.7109375" style="492" customWidth="1"/>
    <col min="2055" max="2055" width="11.7109375" style="492" customWidth="1"/>
    <col min="2056" max="2056" width="14" style="492" customWidth="1"/>
    <col min="2057" max="2057" width="7.7109375" style="492" customWidth="1"/>
    <col min="2058" max="2058" width="12.140625" style="492" customWidth="1"/>
    <col min="2059" max="2059" width="12" style="492" bestFit="1" customWidth="1"/>
    <col min="2060" max="2304" width="11" style="492"/>
    <col min="2305" max="2305" width="13.42578125" style="492" customWidth="1"/>
    <col min="2306" max="2306" width="21.7109375" style="492" customWidth="1"/>
    <col min="2307" max="2307" width="14.42578125" style="492" customWidth="1"/>
    <col min="2308" max="2308" width="13" style="492" customWidth="1"/>
    <col min="2309" max="2309" width="11.7109375" style="492" customWidth="1"/>
    <col min="2310" max="2310" width="14.7109375" style="492" customWidth="1"/>
    <col min="2311" max="2311" width="11.7109375" style="492" customWidth="1"/>
    <col min="2312" max="2312" width="14" style="492" customWidth="1"/>
    <col min="2313" max="2313" width="7.7109375" style="492" customWidth="1"/>
    <col min="2314" max="2314" width="12.140625" style="492" customWidth="1"/>
    <col min="2315" max="2315" width="12" style="492" bestFit="1" customWidth="1"/>
    <col min="2316" max="2560" width="11" style="492"/>
    <col min="2561" max="2561" width="13.42578125" style="492" customWidth="1"/>
    <col min="2562" max="2562" width="21.7109375" style="492" customWidth="1"/>
    <col min="2563" max="2563" width="14.42578125" style="492" customWidth="1"/>
    <col min="2564" max="2564" width="13" style="492" customWidth="1"/>
    <col min="2565" max="2565" width="11.7109375" style="492" customWidth="1"/>
    <col min="2566" max="2566" width="14.7109375" style="492" customWidth="1"/>
    <col min="2567" max="2567" width="11.7109375" style="492" customWidth="1"/>
    <col min="2568" max="2568" width="14" style="492" customWidth="1"/>
    <col min="2569" max="2569" width="7.7109375" style="492" customWidth="1"/>
    <col min="2570" max="2570" width="12.140625" style="492" customWidth="1"/>
    <col min="2571" max="2571" width="12" style="492" bestFit="1" customWidth="1"/>
    <col min="2572" max="2816" width="11" style="492"/>
    <col min="2817" max="2817" width="13.42578125" style="492" customWidth="1"/>
    <col min="2818" max="2818" width="21.7109375" style="492" customWidth="1"/>
    <col min="2819" max="2819" width="14.42578125" style="492" customWidth="1"/>
    <col min="2820" max="2820" width="13" style="492" customWidth="1"/>
    <col min="2821" max="2821" width="11.7109375" style="492" customWidth="1"/>
    <col min="2822" max="2822" width="14.7109375" style="492" customWidth="1"/>
    <col min="2823" max="2823" width="11.7109375" style="492" customWidth="1"/>
    <col min="2824" max="2824" width="14" style="492" customWidth="1"/>
    <col min="2825" max="2825" width="7.7109375" style="492" customWidth="1"/>
    <col min="2826" max="2826" width="12.140625" style="492" customWidth="1"/>
    <col min="2827" max="2827" width="12" style="492" bestFit="1" customWidth="1"/>
    <col min="2828" max="3072" width="11" style="492"/>
    <col min="3073" max="3073" width="13.42578125" style="492" customWidth="1"/>
    <col min="3074" max="3074" width="21.7109375" style="492" customWidth="1"/>
    <col min="3075" max="3075" width="14.42578125" style="492" customWidth="1"/>
    <col min="3076" max="3076" width="13" style="492" customWidth="1"/>
    <col min="3077" max="3077" width="11.7109375" style="492" customWidth="1"/>
    <col min="3078" max="3078" width="14.7109375" style="492" customWidth="1"/>
    <col min="3079" max="3079" width="11.7109375" style="492" customWidth="1"/>
    <col min="3080" max="3080" width="14" style="492" customWidth="1"/>
    <col min="3081" max="3081" width="7.7109375" style="492" customWidth="1"/>
    <col min="3082" max="3082" width="12.140625" style="492" customWidth="1"/>
    <col min="3083" max="3083" width="12" style="492" bestFit="1" customWidth="1"/>
    <col min="3084" max="3328" width="11" style="492"/>
    <col min="3329" max="3329" width="13.42578125" style="492" customWidth="1"/>
    <col min="3330" max="3330" width="21.7109375" style="492" customWidth="1"/>
    <col min="3331" max="3331" width="14.42578125" style="492" customWidth="1"/>
    <col min="3332" max="3332" width="13" style="492" customWidth="1"/>
    <col min="3333" max="3333" width="11.7109375" style="492" customWidth="1"/>
    <col min="3334" max="3334" width="14.7109375" style="492" customWidth="1"/>
    <col min="3335" max="3335" width="11.7109375" style="492" customWidth="1"/>
    <col min="3336" max="3336" width="14" style="492" customWidth="1"/>
    <col min="3337" max="3337" width="7.7109375" style="492" customWidth="1"/>
    <col min="3338" max="3338" width="12.140625" style="492" customWidth="1"/>
    <col min="3339" max="3339" width="12" style="492" bestFit="1" customWidth="1"/>
    <col min="3340" max="3584" width="11" style="492"/>
    <col min="3585" max="3585" width="13.42578125" style="492" customWidth="1"/>
    <col min="3586" max="3586" width="21.7109375" style="492" customWidth="1"/>
    <col min="3587" max="3587" width="14.42578125" style="492" customWidth="1"/>
    <col min="3588" max="3588" width="13" style="492" customWidth="1"/>
    <col min="3589" max="3589" width="11.7109375" style="492" customWidth="1"/>
    <col min="3590" max="3590" width="14.7109375" style="492" customWidth="1"/>
    <col min="3591" max="3591" width="11.7109375" style="492" customWidth="1"/>
    <col min="3592" max="3592" width="14" style="492" customWidth="1"/>
    <col min="3593" max="3593" width="7.7109375" style="492" customWidth="1"/>
    <col min="3594" max="3594" width="12.140625" style="492" customWidth="1"/>
    <col min="3595" max="3595" width="12" style="492" bestFit="1" customWidth="1"/>
    <col min="3596" max="3840" width="11" style="492"/>
    <col min="3841" max="3841" width="13.42578125" style="492" customWidth="1"/>
    <col min="3842" max="3842" width="21.7109375" style="492" customWidth="1"/>
    <col min="3843" max="3843" width="14.42578125" style="492" customWidth="1"/>
    <col min="3844" max="3844" width="13" style="492" customWidth="1"/>
    <col min="3845" max="3845" width="11.7109375" style="492" customWidth="1"/>
    <col min="3846" max="3846" width="14.7109375" style="492" customWidth="1"/>
    <col min="3847" max="3847" width="11.7109375" style="492" customWidth="1"/>
    <col min="3848" max="3848" width="14" style="492" customWidth="1"/>
    <col min="3849" max="3849" width="7.7109375" style="492" customWidth="1"/>
    <col min="3850" max="3850" width="12.140625" style="492" customWidth="1"/>
    <col min="3851" max="3851" width="12" style="492" bestFit="1" customWidth="1"/>
    <col min="3852" max="4096" width="11" style="492"/>
    <col min="4097" max="4097" width="13.42578125" style="492" customWidth="1"/>
    <col min="4098" max="4098" width="21.7109375" style="492" customWidth="1"/>
    <col min="4099" max="4099" width="14.42578125" style="492" customWidth="1"/>
    <col min="4100" max="4100" width="13" style="492" customWidth="1"/>
    <col min="4101" max="4101" width="11.7109375" style="492" customWidth="1"/>
    <col min="4102" max="4102" width="14.7109375" style="492" customWidth="1"/>
    <col min="4103" max="4103" width="11.7109375" style="492" customWidth="1"/>
    <col min="4104" max="4104" width="14" style="492" customWidth="1"/>
    <col min="4105" max="4105" width="7.7109375" style="492" customWidth="1"/>
    <col min="4106" max="4106" width="12.140625" style="492" customWidth="1"/>
    <col min="4107" max="4107" width="12" style="492" bestFit="1" customWidth="1"/>
    <col min="4108" max="4352" width="11" style="492"/>
    <col min="4353" max="4353" width="13.42578125" style="492" customWidth="1"/>
    <col min="4354" max="4354" width="21.7109375" style="492" customWidth="1"/>
    <col min="4355" max="4355" width="14.42578125" style="492" customWidth="1"/>
    <col min="4356" max="4356" width="13" style="492" customWidth="1"/>
    <col min="4357" max="4357" width="11.7109375" style="492" customWidth="1"/>
    <col min="4358" max="4358" width="14.7109375" style="492" customWidth="1"/>
    <col min="4359" max="4359" width="11.7109375" style="492" customWidth="1"/>
    <col min="4360" max="4360" width="14" style="492" customWidth="1"/>
    <col min="4361" max="4361" width="7.7109375" style="492" customWidth="1"/>
    <col min="4362" max="4362" width="12.140625" style="492" customWidth="1"/>
    <col min="4363" max="4363" width="12" style="492" bestFit="1" customWidth="1"/>
    <col min="4364" max="4608" width="11" style="492"/>
    <col min="4609" max="4609" width="13.42578125" style="492" customWidth="1"/>
    <col min="4610" max="4610" width="21.7109375" style="492" customWidth="1"/>
    <col min="4611" max="4611" width="14.42578125" style="492" customWidth="1"/>
    <col min="4612" max="4612" width="13" style="492" customWidth="1"/>
    <col min="4613" max="4613" width="11.7109375" style="492" customWidth="1"/>
    <col min="4614" max="4614" width="14.7109375" style="492" customWidth="1"/>
    <col min="4615" max="4615" width="11.7109375" style="492" customWidth="1"/>
    <col min="4616" max="4616" width="14" style="492" customWidth="1"/>
    <col min="4617" max="4617" width="7.7109375" style="492" customWidth="1"/>
    <col min="4618" max="4618" width="12.140625" style="492" customWidth="1"/>
    <col min="4619" max="4619" width="12" style="492" bestFit="1" customWidth="1"/>
    <col min="4620" max="4864" width="11" style="492"/>
    <col min="4865" max="4865" width="13.42578125" style="492" customWidth="1"/>
    <col min="4866" max="4866" width="21.7109375" style="492" customWidth="1"/>
    <col min="4867" max="4867" width="14.42578125" style="492" customWidth="1"/>
    <col min="4868" max="4868" width="13" style="492" customWidth="1"/>
    <col min="4869" max="4869" width="11.7109375" style="492" customWidth="1"/>
    <col min="4870" max="4870" width="14.7109375" style="492" customWidth="1"/>
    <col min="4871" max="4871" width="11.7109375" style="492" customWidth="1"/>
    <col min="4872" max="4872" width="14" style="492" customWidth="1"/>
    <col min="4873" max="4873" width="7.7109375" style="492" customWidth="1"/>
    <col min="4874" max="4874" width="12.140625" style="492" customWidth="1"/>
    <col min="4875" max="4875" width="12" style="492" bestFit="1" customWidth="1"/>
    <col min="4876" max="5120" width="11" style="492"/>
    <col min="5121" max="5121" width="13.42578125" style="492" customWidth="1"/>
    <col min="5122" max="5122" width="21.7109375" style="492" customWidth="1"/>
    <col min="5123" max="5123" width="14.42578125" style="492" customWidth="1"/>
    <col min="5124" max="5124" width="13" style="492" customWidth="1"/>
    <col min="5125" max="5125" width="11.7109375" style="492" customWidth="1"/>
    <col min="5126" max="5126" width="14.7109375" style="492" customWidth="1"/>
    <col min="5127" max="5127" width="11.7109375" style="492" customWidth="1"/>
    <col min="5128" max="5128" width="14" style="492" customWidth="1"/>
    <col min="5129" max="5129" width="7.7109375" style="492" customWidth="1"/>
    <col min="5130" max="5130" width="12.140625" style="492" customWidth="1"/>
    <col min="5131" max="5131" width="12" style="492" bestFit="1" customWidth="1"/>
    <col min="5132" max="5376" width="11" style="492"/>
    <col min="5377" max="5377" width="13.42578125" style="492" customWidth="1"/>
    <col min="5378" max="5378" width="21.7109375" style="492" customWidth="1"/>
    <col min="5379" max="5379" width="14.42578125" style="492" customWidth="1"/>
    <col min="5380" max="5380" width="13" style="492" customWidth="1"/>
    <col min="5381" max="5381" width="11.7109375" style="492" customWidth="1"/>
    <col min="5382" max="5382" width="14.7109375" style="492" customWidth="1"/>
    <col min="5383" max="5383" width="11.7109375" style="492" customWidth="1"/>
    <col min="5384" max="5384" width="14" style="492" customWidth="1"/>
    <col min="5385" max="5385" width="7.7109375" style="492" customWidth="1"/>
    <col min="5386" max="5386" width="12.140625" style="492" customWidth="1"/>
    <col min="5387" max="5387" width="12" style="492" bestFit="1" customWidth="1"/>
    <col min="5388" max="5632" width="11" style="492"/>
    <col min="5633" max="5633" width="13.42578125" style="492" customWidth="1"/>
    <col min="5634" max="5634" width="21.7109375" style="492" customWidth="1"/>
    <col min="5635" max="5635" width="14.42578125" style="492" customWidth="1"/>
    <col min="5636" max="5636" width="13" style="492" customWidth="1"/>
    <col min="5637" max="5637" width="11.7109375" style="492" customWidth="1"/>
    <col min="5638" max="5638" width="14.7109375" style="492" customWidth="1"/>
    <col min="5639" max="5639" width="11.7109375" style="492" customWidth="1"/>
    <col min="5640" max="5640" width="14" style="492" customWidth="1"/>
    <col min="5641" max="5641" width="7.7109375" style="492" customWidth="1"/>
    <col min="5642" max="5642" width="12.140625" style="492" customWidth="1"/>
    <col min="5643" max="5643" width="12" style="492" bestFit="1" customWidth="1"/>
    <col min="5644" max="5888" width="11" style="492"/>
    <col min="5889" max="5889" width="13.42578125" style="492" customWidth="1"/>
    <col min="5890" max="5890" width="21.7109375" style="492" customWidth="1"/>
    <col min="5891" max="5891" width="14.42578125" style="492" customWidth="1"/>
    <col min="5892" max="5892" width="13" style="492" customWidth="1"/>
    <col min="5893" max="5893" width="11.7109375" style="492" customWidth="1"/>
    <col min="5894" max="5894" width="14.7109375" style="492" customWidth="1"/>
    <col min="5895" max="5895" width="11.7109375" style="492" customWidth="1"/>
    <col min="5896" max="5896" width="14" style="492" customWidth="1"/>
    <col min="5897" max="5897" width="7.7109375" style="492" customWidth="1"/>
    <col min="5898" max="5898" width="12.140625" style="492" customWidth="1"/>
    <col min="5899" max="5899" width="12" style="492" bestFit="1" customWidth="1"/>
    <col min="5900" max="6144" width="11" style="492"/>
    <col min="6145" max="6145" width="13.42578125" style="492" customWidth="1"/>
    <col min="6146" max="6146" width="21.7109375" style="492" customWidth="1"/>
    <col min="6147" max="6147" width="14.42578125" style="492" customWidth="1"/>
    <col min="6148" max="6148" width="13" style="492" customWidth="1"/>
    <col min="6149" max="6149" width="11.7109375" style="492" customWidth="1"/>
    <col min="6150" max="6150" width="14.7109375" style="492" customWidth="1"/>
    <col min="6151" max="6151" width="11.7109375" style="492" customWidth="1"/>
    <col min="6152" max="6152" width="14" style="492" customWidth="1"/>
    <col min="6153" max="6153" width="7.7109375" style="492" customWidth="1"/>
    <col min="6154" max="6154" width="12.140625" style="492" customWidth="1"/>
    <col min="6155" max="6155" width="12" style="492" bestFit="1" customWidth="1"/>
    <col min="6156" max="6400" width="11" style="492"/>
    <col min="6401" max="6401" width="13.42578125" style="492" customWidth="1"/>
    <col min="6402" max="6402" width="21.7109375" style="492" customWidth="1"/>
    <col min="6403" max="6403" width="14.42578125" style="492" customWidth="1"/>
    <col min="6404" max="6404" width="13" style="492" customWidth="1"/>
    <col min="6405" max="6405" width="11.7109375" style="492" customWidth="1"/>
    <col min="6406" max="6406" width="14.7109375" style="492" customWidth="1"/>
    <col min="6407" max="6407" width="11.7109375" style="492" customWidth="1"/>
    <col min="6408" max="6408" width="14" style="492" customWidth="1"/>
    <col min="6409" max="6409" width="7.7109375" style="492" customWidth="1"/>
    <col min="6410" max="6410" width="12.140625" style="492" customWidth="1"/>
    <col min="6411" max="6411" width="12" style="492" bestFit="1" customWidth="1"/>
    <col min="6412" max="6656" width="11" style="492"/>
    <col min="6657" max="6657" width="13.42578125" style="492" customWidth="1"/>
    <col min="6658" max="6658" width="21.7109375" style="492" customWidth="1"/>
    <col min="6659" max="6659" width="14.42578125" style="492" customWidth="1"/>
    <col min="6660" max="6660" width="13" style="492" customWidth="1"/>
    <col min="6661" max="6661" width="11.7109375" style="492" customWidth="1"/>
    <col min="6662" max="6662" width="14.7109375" style="492" customWidth="1"/>
    <col min="6663" max="6663" width="11.7109375" style="492" customWidth="1"/>
    <col min="6664" max="6664" width="14" style="492" customWidth="1"/>
    <col min="6665" max="6665" width="7.7109375" style="492" customWidth="1"/>
    <col min="6666" max="6666" width="12.140625" style="492" customWidth="1"/>
    <col min="6667" max="6667" width="12" style="492" bestFit="1" customWidth="1"/>
    <col min="6668" max="6912" width="11" style="492"/>
    <col min="6913" max="6913" width="13.42578125" style="492" customWidth="1"/>
    <col min="6914" max="6914" width="21.7109375" style="492" customWidth="1"/>
    <col min="6915" max="6915" width="14.42578125" style="492" customWidth="1"/>
    <col min="6916" max="6916" width="13" style="492" customWidth="1"/>
    <col min="6917" max="6917" width="11.7109375" style="492" customWidth="1"/>
    <col min="6918" max="6918" width="14.7109375" style="492" customWidth="1"/>
    <col min="6919" max="6919" width="11.7109375" style="492" customWidth="1"/>
    <col min="6920" max="6920" width="14" style="492" customWidth="1"/>
    <col min="6921" max="6921" width="7.7109375" style="492" customWidth="1"/>
    <col min="6922" max="6922" width="12.140625" style="492" customWidth="1"/>
    <col min="6923" max="6923" width="12" style="492" bestFit="1" customWidth="1"/>
    <col min="6924" max="7168" width="11" style="492"/>
    <col min="7169" max="7169" width="13.42578125" style="492" customWidth="1"/>
    <col min="7170" max="7170" width="21.7109375" style="492" customWidth="1"/>
    <col min="7171" max="7171" width="14.42578125" style="492" customWidth="1"/>
    <col min="7172" max="7172" width="13" style="492" customWidth="1"/>
    <col min="7173" max="7173" width="11.7109375" style="492" customWidth="1"/>
    <col min="7174" max="7174" width="14.7109375" style="492" customWidth="1"/>
    <col min="7175" max="7175" width="11.7109375" style="492" customWidth="1"/>
    <col min="7176" max="7176" width="14" style="492" customWidth="1"/>
    <col min="7177" max="7177" width="7.7109375" style="492" customWidth="1"/>
    <col min="7178" max="7178" width="12.140625" style="492" customWidth="1"/>
    <col min="7179" max="7179" width="12" style="492" bestFit="1" customWidth="1"/>
    <col min="7180" max="7424" width="11" style="492"/>
    <col min="7425" max="7425" width="13.42578125" style="492" customWidth="1"/>
    <col min="7426" max="7426" width="21.7109375" style="492" customWidth="1"/>
    <col min="7427" max="7427" width="14.42578125" style="492" customWidth="1"/>
    <col min="7428" max="7428" width="13" style="492" customWidth="1"/>
    <col min="7429" max="7429" width="11.7109375" style="492" customWidth="1"/>
    <col min="7430" max="7430" width="14.7109375" style="492" customWidth="1"/>
    <col min="7431" max="7431" width="11.7109375" style="492" customWidth="1"/>
    <col min="7432" max="7432" width="14" style="492" customWidth="1"/>
    <col min="7433" max="7433" width="7.7109375" style="492" customWidth="1"/>
    <col min="7434" max="7434" width="12.140625" style="492" customWidth="1"/>
    <col min="7435" max="7435" width="12" style="492" bestFit="1" customWidth="1"/>
    <col min="7436" max="7680" width="11" style="492"/>
    <col min="7681" max="7681" width="13.42578125" style="492" customWidth="1"/>
    <col min="7682" max="7682" width="21.7109375" style="492" customWidth="1"/>
    <col min="7683" max="7683" width="14.42578125" style="492" customWidth="1"/>
    <col min="7684" max="7684" width="13" style="492" customWidth="1"/>
    <col min="7685" max="7685" width="11.7109375" style="492" customWidth="1"/>
    <col min="7686" max="7686" width="14.7109375" style="492" customWidth="1"/>
    <col min="7687" max="7687" width="11.7109375" style="492" customWidth="1"/>
    <col min="7688" max="7688" width="14" style="492" customWidth="1"/>
    <col min="7689" max="7689" width="7.7109375" style="492" customWidth="1"/>
    <col min="7690" max="7690" width="12.140625" style="492" customWidth="1"/>
    <col min="7691" max="7691" width="12" style="492" bestFit="1" customWidth="1"/>
    <col min="7692" max="7936" width="11" style="492"/>
    <col min="7937" max="7937" width="13.42578125" style="492" customWidth="1"/>
    <col min="7938" max="7938" width="21.7109375" style="492" customWidth="1"/>
    <col min="7939" max="7939" width="14.42578125" style="492" customWidth="1"/>
    <col min="7940" max="7940" width="13" style="492" customWidth="1"/>
    <col min="7941" max="7941" width="11.7109375" style="492" customWidth="1"/>
    <col min="7942" max="7942" width="14.7109375" style="492" customWidth="1"/>
    <col min="7943" max="7943" width="11.7109375" style="492" customWidth="1"/>
    <col min="7944" max="7944" width="14" style="492" customWidth="1"/>
    <col min="7945" max="7945" width="7.7109375" style="492" customWidth="1"/>
    <col min="7946" max="7946" width="12.140625" style="492" customWidth="1"/>
    <col min="7947" max="7947" width="12" style="492" bestFit="1" customWidth="1"/>
    <col min="7948" max="8192" width="11" style="492"/>
    <col min="8193" max="8193" width="13.42578125" style="492" customWidth="1"/>
    <col min="8194" max="8194" width="21.7109375" style="492" customWidth="1"/>
    <col min="8195" max="8195" width="14.42578125" style="492" customWidth="1"/>
    <col min="8196" max="8196" width="13" style="492" customWidth="1"/>
    <col min="8197" max="8197" width="11.7109375" style="492" customWidth="1"/>
    <col min="8198" max="8198" width="14.7109375" style="492" customWidth="1"/>
    <col min="8199" max="8199" width="11.7109375" style="492" customWidth="1"/>
    <col min="8200" max="8200" width="14" style="492" customWidth="1"/>
    <col min="8201" max="8201" width="7.7109375" style="492" customWidth="1"/>
    <col min="8202" max="8202" width="12.140625" style="492" customWidth="1"/>
    <col min="8203" max="8203" width="12" style="492" bestFit="1" customWidth="1"/>
    <col min="8204" max="8448" width="11" style="492"/>
    <col min="8449" max="8449" width="13.42578125" style="492" customWidth="1"/>
    <col min="8450" max="8450" width="21.7109375" style="492" customWidth="1"/>
    <col min="8451" max="8451" width="14.42578125" style="492" customWidth="1"/>
    <col min="8452" max="8452" width="13" style="492" customWidth="1"/>
    <col min="8453" max="8453" width="11.7109375" style="492" customWidth="1"/>
    <col min="8454" max="8454" width="14.7109375" style="492" customWidth="1"/>
    <col min="8455" max="8455" width="11.7109375" style="492" customWidth="1"/>
    <col min="8456" max="8456" width="14" style="492" customWidth="1"/>
    <col min="8457" max="8457" width="7.7109375" style="492" customWidth="1"/>
    <col min="8458" max="8458" width="12.140625" style="492" customWidth="1"/>
    <col min="8459" max="8459" width="12" style="492" bestFit="1" customWidth="1"/>
    <col min="8460" max="8704" width="11" style="492"/>
    <col min="8705" max="8705" width="13.42578125" style="492" customWidth="1"/>
    <col min="8706" max="8706" width="21.7109375" style="492" customWidth="1"/>
    <col min="8707" max="8707" width="14.42578125" style="492" customWidth="1"/>
    <col min="8708" max="8708" width="13" style="492" customWidth="1"/>
    <col min="8709" max="8709" width="11.7109375" style="492" customWidth="1"/>
    <col min="8710" max="8710" width="14.7109375" style="492" customWidth="1"/>
    <col min="8711" max="8711" width="11.7109375" style="492" customWidth="1"/>
    <col min="8712" max="8712" width="14" style="492" customWidth="1"/>
    <col min="8713" max="8713" width="7.7109375" style="492" customWidth="1"/>
    <col min="8714" max="8714" width="12.140625" style="492" customWidth="1"/>
    <col min="8715" max="8715" width="12" style="492" bestFit="1" customWidth="1"/>
    <col min="8716" max="8960" width="11" style="492"/>
    <col min="8961" max="8961" width="13.42578125" style="492" customWidth="1"/>
    <col min="8962" max="8962" width="21.7109375" style="492" customWidth="1"/>
    <col min="8963" max="8963" width="14.42578125" style="492" customWidth="1"/>
    <col min="8964" max="8964" width="13" style="492" customWidth="1"/>
    <col min="8965" max="8965" width="11.7109375" style="492" customWidth="1"/>
    <col min="8966" max="8966" width="14.7109375" style="492" customWidth="1"/>
    <col min="8967" max="8967" width="11.7109375" style="492" customWidth="1"/>
    <col min="8968" max="8968" width="14" style="492" customWidth="1"/>
    <col min="8969" max="8969" width="7.7109375" style="492" customWidth="1"/>
    <col min="8970" max="8970" width="12.140625" style="492" customWidth="1"/>
    <col min="8971" max="8971" width="12" style="492" bestFit="1" customWidth="1"/>
    <col min="8972" max="9216" width="11" style="492"/>
    <col min="9217" max="9217" width="13.42578125" style="492" customWidth="1"/>
    <col min="9218" max="9218" width="21.7109375" style="492" customWidth="1"/>
    <col min="9219" max="9219" width="14.42578125" style="492" customWidth="1"/>
    <col min="9220" max="9220" width="13" style="492" customWidth="1"/>
    <col min="9221" max="9221" width="11.7109375" style="492" customWidth="1"/>
    <col min="9222" max="9222" width="14.7109375" style="492" customWidth="1"/>
    <col min="9223" max="9223" width="11.7109375" style="492" customWidth="1"/>
    <col min="9224" max="9224" width="14" style="492" customWidth="1"/>
    <col min="9225" max="9225" width="7.7109375" style="492" customWidth="1"/>
    <col min="9226" max="9226" width="12.140625" style="492" customWidth="1"/>
    <col min="9227" max="9227" width="12" style="492" bestFit="1" customWidth="1"/>
    <col min="9228" max="9472" width="11" style="492"/>
    <col min="9473" max="9473" width="13.42578125" style="492" customWidth="1"/>
    <col min="9474" max="9474" width="21.7109375" style="492" customWidth="1"/>
    <col min="9475" max="9475" width="14.42578125" style="492" customWidth="1"/>
    <col min="9476" max="9476" width="13" style="492" customWidth="1"/>
    <col min="9477" max="9477" width="11.7109375" style="492" customWidth="1"/>
    <col min="9478" max="9478" width="14.7109375" style="492" customWidth="1"/>
    <col min="9479" max="9479" width="11.7109375" style="492" customWidth="1"/>
    <col min="9480" max="9480" width="14" style="492" customWidth="1"/>
    <col min="9481" max="9481" width="7.7109375" style="492" customWidth="1"/>
    <col min="9482" max="9482" width="12.140625" style="492" customWidth="1"/>
    <col min="9483" max="9483" width="12" style="492" bestFit="1" customWidth="1"/>
    <col min="9484" max="9728" width="11" style="492"/>
    <col min="9729" max="9729" width="13.42578125" style="492" customWidth="1"/>
    <col min="9730" max="9730" width="21.7109375" style="492" customWidth="1"/>
    <col min="9731" max="9731" width="14.42578125" style="492" customWidth="1"/>
    <col min="9732" max="9732" width="13" style="492" customWidth="1"/>
    <col min="9733" max="9733" width="11.7109375" style="492" customWidth="1"/>
    <col min="9734" max="9734" width="14.7109375" style="492" customWidth="1"/>
    <col min="9735" max="9735" width="11.7109375" style="492" customWidth="1"/>
    <col min="9736" max="9736" width="14" style="492" customWidth="1"/>
    <col min="9737" max="9737" width="7.7109375" style="492" customWidth="1"/>
    <col min="9738" max="9738" width="12.140625" style="492" customWidth="1"/>
    <col min="9739" max="9739" width="12" style="492" bestFit="1" customWidth="1"/>
    <col min="9740" max="9984" width="11" style="492"/>
    <col min="9985" max="9985" width="13.42578125" style="492" customWidth="1"/>
    <col min="9986" max="9986" width="21.7109375" style="492" customWidth="1"/>
    <col min="9987" max="9987" width="14.42578125" style="492" customWidth="1"/>
    <col min="9988" max="9988" width="13" style="492" customWidth="1"/>
    <col min="9989" max="9989" width="11.7109375" style="492" customWidth="1"/>
    <col min="9990" max="9990" width="14.7109375" style="492" customWidth="1"/>
    <col min="9991" max="9991" width="11.7109375" style="492" customWidth="1"/>
    <col min="9992" max="9992" width="14" style="492" customWidth="1"/>
    <col min="9993" max="9993" width="7.7109375" style="492" customWidth="1"/>
    <col min="9994" max="9994" width="12.140625" style="492" customWidth="1"/>
    <col min="9995" max="9995" width="12" style="492" bestFit="1" customWidth="1"/>
    <col min="9996" max="10240" width="11" style="492"/>
    <col min="10241" max="10241" width="13.42578125" style="492" customWidth="1"/>
    <col min="10242" max="10242" width="21.7109375" style="492" customWidth="1"/>
    <col min="10243" max="10243" width="14.42578125" style="492" customWidth="1"/>
    <col min="10244" max="10244" width="13" style="492" customWidth="1"/>
    <col min="10245" max="10245" width="11.7109375" style="492" customWidth="1"/>
    <col min="10246" max="10246" width="14.7109375" style="492" customWidth="1"/>
    <col min="10247" max="10247" width="11.7109375" style="492" customWidth="1"/>
    <col min="10248" max="10248" width="14" style="492" customWidth="1"/>
    <col min="10249" max="10249" width="7.7109375" style="492" customWidth="1"/>
    <col min="10250" max="10250" width="12.140625" style="492" customWidth="1"/>
    <col min="10251" max="10251" width="12" style="492" bestFit="1" customWidth="1"/>
    <col min="10252" max="10496" width="11" style="492"/>
    <col min="10497" max="10497" width="13.42578125" style="492" customWidth="1"/>
    <col min="10498" max="10498" width="21.7109375" style="492" customWidth="1"/>
    <col min="10499" max="10499" width="14.42578125" style="492" customWidth="1"/>
    <col min="10500" max="10500" width="13" style="492" customWidth="1"/>
    <col min="10501" max="10501" width="11.7109375" style="492" customWidth="1"/>
    <col min="10502" max="10502" width="14.7109375" style="492" customWidth="1"/>
    <col min="10503" max="10503" width="11.7109375" style="492" customWidth="1"/>
    <col min="10504" max="10504" width="14" style="492" customWidth="1"/>
    <col min="10505" max="10505" width="7.7109375" style="492" customWidth="1"/>
    <col min="10506" max="10506" width="12.140625" style="492" customWidth="1"/>
    <col min="10507" max="10507" width="12" style="492" bestFit="1" customWidth="1"/>
    <col min="10508" max="10752" width="11" style="492"/>
    <col min="10753" max="10753" width="13.42578125" style="492" customWidth="1"/>
    <col min="10754" max="10754" width="21.7109375" style="492" customWidth="1"/>
    <col min="10755" max="10755" width="14.42578125" style="492" customWidth="1"/>
    <col min="10756" max="10756" width="13" style="492" customWidth="1"/>
    <col min="10757" max="10757" width="11.7109375" style="492" customWidth="1"/>
    <col min="10758" max="10758" width="14.7109375" style="492" customWidth="1"/>
    <col min="10759" max="10759" width="11.7109375" style="492" customWidth="1"/>
    <col min="10760" max="10760" width="14" style="492" customWidth="1"/>
    <col min="10761" max="10761" width="7.7109375" style="492" customWidth="1"/>
    <col min="10762" max="10762" width="12.140625" style="492" customWidth="1"/>
    <col min="10763" max="10763" width="12" style="492" bestFit="1" customWidth="1"/>
    <col min="10764" max="11008" width="11" style="492"/>
    <col min="11009" max="11009" width="13.42578125" style="492" customWidth="1"/>
    <col min="11010" max="11010" width="21.7109375" style="492" customWidth="1"/>
    <col min="11011" max="11011" width="14.42578125" style="492" customWidth="1"/>
    <col min="11012" max="11012" width="13" style="492" customWidth="1"/>
    <col min="11013" max="11013" width="11.7109375" style="492" customWidth="1"/>
    <col min="11014" max="11014" width="14.7109375" style="492" customWidth="1"/>
    <col min="11015" max="11015" width="11.7109375" style="492" customWidth="1"/>
    <col min="11016" max="11016" width="14" style="492" customWidth="1"/>
    <col min="11017" max="11017" width="7.7109375" style="492" customWidth="1"/>
    <col min="11018" max="11018" width="12.140625" style="492" customWidth="1"/>
    <col min="11019" max="11019" width="12" style="492" bestFit="1" customWidth="1"/>
    <col min="11020" max="11264" width="11" style="492"/>
    <col min="11265" max="11265" width="13.42578125" style="492" customWidth="1"/>
    <col min="11266" max="11266" width="21.7109375" style="492" customWidth="1"/>
    <col min="11267" max="11267" width="14.42578125" style="492" customWidth="1"/>
    <col min="11268" max="11268" width="13" style="492" customWidth="1"/>
    <col min="11269" max="11269" width="11.7109375" style="492" customWidth="1"/>
    <col min="11270" max="11270" width="14.7109375" style="492" customWidth="1"/>
    <col min="11271" max="11271" width="11.7109375" style="492" customWidth="1"/>
    <col min="11272" max="11272" width="14" style="492" customWidth="1"/>
    <col min="11273" max="11273" width="7.7109375" style="492" customWidth="1"/>
    <col min="11274" max="11274" width="12.140625" style="492" customWidth="1"/>
    <col min="11275" max="11275" width="12" style="492" bestFit="1" customWidth="1"/>
    <col min="11276" max="11520" width="11" style="492"/>
    <col min="11521" max="11521" width="13.42578125" style="492" customWidth="1"/>
    <col min="11522" max="11522" width="21.7109375" style="492" customWidth="1"/>
    <col min="11523" max="11523" width="14.42578125" style="492" customWidth="1"/>
    <col min="11524" max="11524" width="13" style="492" customWidth="1"/>
    <col min="11525" max="11525" width="11.7109375" style="492" customWidth="1"/>
    <col min="11526" max="11526" width="14.7109375" style="492" customWidth="1"/>
    <col min="11527" max="11527" width="11.7109375" style="492" customWidth="1"/>
    <col min="11528" max="11528" width="14" style="492" customWidth="1"/>
    <col min="11529" max="11529" width="7.7109375" style="492" customWidth="1"/>
    <col min="11530" max="11530" width="12.140625" style="492" customWidth="1"/>
    <col min="11531" max="11531" width="12" style="492" bestFit="1" customWidth="1"/>
    <col min="11532" max="11776" width="11" style="492"/>
    <col min="11777" max="11777" width="13.42578125" style="492" customWidth="1"/>
    <col min="11778" max="11778" width="21.7109375" style="492" customWidth="1"/>
    <col min="11779" max="11779" width="14.42578125" style="492" customWidth="1"/>
    <col min="11780" max="11780" width="13" style="492" customWidth="1"/>
    <col min="11781" max="11781" width="11.7109375" style="492" customWidth="1"/>
    <col min="11782" max="11782" width="14.7109375" style="492" customWidth="1"/>
    <col min="11783" max="11783" width="11.7109375" style="492" customWidth="1"/>
    <col min="11784" max="11784" width="14" style="492" customWidth="1"/>
    <col min="11785" max="11785" width="7.7109375" style="492" customWidth="1"/>
    <col min="11786" max="11786" width="12.140625" style="492" customWidth="1"/>
    <col min="11787" max="11787" width="12" style="492" bestFit="1" customWidth="1"/>
    <col min="11788" max="12032" width="11" style="492"/>
    <col min="12033" max="12033" width="13.42578125" style="492" customWidth="1"/>
    <col min="12034" max="12034" width="21.7109375" style="492" customWidth="1"/>
    <col min="12035" max="12035" width="14.42578125" style="492" customWidth="1"/>
    <col min="12036" max="12036" width="13" style="492" customWidth="1"/>
    <col min="12037" max="12037" width="11.7109375" style="492" customWidth="1"/>
    <col min="12038" max="12038" width="14.7109375" style="492" customWidth="1"/>
    <col min="12039" max="12039" width="11.7109375" style="492" customWidth="1"/>
    <col min="12040" max="12040" width="14" style="492" customWidth="1"/>
    <col min="12041" max="12041" width="7.7109375" style="492" customWidth="1"/>
    <col min="12042" max="12042" width="12.140625" style="492" customWidth="1"/>
    <col min="12043" max="12043" width="12" style="492" bestFit="1" customWidth="1"/>
    <col min="12044" max="12288" width="11" style="492"/>
    <col min="12289" max="12289" width="13.42578125" style="492" customWidth="1"/>
    <col min="12290" max="12290" width="21.7109375" style="492" customWidth="1"/>
    <col min="12291" max="12291" width="14.42578125" style="492" customWidth="1"/>
    <col min="12292" max="12292" width="13" style="492" customWidth="1"/>
    <col min="12293" max="12293" width="11.7109375" style="492" customWidth="1"/>
    <col min="12294" max="12294" width="14.7109375" style="492" customWidth="1"/>
    <col min="12295" max="12295" width="11.7109375" style="492" customWidth="1"/>
    <col min="12296" max="12296" width="14" style="492" customWidth="1"/>
    <col min="12297" max="12297" width="7.7109375" style="492" customWidth="1"/>
    <col min="12298" max="12298" width="12.140625" style="492" customWidth="1"/>
    <col min="12299" max="12299" width="12" style="492" bestFit="1" customWidth="1"/>
    <col min="12300" max="12544" width="11" style="492"/>
    <col min="12545" max="12545" width="13.42578125" style="492" customWidth="1"/>
    <col min="12546" max="12546" width="21.7109375" style="492" customWidth="1"/>
    <col min="12547" max="12547" width="14.42578125" style="492" customWidth="1"/>
    <col min="12548" max="12548" width="13" style="492" customWidth="1"/>
    <col min="12549" max="12549" width="11.7109375" style="492" customWidth="1"/>
    <col min="12550" max="12550" width="14.7109375" style="492" customWidth="1"/>
    <col min="12551" max="12551" width="11.7109375" style="492" customWidth="1"/>
    <col min="12552" max="12552" width="14" style="492" customWidth="1"/>
    <col min="12553" max="12553" width="7.7109375" style="492" customWidth="1"/>
    <col min="12554" max="12554" width="12.140625" style="492" customWidth="1"/>
    <col min="12555" max="12555" width="12" style="492" bestFit="1" customWidth="1"/>
    <col min="12556" max="12800" width="11" style="492"/>
    <col min="12801" max="12801" width="13.42578125" style="492" customWidth="1"/>
    <col min="12802" max="12802" width="21.7109375" style="492" customWidth="1"/>
    <col min="12803" max="12803" width="14.42578125" style="492" customWidth="1"/>
    <col min="12804" max="12804" width="13" style="492" customWidth="1"/>
    <col min="12805" max="12805" width="11.7109375" style="492" customWidth="1"/>
    <col min="12806" max="12806" width="14.7109375" style="492" customWidth="1"/>
    <col min="12807" max="12807" width="11.7109375" style="492" customWidth="1"/>
    <col min="12808" max="12808" width="14" style="492" customWidth="1"/>
    <col min="12809" max="12809" width="7.7109375" style="492" customWidth="1"/>
    <col min="12810" max="12810" width="12.140625" style="492" customWidth="1"/>
    <col min="12811" max="12811" width="12" style="492" bestFit="1" customWidth="1"/>
    <col min="12812" max="13056" width="11" style="492"/>
    <col min="13057" max="13057" width="13.42578125" style="492" customWidth="1"/>
    <col min="13058" max="13058" width="21.7109375" style="492" customWidth="1"/>
    <col min="13059" max="13059" width="14.42578125" style="492" customWidth="1"/>
    <col min="13060" max="13060" width="13" style="492" customWidth="1"/>
    <col min="13061" max="13061" width="11.7109375" style="492" customWidth="1"/>
    <col min="13062" max="13062" width="14.7109375" style="492" customWidth="1"/>
    <col min="13063" max="13063" width="11.7109375" style="492" customWidth="1"/>
    <col min="13064" max="13064" width="14" style="492" customWidth="1"/>
    <col min="13065" max="13065" width="7.7109375" style="492" customWidth="1"/>
    <col min="13066" max="13066" width="12.140625" style="492" customWidth="1"/>
    <col min="13067" max="13067" width="12" style="492" bestFit="1" customWidth="1"/>
    <col min="13068" max="13312" width="11" style="492"/>
    <col min="13313" max="13313" width="13.42578125" style="492" customWidth="1"/>
    <col min="13314" max="13314" width="21.7109375" style="492" customWidth="1"/>
    <col min="13315" max="13315" width="14.42578125" style="492" customWidth="1"/>
    <col min="13316" max="13316" width="13" style="492" customWidth="1"/>
    <col min="13317" max="13317" width="11.7109375" style="492" customWidth="1"/>
    <col min="13318" max="13318" width="14.7109375" style="492" customWidth="1"/>
    <col min="13319" max="13319" width="11.7109375" style="492" customWidth="1"/>
    <col min="13320" max="13320" width="14" style="492" customWidth="1"/>
    <col min="13321" max="13321" width="7.7109375" style="492" customWidth="1"/>
    <col min="13322" max="13322" width="12.140625" style="492" customWidth="1"/>
    <col min="13323" max="13323" width="12" style="492" bestFit="1" customWidth="1"/>
    <col min="13324" max="13568" width="11" style="492"/>
    <col min="13569" max="13569" width="13.42578125" style="492" customWidth="1"/>
    <col min="13570" max="13570" width="21.7109375" style="492" customWidth="1"/>
    <col min="13571" max="13571" width="14.42578125" style="492" customWidth="1"/>
    <col min="13572" max="13572" width="13" style="492" customWidth="1"/>
    <col min="13573" max="13573" width="11.7109375" style="492" customWidth="1"/>
    <col min="13574" max="13574" width="14.7109375" style="492" customWidth="1"/>
    <col min="13575" max="13575" width="11.7109375" style="492" customWidth="1"/>
    <col min="13576" max="13576" width="14" style="492" customWidth="1"/>
    <col min="13577" max="13577" width="7.7109375" style="492" customWidth="1"/>
    <col min="13578" max="13578" width="12.140625" style="492" customWidth="1"/>
    <col min="13579" max="13579" width="12" style="492" bestFit="1" customWidth="1"/>
    <col min="13580" max="13824" width="11" style="492"/>
    <col min="13825" max="13825" width="13.42578125" style="492" customWidth="1"/>
    <col min="13826" max="13826" width="21.7109375" style="492" customWidth="1"/>
    <col min="13827" max="13827" width="14.42578125" style="492" customWidth="1"/>
    <col min="13828" max="13828" width="13" style="492" customWidth="1"/>
    <col min="13829" max="13829" width="11.7109375" style="492" customWidth="1"/>
    <col min="13830" max="13830" width="14.7109375" style="492" customWidth="1"/>
    <col min="13831" max="13831" width="11.7109375" style="492" customWidth="1"/>
    <col min="13832" max="13832" width="14" style="492" customWidth="1"/>
    <col min="13833" max="13833" width="7.7109375" style="492" customWidth="1"/>
    <col min="13834" max="13834" width="12.140625" style="492" customWidth="1"/>
    <col min="13835" max="13835" width="12" style="492" bestFit="1" customWidth="1"/>
    <col min="13836" max="14080" width="11" style="492"/>
    <col min="14081" max="14081" width="13.42578125" style="492" customWidth="1"/>
    <col min="14082" max="14082" width="21.7109375" style="492" customWidth="1"/>
    <col min="14083" max="14083" width="14.42578125" style="492" customWidth="1"/>
    <col min="14084" max="14084" width="13" style="492" customWidth="1"/>
    <col min="14085" max="14085" width="11.7109375" style="492" customWidth="1"/>
    <col min="14086" max="14086" width="14.7109375" style="492" customWidth="1"/>
    <col min="14087" max="14087" width="11.7109375" style="492" customWidth="1"/>
    <col min="14088" max="14088" width="14" style="492" customWidth="1"/>
    <col min="14089" max="14089" width="7.7109375" style="492" customWidth="1"/>
    <col min="14090" max="14090" width="12.140625" style="492" customWidth="1"/>
    <col min="14091" max="14091" width="12" style="492" bestFit="1" customWidth="1"/>
    <col min="14092" max="14336" width="11" style="492"/>
    <col min="14337" max="14337" width="13.42578125" style="492" customWidth="1"/>
    <col min="14338" max="14338" width="21.7109375" style="492" customWidth="1"/>
    <col min="14339" max="14339" width="14.42578125" style="492" customWidth="1"/>
    <col min="14340" max="14340" width="13" style="492" customWidth="1"/>
    <col min="14341" max="14341" width="11.7109375" style="492" customWidth="1"/>
    <col min="14342" max="14342" width="14.7109375" style="492" customWidth="1"/>
    <col min="14343" max="14343" width="11.7109375" style="492" customWidth="1"/>
    <col min="14344" max="14344" width="14" style="492" customWidth="1"/>
    <col min="14345" max="14345" width="7.7109375" style="492" customWidth="1"/>
    <col min="14346" max="14346" width="12.140625" style="492" customWidth="1"/>
    <col min="14347" max="14347" width="12" style="492" bestFit="1" customWidth="1"/>
    <col min="14348" max="14592" width="11" style="492"/>
    <col min="14593" max="14593" width="13.42578125" style="492" customWidth="1"/>
    <col min="14594" max="14594" width="21.7109375" style="492" customWidth="1"/>
    <col min="14595" max="14595" width="14.42578125" style="492" customWidth="1"/>
    <col min="14596" max="14596" width="13" style="492" customWidth="1"/>
    <col min="14597" max="14597" width="11.7109375" style="492" customWidth="1"/>
    <col min="14598" max="14598" width="14.7109375" style="492" customWidth="1"/>
    <col min="14599" max="14599" width="11.7109375" style="492" customWidth="1"/>
    <col min="14600" max="14600" width="14" style="492" customWidth="1"/>
    <col min="14601" max="14601" width="7.7109375" style="492" customWidth="1"/>
    <col min="14602" max="14602" width="12.140625" style="492" customWidth="1"/>
    <col min="14603" max="14603" width="12" style="492" bestFit="1" customWidth="1"/>
    <col min="14604" max="14848" width="11" style="492"/>
    <col min="14849" max="14849" width="13.42578125" style="492" customWidth="1"/>
    <col min="14850" max="14850" width="21.7109375" style="492" customWidth="1"/>
    <col min="14851" max="14851" width="14.42578125" style="492" customWidth="1"/>
    <col min="14852" max="14852" width="13" style="492" customWidth="1"/>
    <col min="14853" max="14853" width="11.7109375" style="492" customWidth="1"/>
    <col min="14854" max="14854" width="14.7109375" style="492" customWidth="1"/>
    <col min="14855" max="14855" width="11.7109375" style="492" customWidth="1"/>
    <col min="14856" max="14856" width="14" style="492" customWidth="1"/>
    <col min="14857" max="14857" width="7.7109375" style="492" customWidth="1"/>
    <col min="14858" max="14858" width="12.140625" style="492" customWidth="1"/>
    <col min="14859" max="14859" width="12" style="492" bestFit="1" customWidth="1"/>
    <col min="14860" max="15104" width="11" style="492"/>
    <col min="15105" max="15105" width="13.42578125" style="492" customWidth="1"/>
    <col min="15106" max="15106" width="21.7109375" style="492" customWidth="1"/>
    <col min="15107" max="15107" width="14.42578125" style="492" customWidth="1"/>
    <col min="15108" max="15108" width="13" style="492" customWidth="1"/>
    <col min="15109" max="15109" width="11.7109375" style="492" customWidth="1"/>
    <col min="15110" max="15110" width="14.7109375" style="492" customWidth="1"/>
    <col min="15111" max="15111" width="11.7109375" style="492" customWidth="1"/>
    <col min="15112" max="15112" width="14" style="492" customWidth="1"/>
    <col min="15113" max="15113" width="7.7109375" style="492" customWidth="1"/>
    <col min="15114" max="15114" width="12.140625" style="492" customWidth="1"/>
    <col min="15115" max="15115" width="12" style="492" bestFit="1" customWidth="1"/>
    <col min="15116" max="15360" width="11" style="492"/>
    <col min="15361" max="15361" width="13.42578125" style="492" customWidth="1"/>
    <col min="15362" max="15362" width="21.7109375" style="492" customWidth="1"/>
    <col min="15363" max="15363" width="14.42578125" style="492" customWidth="1"/>
    <col min="15364" max="15364" width="13" style="492" customWidth="1"/>
    <col min="15365" max="15365" width="11.7109375" style="492" customWidth="1"/>
    <col min="15366" max="15366" width="14.7109375" style="492" customWidth="1"/>
    <col min="15367" max="15367" width="11.7109375" style="492" customWidth="1"/>
    <col min="15368" max="15368" width="14" style="492" customWidth="1"/>
    <col min="15369" max="15369" width="7.7109375" style="492" customWidth="1"/>
    <col min="15370" max="15370" width="12.140625" style="492" customWidth="1"/>
    <col min="15371" max="15371" width="12" style="492" bestFit="1" customWidth="1"/>
    <col min="15372" max="15616" width="11" style="492"/>
    <col min="15617" max="15617" width="13.42578125" style="492" customWidth="1"/>
    <col min="15618" max="15618" width="21.7109375" style="492" customWidth="1"/>
    <col min="15619" max="15619" width="14.42578125" style="492" customWidth="1"/>
    <col min="15620" max="15620" width="13" style="492" customWidth="1"/>
    <col min="15621" max="15621" width="11.7109375" style="492" customWidth="1"/>
    <col min="15622" max="15622" width="14.7109375" style="492" customWidth="1"/>
    <col min="15623" max="15623" width="11.7109375" style="492" customWidth="1"/>
    <col min="15624" max="15624" width="14" style="492" customWidth="1"/>
    <col min="15625" max="15625" width="7.7109375" style="492" customWidth="1"/>
    <col min="15626" max="15626" width="12.140625" style="492" customWidth="1"/>
    <col min="15627" max="15627" width="12" style="492" bestFit="1" customWidth="1"/>
    <col min="15628" max="15872" width="11" style="492"/>
    <col min="15873" max="15873" width="13.42578125" style="492" customWidth="1"/>
    <col min="15874" max="15874" width="21.7109375" style="492" customWidth="1"/>
    <col min="15875" max="15875" width="14.42578125" style="492" customWidth="1"/>
    <col min="15876" max="15876" width="13" style="492" customWidth="1"/>
    <col min="15877" max="15877" width="11.7109375" style="492" customWidth="1"/>
    <col min="15878" max="15878" width="14.7109375" style="492" customWidth="1"/>
    <col min="15879" max="15879" width="11.7109375" style="492" customWidth="1"/>
    <col min="15880" max="15880" width="14" style="492" customWidth="1"/>
    <col min="15881" max="15881" width="7.7109375" style="492" customWidth="1"/>
    <col min="15882" max="15882" width="12.140625" style="492" customWidth="1"/>
    <col min="15883" max="15883" width="12" style="492" bestFit="1" customWidth="1"/>
    <col min="15884" max="16128" width="11" style="492"/>
    <col min="16129" max="16129" width="13.42578125" style="492" customWidth="1"/>
    <col min="16130" max="16130" width="21.7109375" style="492" customWidth="1"/>
    <col min="16131" max="16131" width="14.42578125" style="492" customWidth="1"/>
    <col min="16132" max="16132" width="13" style="492" customWidth="1"/>
    <col min="16133" max="16133" width="11.7109375" style="492" customWidth="1"/>
    <col min="16134" max="16134" width="14.7109375" style="492" customWidth="1"/>
    <col min="16135" max="16135" width="11.7109375" style="492" customWidth="1"/>
    <col min="16136" max="16136" width="14" style="492" customWidth="1"/>
    <col min="16137" max="16137" width="7.7109375" style="492" customWidth="1"/>
    <col min="16138" max="16138" width="12.140625" style="492" customWidth="1"/>
    <col min="16139" max="16139" width="12" style="492" bestFit="1" customWidth="1"/>
    <col min="16140" max="16384" width="11" style="492"/>
  </cols>
  <sheetData>
    <row r="2" spans="2:11" ht="12.75" customHeight="1">
      <c r="B2" s="491"/>
      <c r="C2" s="491"/>
      <c r="D2" s="491"/>
      <c r="E2" s="491"/>
      <c r="F2" s="491"/>
      <c r="G2" s="491"/>
      <c r="H2" s="491"/>
      <c r="I2" s="491"/>
      <c r="J2" s="779"/>
      <c r="K2" s="779"/>
    </row>
    <row r="3" spans="2:11" ht="12.75" customHeight="1">
      <c r="B3" s="491"/>
      <c r="C3" s="491"/>
      <c r="D3" s="491"/>
      <c r="E3" s="491"/>
      <c r="F3" s="491"/>
      <c r="G3" s="491"/>
      <c r="H3" s="915" t="s">
        <v>724</v>
      </c>
      <c r="I3" s="915"/>
      <c r="J3" s="779"/>
      <c r="K3" s="779"/>
    </row>
    <row r="4" spans="2:11" ht="17.45" customHeight="1">
      <c r="B4" s="491"/>
      <c r="C4" s="491"/>
      <c r="D4" s="491"/>
      <c r="E4" s="491"/>
      <c r="F4" s="491"/>
      <c r="G4" s="491"/>
      <c r="H4" s="915"/>
      <c r="I4" s="915"/>
      <c r="J4" s="779"/>
      <c r="K4" s="779"/>
    </row>
    <row r="5" spans="2:11">
      <c r="B5" s="491"/>
      <c r="C5" s="491"/>
      <c r="D5" s="491"/>
      <c r="E5" s="491"/>
      <c r="F5" s="491"/>
      <c r="G5" s="491"/>
      <c r="H5" s="491"/>
      <c r="I5" s="491"/>
      <c r="J5" s="491"/>
      <c r="K5" s="491"/>
    </row>
    <row r="6" spans="2:11" ht="22.5">
      <c r="B6" s="916" t="s">
        <v>725</v>
      </c>
      <c r="C6" s="916"/>
      <c r="D6" s="916"/>
      <c r="E6" s="916"/>
      <c r="F6" s="916"/>
      <c r="G6" s="916"/>
      <c r="H6" s="916"/>
      <c r="I6" s="916"/>
      <c r="J6" s="916"/>
      <c r="K6" s="916"/>
    </row>
    <row r="7" spans="2:11" ht="22.5">
      <c r="B7" s="916" t="s">
        <v>1122</v>
      </c>
      <c r="C7" s="916"/>
      <c r="D7" s="916"/>
      <c r="E7" s="916"/>
      <c r="F7" s="916"/>
      <c r="G7" s="916"/>
      <c r="H7" s="916"/>
      <c r="I7" s="916"/>
      <c r="J7" s="916"/>
      <c r="K7" s="916"/>
    </row>
    <row r="8" spans="2:11" ht="18.75">
      <c r="B8" s="917" t="s">
        <v>576</v>
      </c>
      <c r="C8" s="917"/>
      <c r="D8" s="917"/>
      <c r="E8" s="917"/>
      <c r="F8" s="917"/>
      <c r="G8" s="917"/>
      <c r="H8" s="917"/>
      <c r="I8" s="917"/>
      <c r="J8" s="917"/>
      <c r="K8" s="917"/>
    </row>
    <row r="9" spans="2:11">
      <c r="B9" s="491"/>
      <c r="C9" s="491"/>
      <c r="D9" s="491"/>
      <c r="E9" s="491"/>
      <c r="F9" s="491"/>
      <c r="G9" s="491"/>
      <c r="H9" s="491"/>
      <c r="I9" s="491"/>
      <c r="J9" s="491"/>
      <c r="K9" s="491"/>
    </row>
    <row r="10" spans="2:11" ht="22.5">
      <c r="B10" s="916" t="s">
        <v>726</v>
      </c>
      <c r="C10" s="916"/>
      <c r="D10" s="916"/>
      <c r="E10" s="916"/>
      <c r="F10" s="916"/>
      <c r="G10" s="916"/>
      <c r="H10" s="916"/>
      <c r="I10" s="916"/>
      <c r="J10" s="916"/>
      <c r="K10" s="916"/>
    </row>
    <row r="11" spans="2:11">
      <c r="B11" s="491"/>
      <c r="C11" s="491"/>
      <c r="D11" s="491"/>
      <c r="E11" s="491"/>
      <c r="F11" s="491"/>
      <c r="G11" s="491"/>
      <c r="H11" s="491"/>
      <c r="I11" s="491"/>
      <c r="J11" s="491"/>
      <c r="K11" s="491"/>
    </row>
    <row r="12" spans="2:11">
      <c r="B12" s="491"/>
      <c r="C12" s="491"/>
      <c r="D12" s="491"/>
      <c r="E12" s="491"/>
      <c r="F12" s="491"/>
      <c r="G12" s="491"/>
      <c r="H12" s="491"/>
      <c r="I12" s="491"/>
      <c r="J12" s="491"/>
      <c r="K12" s="491"/>
    </row>
    <row r="13" spans="2:11" ht="18.75">
      <c r="B13" s="493"/>
      <c r="C13" s="918" t="s">
        <v>727</v>
      </c>
      <c r="D13" s="918"/>
      <c r="E13" s="918"/>
      <c r="F13" s="918"/>
      <c r="G13" s="918" t="s">
        <v>728</v>
      </c>
      <c r="H13" s="918"/>
      <c r="I13" s="918"/>
      <c r="J13" s="918"/>
      <c r="K13" s="493"/>
    </row>
    <row r="14" spans="2:11">
      <c r="B14" s="494"/>
      <c r="C14" s="495" t="s">
        <v>729</v>
      </c>
      <c r="D14" s="495"/>
      <c r="E14" s="495"/>
      <c r="F14" s="495" t="s">
        <v>730</v>
      </c>
      <c r="G14" s="495" t="s">
        <v>731</v>
      </c>
      <c r="H14" s="495"/>
      <c r="I14" s="495"/>
      <c r="J14" s="495" t="s">
        <v>731</v>
      </c>
      <c r="K14" s="496"/>
    </row>
    <row r="15" spans="2:11">
      <c r="B15" s="496" t="s">
        <v>732</v>
      </c>
      <c r="C15" s="496" t="s">
        <v>733</v>
      </c>
      <c r="D15" s="496"/>
      <c r="E15" s="496"/>
      <c r="F15" s="496" t="s">
        <v>733</v>
      </c>
      <c r="G15" s="496" t="s">
        <v>734</v>
      </c>
      <c r="H15" s="496" t="s">
        <v>704</v>
      </c>
      <c r="I15" s="496"/>
      <c r="J15" s="496" t="s">
        <v>735</v>
      </c>
      <c r="K15" s="496" t="s">
        <v>736</v>
      </c>
    </row>
    <row r="16" spans="2:11">
      <c r="B16" s="497"/>
      <c r="C16" s="497" t="s">
        <v>737</v>
      </c>
      <c r="D16" s="497" t="s">
        <v>738</v>
      </c>
      <c r="E16" s="497" t="s">
        <v>739</v>
      </c>
      <c r="F16" s="497" t="s">
        <v>737</v>
      </c>
      <c r="G16" s="497" t="s">
        <v>740</v>
      </c>
      <c r="H16" s="497" t="s">
        <v>737</v>
      </c>
      <c r="I16" s="497" t="s">
        <v>741</v>
      </c>
      <c r="J16" s="497" t="s">
        <v>740</v>
      </c>
      <c r="K16" s="497" t="s">
        <v>742</v>
      </c>
    </row>
    <row r="17" spans="2:12">
      <c r="B17" s="498"/>
      <c r="C17" s="499"/>
      <c r="D17" s="499"/>
      <c r="E17" s="499"/>
      <c r="F17" s="499"/>
      <c r="G17" s="499"/>
      <c r="H17" s="499"/>
      <c r="I17" s="499"/>
      <c r="J17" s="499"/>
      <c r="K17" s="499"/>
    </row>
    <row r="18" spans="2:12">
      <c r="B18" s="500" t="s">
        <v>743</v>
      </c>
      <c r="C18" s="501">
        <v>1979970919</v>
      </c>
      <c r="D18" s="502">
        <v>56584800</v>
      </c>
      <c r="E18" s="503">
        <v>0</v>
      </c>
      <c r="F18" s="501">
        <f>+C18+D18-E18</f>
        <v>2036555719</v>
      </c>
      <c r="G18" s="503">
        <v>1247698429</v>
      </c>
      <c r="H18" s="503">
        <v>97933701</v>
      </c>
      <c r="I18" s="503">
        <v>0</v>
      </c>
      <c r="J18" s="503">
        <f>G18+H18-I18</f>
        <v>1345632130</v>
      </c>
      <c r="K18" s="503">
        <f>+F18-J18</f>
        <v>690923589</v>
      </c>
    </row>
    <row r="19" spans="2:12">
      <c r="B19" s="500"/>
      <c r="C19" s="503"/>
      <c r="D19" s="503"/>
      <c r="E19" s="503"/>
      <c r="F19" s="503"/>
      <c r="G19" s="503"/>
      <c r="H19" s="503"/>
      <c r="I19" s="503"/>
      <c r="J19" s="503"/>
      <c r="K19" s="503"/>
    </row>
    <row r="20" spans="2:12">
      <c r="B20" s="504"/>
      <c r="C20" s="505"/>
      <c r="D20" s="505"/>
      <c r="E20" s="505"/>
      <c r="F20" s="505"/>
      <c r="G20" s="505"/>
      <c r="H20" s="505"/>
      <c r="I20" s="505"/>
      <c r="J20" s="505"/>
      <c r="K20" s="505"/>
    </row>
    <row r="21" spans="2:12">
      <c r="B21" s="493"/>
      <c r="C21" s="506"/>
      <c r="D21" s="506"/>
      <c r="E21" s="506"/>
      <c r="F21" s="506"/>
      <c r="G21" s="506"/>
      <c r="H21" s="506"/>
      <c r="I21" s="506"/>
      <c r="J21" s="506"/>
      <c r="K21" s="506"/>
    </row>
    <row r="22" spans="2:12">
      <c r="B22" s="507" t="s">
        <v>744</v>
      </c>
      <c r="C22" s="508">
        <f>C18</f>
        <v>1979970919</v>
      </c>
      <c r="D22" s="508">
        <f t="shared" ref="D22:K22" si="0">D18</f>
        <v>56584800</v>
      </c>
      <c r="E22" s="508">
        <f t="shared" si="0"/>
        <v>0</v>
      </c>
      <c r="F22" s="508">
        <f t="shared" si="0"/>
        <v>2036555719</v>
      </c>
      <c r="G22" s="508">
        <f t="shared" si="0"/>
        <v>1247698429</v>
      </c>
      <c r="H22" s="508">
        <f t="shared" si="0"/>
        <v>97933701</v>
      </c>
      <c r="I22" s="508">
        <f t="shared" si="0"/>
        <v>0</v>
      </c>
      <c r="J22" s="508">
        <f t="shared" si="0"/>
        <v>1345632130</v>
      </c>
      <c r="K22" s="508">
        <f t="shared" si="0"/>
        <v>690923589</v>
      </c>
    </row>
    <row r="23" spans="2:12" ht="6.75" customHeight="1">
      <c r="B23" s="509"/>
      <c r="C23" s="510"/>
      <c r="D23" s="510"/>
      <c r="E23" s="510"/>
      <c r="F23" s="510"/>
      <c r="G23" s="510"/>
      <c r="H23" s="510"/>
      <c r="I23" s="510"/>
      <c r="J23" s="510"/>
      <c r="K23" s="510"/>
    </row>
    <row r="24" spans="2:12" s="512" customFormat="1">
      <c r="B24" s="511" t="s">
        <v>745</v>
      </c>
      <c r="C24" s="505">
        <v>1560975919</v>
      </c>
      <c r="D24" s="505">
        <v>67620090</v>
      </c>
      <c r="E24" s="505">
        <v>0</v>
      </c>
      <c r="F24" s="505">
        <v>1628596009</v>
      </c>
      <c r="G24" s="505">
        <v>935323183</v>
      </c>
      <c r="H24" s="505">
        <v>83382771</v>
      </c>
      <c r="I24" s="505">
        <v>0</v>
      </c>
      <c r="J24" s="505">
        <v>1018705954</v>
      </c>
      <c r="K24" s="505">
        <v>609890055</v>
      </c>
    </row>
    <row r="25" spans="2:12" s="512" customFormat="1">
      <c r="B25" s="492"/>
      <c r="C25" s="492"/>
      <c r="D25" s="492"/>
      <c r="E25" s="492"/>
      <c r="F25" s="492"/>
      <c r="G25" s="492"/>
      <c r="H25" s="492"/>
      <c r="I25" s="492"/>
      <c r="J25" s="492"/>
      <c r="K25" s="492"/>
    </row>
    <row r="26" spans="2:12" s="512" customFormat="1" ht="28.5" customHeight="1">
      <c r="B26" s="492"/>
      <c r="C26" s="492"/>
      <c r="D26" s="492"/>
      <c r="E26" s="492"/>
      <c r="F26" s="492"/>
      <c r="G26" s="492"/>
      <c r="H26" s="492"/>
      <c r="I26" s="492"/>
      <c r="J26" s="492"/>
      <c r="K26" s="492"/>
    </row>
    <row r="27" spans="2:12" ht="18" customHeight="1"/>
    <row r="29" spans="2:12" s="513" customFormat="1" ht="14.25"/>
    <row r="30" spans="2:12" s="513" customFormat="1" ht="15">
      <c r="B30" s="514" t="s">
        <v>720</v>
      </c>
      <c r="C30" s="515"/>
      <c r="D30" s="514" t="s">
        <v>721</v>
      </c>
      <c r="E30" s="515"/>
      <c r="F30" s="515"/>
      <c r="G30" s="907" t="s">
        <v>609</v>
      </c>
      <c r="H30" s="907"/>
      <c r="I30" s="907"/>
      <c r="J30" s="910" t="s">
        <v>696</v>
      </c>
      <c r="K30" s="910"/>
      <c r="L30" s="910"/>
    </row>
    <row r="31" spans="2:12" s="513" customFormat="1" ht="15">
      <c r="B31" s="514" t="s">
        <v>746</v>
      </c>
      <c r="C31" s="515"/>
      <c r="D31" s="517" t="s">
        <v>747</v>
      </c>
      <c r="E31" s="515"/>
      <c r="F31" s="515"/>
      <c r="G31" s="919" t="s">
        <v>1150</v>
      </c>
      <c r="H31" s="919"/>
      <c r="I31" s="919"/>
      <c r="J31" s="908" t="s">
        <v>698</v>
      </c>
      <c r="K31" s="908"/>
      <c r="L31" s="908"/>
    </row>
  </sheetData>
  <mergeCells count="11">
    <mergeCell ref="H3:I4"/>
    <mergeCell ref="J30:L30"/>
    <mergeCell ref="J31:L31"/>
    <mergeCell ref="B6:K6"/>
    <mergeCell ref="B7:K7"/>
    <mergeCell ref="B8:K8"/>
    <mergeCell ref="B10:K10"/>
    <mergeCell ref="C13:F13"/>
    <mergeCell ref="G13:J13"/>
    <mergeCell ref="G30:I30"/>
    <mergeCell ref="G31:I31"/>
  </mergeCells>
  <printOptions horizontalCentered="1"/>
  <pageMargins left="0.59055118110236227" right="0" top="1.1811023622047245" bottom="1.1811023622047245" header="0" footer="0"/>
  <pageSetup paperSize="5" scale="80" firstPageNumber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showGridLines="0" workbookViewId="0">
      <selection activeCell="H38" sqref="H38:J38"/>
    </sheetView>
  </sheetViews>
  <sheetFormatPr baseColWidth="10" defaultRowHeight="12.75"/>
  <cols>
    <col min="1" max="1" width="26.7109375" style="491" customWidth="1"/>
    <col min="2" max="2" width="5.42578125" style="491" bestFit="1" customWidth="1"/>
    <col min="3" max="3" width="9.5703125" style="491" customWidth="1"/>
    <col min="4" max="4" width="7.85546875" style="491" bestFit="1" customWidth="1"/>
    <col min="5" max="5" width="8" style="491" bestFit="1" customWidth="1"/>
    <col min="6" max="6" width="12.140625" style="491" customWidth="1"/>
    <col min="7" max="7" width="9.85546875" style="491" customWidth="1"/>
    <col min="8" max="8" width="11.28515625" style="491" customWidth="1"/>
    <col min="9" max="9" width="12.42578125" style="491" customWidth="1"/>
    <col min="10" max="10" width="10.85546875" style="491" customWidth="1"/>
    <col min="11" max="11" width="8.140625" style="491" customWidth="1"/>
    <col min="12" max="12" width="11.28515625" style="491" customWidth="1"/>
    <col min="13" max="13" width="13.42578125" style="491" customWidth="1"/>
    <col min="14" max="256" width="11.42578125" style="491"/>
    <col min="257" max="257" width="26.7109375" style="491" customWidth="1"/>
    <col min="258" max="258" width="5.42578125" style="491" bestFit="1" customWidth="1"/>
    <col min="259" max="259" width="9.5703125" style="491" customWidth="1"/>
    <col min="260" max="260" width="7.85546875" style="491" bestFit="1" customWidth="1"/>
    <col min="261" max="261" width="8" style="491" bestFit="1" customWidth="1"/>
    <col min="262" max="262" width="12.140625" style="491" customWidth="1"/>
    <col min="263" max="263" width="9.85546875" style="491" customWidth="1"/>
    <col min="264" max="264" width="11.28515625" style="491" customWidth="1"/>
    <col min="265" max="265" width="12.42578125" style="491" customWidth="1"/>
    <col min="266" max="266" width="10.85546875" style="491" customWidth="1"/>
    <col min="267" max="267" width="8.140625" style="491" customWidth="1"/>
    <col min="268" max="268" width="11.28515625" style="491" customWidth="1"/>
    <col min="269" max="269" width="13.42578125" style="491" customWidth="1"/>
    <col min="270" max="512" width="11.42578125" style="491"/>
    <col min="513" max="513" width="26.7109375" style="491" customWidth="1"/>
    <col min="514" max="514" width="5.42578125" style="491" bestFit="1" customWidth="1"/>
    <col min="515" max="515" width="9.5703125" style="491" customWidth="1"/>
    <col min="516" max="516" width="7.85546875" style="491" bestFit="1" customWidth="1"/>
    <col min="517" max="517" width="8" style="491" bestFit="1" customWidth="1"/>
    <col min="518" max="518" width="12.140625" style="491" customWidth="1"/>
    <col min="519" max="519" width="9.85546875" style="491" customWidth="1"/>
    <col min="520" max="520" width="11.28515625" style="491" customWidth="1"/>
    <col min="521" max="521" width="12.42578125" style="491" customWidth="1"/>
    <col min="522" max="522" width="10.85546875" style="491" customWidth="1"/>
    <col min="523" max="523" width="8.140625" style="491" customWidth="1"/>
    <col min="524" max="524" width="11.28515625" style="491" customWidth="1"/>
    <col min="525" max="525" width="13.42578125" style="491" customWidth="1"/>
    <col min="526" max="768" width="11.42578125" style="491"/>
    <col min="769" max="769" width="26.7109375" style="491" customWidth="1"/>
    <col min="770" max="770" width="5.42578125" style="491" bestFit="1" customWidth="1"/>
    <col min="771" max="771" width="9.5703125" style="491" customWidth="1"/>
    <col min="772" max="772" width="7.85546875" style="491" bestFit="1" customWidth="1"/>
    <col min="773" max="773" width="8" style="491" bestFit="1" customWidth="1"/>
    <col min="774" max="774" width="12.140625" style="491" customWidth="1"/>
    <col min="775" max="775" width="9.85546875" style="491" customWidth="1"/>
    <col min="776" max="776" width="11.28515625" style="491" customWidth="1"/>
    <col min="777" max="777" width="12.42578125" style="491" customWidth="1"/>
    <col min="778" max="778" width="10.85546875" style="491" customWidth="1"/>
    <col min="779" max="779" width="8.140625" style="491" customWidth="1"/>
    <col min="780" max="780" width="11.28515625" style="491" customWidth="1"/>
    <col min="781" max="781" width="13.42578125" style="491" customWidth="1"/>
    <col min="782" max="1024" width="11.42578125" style="491"/>
    <col min="1025" max="1025" width="26.7109375" style="491" customWidth="1"/>
    <col min="1026" max="1026" width="5.42578125" style="491" bestFit="1" customWidth="1"/>
    <col min="1027" max="1027" width="9.5703125" style="491" customWidth="1"/>
    <col min="1028" max="1028" width="7.85546875" style="491" bestFit="1" customWidth="1"/>
    <col min="1029" max="1029" width="8" style="491" bestFit="1" customWidth="1"/>
    <col min="1030" max="1030" width="12.140625" style="491" customWidth="1"/>
    <col min="1031" max="1031" width="9.85546875" style="491" customWidth="1"/>
    <col min="1032" max="1032" width="11.28515625" style="491" customWidth="1"/>
    <col min="1033" max="1033" width="12.42578125" style="491" customWidth="1"/>
    <col min="1034" max="1034" width="10.85546875" style="491" customWidth="1"/>
    <col min="1035" max="1035" width="8.140625" style="491" customWidth="1"/>
    <col min="1036" max="1036" width="11.28515625" style="491" customWidth="1"/>
    <col min="1037" max="1037" width="13.42578125" style="491" customWidth="1"/>
    <col min="1038" max="1280" width="11.42578125" style="491"/>
    <col min="1281" max="1281" width="26.7109375" style="491" customWidth="1"/>
    <col min="1282" max="1282" width="5.42578125" style="491" bestFit="1" customWidth="1"/>
    <col min="1283" max="1283" width="9.5703125" style="491" customWidth="1"/>
    <col min="1284" max="1284" width="7.85546875" style="491" bestFit="1" customWidth="1"/>
    <col min="1285" max="1285" width="8" style="491" bestFit="1" customWidth="1"/>
    <col min="1286" max="1286" width="12.140625" style="491" customWidth="1"/>
    <col min="1287" max="1287" width="9.85546875" style="491" customWidth="1"/>
    <col min="1288" max="1288" width="11.28515625" style="491" customWidth="1"/>
    <col min="1289" max="1289" width="12.42578125" style="491" customWidth="1"/>
    <col min="1290" max="1290" width="10.85546875" style="491" customWidth="1"/>
    <col min="1291" max="1291" width="8.140625" style="491" customWidth="1"/>
    <col min="1292" max="1292" width="11.28515625" style="491" customWidth="1"/>
    <col min="1293" max="1293" width="13.42578125" style="491" customWidth="1"/>
    <col min="1294" max="1536" width="11.42578125" style="491"/>
    <col min="1537" max="1537" width="26.7109375" style="491" customWidth="1"/>
    <col min="1538" max="1538" width="5.42578125" style="491" bestFit="1" customWidth="1"/>
    <col min="1539" max="1539" width="9.5703125" style="491" customWidth="1"/>
    <col min="1540" max="1540" width="7.85546875" style="491" bestFit="1" customWidth="1"/>
    <col min="1541" max="1541" width="8" style="491" bestFit="1" customWidth="1"/>
    <col min="1542" max="1542" width="12.140625" style="491" customWidth="1"/>
    <col min="1543" max="1543" width="9.85546875" style="491" customWidth="1"/>
    <col min="1544" max="1544" width="11.28515625" style="491" customWidth="1"/>
    <col min="1545" max="1545" width="12.42578125" style="491" customWidth="1"/>
    <col min="1546" max="1546" width="10.85546875" style="491" customWidth="1"/>
    <col min="1547" max="1547" width="8.140625" style="491" customWidth="1"/>
    <col min="1548" max="1548" width="11.28515625" style="491" customWidth="1"/>
    <col min="1549" max="1549" width="13.42578125" style="491" customWidth="1"/>
    <col min="1550" max="1792" width="11.42578125" style="491"/>
    <col min="1793" max="1793" width="26.7109375" style="491" customWidth="1"/>
    <col min="1794" max="1794" width="5.42578125" style="491" bestFit="1" customWidth="1"/>
    <col min="1795" max="1795" width="9.5703125" style="491" customWidth="1"/>
    <col min="1796" max="1796" width="7.85546875" style="491" bestFit="1" customWidth="1"/>
    <col min="1797" max="1797" width="8" style="491" bestFit="1" customWidth="1"/>
    <col min="1798" max="1798" width="12.140625" style="491" customWidth="1"/>
    <col min="1799" max="1799" width="9.85546875" style="491" customWidth="1"/>
    <col min="1800" max="1800" width="11.28515625" style="491" customWidth="1"/>
    <col min="1801" max="1801" width="12.42578125" style="491" customWidth="1"/>
    <col min="1802" max="1802" width="10.85546875" style="491" customWidth="1"/>
    <col min="1803" max="1803" width="8.140625" style="491" customWidth="1"/>
    <col min="1804" max="1804" width="11.28515625" style="491" customWidth="1"/>
    <col min="1805" max="1805" width="13.42578125" style="491" customWidth="1"/>
    <col min="1806" max="2048" width="11.42578125" style="491"/>
    <col min="2049" max="2049" width="26.7109375" style="491" customWidth="1"/>
    <col min="2050" max="2050" width="5.42578125" style="491" bestFit="1" customWidth="1"/>
    <col min="2051" max="2051" width="9.5703125" style="491" customWidth="1"/>
    <col min="2052" max="2052" width="7.85546875" style="491" bestFit="1" customWidth="1"/>
    <col min="2053" max="2053" width="8" style="491" bestFit="1" customWidth="1"/>
    <col min="2054" max="2054" width="12.140625" style="491" customWidth="1"/>
    <col min="2055" max="2055" width="9.85546875" style="491" customWidth="1"/>
    <col min="2056" max="2056" width="11.28515625" style="491" customWidth="1"/>
    <col min="2057" max="2057" width="12.42578125" style="491" customWidth="1"/>
    <col min="2058" max="2058" width="10.85546875" style="491" customWidth="1"/>
    <col min="2059" max="2059" width="8.140625" style="491" customWidth="1"/>
    <col min="2060" max="2060" width="11.28515625" style="491" customWidth="1"/>
    <col min="2061" max="2061" width="13.42578125" style="491" customWidth="1"/>
    <col min="2062" max="2304" width="11.42578125" style="491"/>
    <col min="2305" max="2305" width="26.7109375" style="491" customWidth="1"/>
    <col min="2306" max="2306" width="5.42578125" style="491" bestFit="1" customWidth="1"/>
    <col min="2307" max="2307" width="9.5703125" style="491" customWidth="1"/>
    <col min="2308" max="2308" width="7.85546875" style="491" bestFit="1" customWidth="1"/>
    <col min="2309" max="2309" width="8" style="491" bestFit="1" customWidth="1"/>
    <col min="2310" max="2310" width="12.140625" style="491" customWidth="1"/>
    <col min="2311" max="2311" width="9.85546875" style="491" customWidth="1"/>
    <col min="2312" max="2312" width="11.28515625" style="491" customWidth="1"/>
    <col min="2313" max="2313" width="12.42578125" style="491" customWidth="1"/>
    <col min="2314" max="2314" width="10.85546875" style="491" customWidth="1"/>
    <col min="2315" max="2315" width="8.140625" style="491" customWidth="1"/>
    <col min="2316" max="2316" width="11.28515625" style="491" customWidth="1"/>
    <col min="2317" max="2317" width="13.42578125" style="491" customWidth="1"/>
    <col min="2318" max="2560" width="11.42578125" style="491"/>
    <col min="2561" max="2561" width="26.7109375" style="491" customWidth="1"/>
    <col min="2562" max="2562" width="5.42578125" style="491" bestFit="1" customWidth="1"/>
    <col min="2563" max="2563" width="9.5703125" style="491" customWidth="1"/>
    <col min="2564" max="2564" width="7.85546875" style="491" bestFit="1" customWidth="1"/>
    <col min="2565" max="2565" width="8" style="491" bestFit="1" customWidth="1"/>
    <col min="2566" max="2566" width="12.140625" style="491" customWidth="1"/>
    <col min="2567" max="2567" width="9.85546875" style="491" customWidth="1"/>
    <col min="2568" max="2568" width="11.28515625" style="491" customWidth="1"/>
    <col min="2569" max="2569" width="12.42578125" style="491" customWidth="1"/>
    <col min="2570" max="2570" width="10.85546875" style="491" customWidth="1"/>
    <col min="2571" max="2571" width="8.140625" style="491" customWidth="1"/>
    <col min="2572" max="2572" width="11.28515625" style="491" customWidth="1"/>
    <col min="2573" max="2573" width="13.42578125" style="491" customWidth="1"/>
    <col min="2574" max="2816" width="11.42578125" style="491"/>
    <col min="2817" max="2817" width="26.7109375" style="491" customWidth="1"/>
    <col min="2818" max="2818" width="5.42578125" style="491" bestFit="1" customWidth="1"/>
    <col min="2819" max="2819" width="9.5703125" style="491" customWidth="1"/>
    <col min="2820" max="2820" width="7.85546875" style="491" bestFit="1" customWidth="1"/>
    <col min="2821" max="2821" width="8" style="491" bestFit="1" customWidth="1"/>
    <col min="2822" max="2822" width="12.140625" style="491" customWidth="1"/>
    <col min="2823" max="2823" width="9.85546875" style="491" customWidth="1"/>
    <col min="2824" max="2824" width="11.28515625" style="491" customWidth="1"/>
    <col min="2825" max="2825" width="12.42578125" style="491" customWidth="1"/>
    <col min="2826" max="2826" width="10.85546875" style="491" customWidth="1"/>
    <col min="2827" max="2827" width="8.140625" style="491" customWidth="1"/>
    <col min="2828" max="2828" width="11.28515625" style="491" customWidth="1"/>
    <col min="2829" max="2829" width="13.42578125" style="491" customWidth="1"/>
    <col min="2830" max="3072" width="11.42578125" style="491"/>
    <col min="3073" max="3073" width="26.7109375" style="491" customWidth="1"/>
    <col min="3074" max="3074" width="5.42578125" style="491" bestFit="1" customWidth="1"/>
    <col min="3075" max="3075" width="9.5703125" style="491" customWidth="1"/>
    <col min="3076" max="3076" width="7.85546875" style="491" bestFit="1" customWidth="1"/>
    <col min="3077" max="3077" width="8" style="491" bestFit="1" customWidth="1"/>
    <col min="3078" max="3078" width="12.140625" style="491" customWidth="1"/>
    <col min="3079" max="3079" width="9.85546875" style="491" customWidth="1"/>
    <col min="3080" max="3080" width="11.28515625" style="491" customWidth="1"/>
    <col min="3081" max="3081" width="12.42578125" style="491" customWidth="1"/>
    <col min="3082" max="3082" width="10.85546875" style="491" customWidth="1"/>
    <col min="3083" max="3083" width="8.140625" style="491" customWidth="1"/>
    <col min="3084" max="3084" width="11.28515625" style="491" customWidth="1"/>
    <col min="3085" max="3085" width="13.42578125" style="491" customWidth="1"/>
    <col min="3086" max="3328" width="11.42578125" style="491"/>
    <col min="3329" max="3329" width="26.7109375" style="491" customWidth="1"/>
    <col min="3330" max="3330" width="5.42578125" style="491" bestFit="1" customWidth="1"/>
    <col min="3331" max="3331" width="9.5703125" style="491" customWidth="1"/>
    <col min="3332" max="3332" width="7.85546875" style="491" bestFit="1" customWidth="1"/>
    <col min="3333" max="3333" width="8" style="491" bestFit="1" customWidth="1"/>
    <col min="3334" max="3334" width="12.140625" style="491" customWidth="1"/>
    <col min="3335" max="3335" width="9.85546875" style="491" customWidth="1"/>
    <col min="3336" max="3336" width="11.28515625" style="491" customWidth="1"/>
    <col min="3337" max="3337" width="12.42578125" style="491" customWidth="1"/>
    <col min="3338" max="3338" width="10.85546875" style="491" customWidth="1"/>
    <col min="3339" max="3339" width="8.140625" style="491" customWidth="1"/>
    <col min="3340" max="3340" width="11.28515625" style="491" customWidth="1"/>
    <col min="3341" max="3341" width="13.42578125" style="491" customWidth="1"/>
    <col min="3342" max="3584" width="11.42578125" style="491"/>
    <col min="3585" max="3585" width="26.7109375" style="491" customWidth="1"/>
    <col min="3586" max="3586" width="5.42578125" style="491" bestFit="1" customWidth="1"/>
    <col min="3587" max="3587" width="9.5703125" style="491" customWidth="1"/>
    <col min="3588" max="3588" width="7.85546875" style="491" bestFit="1" customWidth="1"/>
    <col min="3589" max="3589" width="8" style="491" bestFit="1" customWidth="1"/>
    <col min="3590" max="3590" width="12.140625" style="491" customWidth="1"/>
    <col min="3591" max="3591" width="9.85546875" style="491" customWidth="1"/>
    <col min="3592" max="3592" width="11.28515625" style="491" customWidth="1"/>
    <col min="3593" max="3593" width="12.42578125" style="491" customWidth="1"/>
    <col min="3594" max="3594" width="10.85546875" style="491" customWidth="1"/>
    <col min="3595" max="3595" width="8.140625" style="491" customWidth="1"/>
    <col min="3596" max="3596" width="11.28515625" style="491" customWidth="1"/>
    <col min="3597" max="3597" width="13.42578125" style="491" customWidth="1"/>
    <col min="3598" max="3840" width="11.42578125" style="491"/>
    <col min="3841" max="3841" width="26.7109375" style="491" customWidth="1"/>
    <col min="3842" max="3842" width="5.42578125" style="491" bestFit="1" customWidth="1"/>
    <col min="3843" max="3843" width="9.5703125" style="491" customWidth="1"/>
    <col min="3844" max="3844" width="7.85546875" style="491" bestFit="1" customWidth="1"/>
    <col min="3845" max="3845" width="8" style="491" bestFit="1" customWidth="1"/>
    <col min="3846" max="3846" width="12.140625" style="491" customWidth="1"/>
    <col min="3847" max="3847" width="9.85546875" style="491" customWidth="1"/>
    <col min="3848" max="3848" width="11.28515625" style="491" customWidth="1"/>
    <col min="3849" max="3849" width="12.42578125" style="491" customWidth="1"/>
    <col min="3850" max="3850" width="10.85546875" style="491" customWidth="1"/>
    <col min="3851" max="3851" width="8.140625" style="491" customWidth="1"/>
    <col min="3852" max="3852" width="11.28515625" style="491" customWidth="1"/>
    <col min="3853" max="3853" width="13.42578125" style="491" customWidth="1"/>
    <col min="3854" max="4096" width="11.42578125" style="491"/>
    <col min="4097" max="4097" width="26.7109375" style="491" customWidth="1"/>
    <col min="4098" max="4098" width="5.42578125" style="491" bestFit="1" customWidth="1"/>
    <col min="4099" max="4099" width="9.5703125" style="491" customWidth="1"/>
    <col min="4100" max="4100" width="7.85546875" style="491" bestFit="1" customWidth="1"/>
    <col min="4101" max="4101" width="8" style="491" bestFit="1" customWidth="1"/>
    <col min="4102" max="4102" width="12.140625" style="491" customWidth="1"/>
    <col min="4103" max="4103" width="9.85546875" style="491" customWidth="1"/>
    <col min="4104" max="4104" width="11.28515625" style="491" customWidth="1"/>
    <col min="4105" max="4105" width="12.42578125" style="491" customWidth="1"/>
    <col min="4106" max="4106" width="10.85546875" style="491" customWidth="1"/>
    <col min="4107" max="4107" width="8.140625" style="491" customWidth="1"/>
    <col min="4108" max="4108" width="11.28515625" style="491" customWidth="1"/>
    <col min="4109" max="4109" width="13.42578125" style="491" customWidth="1"/>
    <col min="4110" max="4352" width="11.42578125" style="491"/>
    <col min="4353" max="4353" width="26.7109375" style="491" customWidth="1"/>
    <col min="4354" max="4354" width="5.42578125" style="491" bestFit="1" customWidth="1"/>
    <col min="4355" max="4355" width="9.5703125" style="491" customWidth="1"/>
    <col min="4356" max="4356" width="7.85546875" style="491" bestFit="1" customWidth="1"/>
    <col min="4357" max="4357" width="8" style="491" bestFit="1" customWidth="1"/>
    <col min="4358" max="4358" width="12.140625" style="491" customWidth="1"/>
    <col min="4359" max="4359" width="9.85546875" style="491" customWidth="1"/>
    <col min="4360" max="4360" width="11.28515625" style="491" customWidth="1"/>
    <col min="4361" max="4361" width="12.42578125" style="491" customWidth="1"/>
    <col min="4362" max="4362" width="10.85546875" style="491" customWidth="1"/>
    <col min="4363" max="4363" width="8.140625" style="491" customWidth="1"/>
    <col min="4364" max="4364" width="11.28515625" style="491" customWidth="1"/>
    <col min="4365" max="4365" width="13.42578125" style="491" customWidth="1"/>
    <col min="4366" max="4608" width="11.42578125" style="491"/>
    <col min="4609" max="4609" width="26.7109375" style="491" customWidth="1"/>
    <col min="4610" max="4610" width="5.42578125" style="491" bestFit="1" customWidth="1"/>
    <col min="4611" max="4611" width="9.5703125" style="491" customWidth="1"/>
    <col min="4612" max="4612" width="7.85546875" style="491" bestFit="1" customWidth="1"/>
    <col min="4613" max="4613" width="8" style="491" bestFit="1" customWidth="1"/>
    <col min="4614" max="4614" width="12.140625" style="491" customWidth="1"/>
    <col min="4615" max="4615" width="9.85546875" style="491" customWidth="1"/>
    <col min="4616" max="4616" width="11.28515625" style="491" customWidth="1"/>
    <col min="4617" max="4617" width="12.42578125" style="491" customWidth="1"/>
    <col min="4618" max="4618" width="10.85546875" style="491" customWidth="1"/>
    <col min="4619" max="4619" width="8.140625" style="491" customWidth="1"/>
    <col min="4620" max="4620" width="11.28515625" style="491" customWidth="1"/>
    <col min="4621" max="4621" width="13.42578125" style="491" customWidth="1"/>
    <col min="4622" max="4864" width="11.42578125" style="491"/>
    <col min="4865" max="4865" width="26.7109375" style="491" customWidth="1"/>
    <col min="4866" max="4866" width="5.42578125" style="491" bestFit="1" customWidth="1"/>
    <col min="4867" max="4867" width="9.5703125" style="491" customWidth="1"/>
    <col min="4868" max="4868" width="7.85546875" style="491" bestFit="1" customWidth="1"/>
    <col min="4869" max="4869" width="8" style="491" bestFit="1" customWidth="1"/>
    <col min="4870" max="4870" width="12.140625" style="491" customWidth="1"/>
    <col min="4871" max="4871" width="9.85546875" style="491" customWidth="1"/>
    <col min="4872" max="4872" width="11.28515625" style="491" customWidth="1"/>
    <col min="4873" max="4873" width="12.42578125" style="491" customWidth="1"/>
    <col min="4874" max="4874" width="10.85546875" style="491" customWidth="1"/>
    <col min="4875" max="4875" width="8.140625" style="491" customWidth="1"/>
    <col min="4876" max="4876" width="11.28515625" style="491" customWidth="1"/>
    <col min="4877" max="4877" width="13.42578125" style="491" customWidth="1"/>
    <col min="4878" max="5120" width="11.42578125" style="491"/>
    <col min="5121" max="5121" width="26.7109375" style="491" customWidth="1"/>
    <col min="5122" max="5122" width="5.42578125" style="491" bestFit="1" customWidth="1"/>
    <col min="5123" max="5123" width="9.5703125" style="491" customWidth="1"/>
    <col min="5124" max="5124" width="7.85546875" style="491" bestFit="1" customWidth="1"/>
    <col min="5125" max="5125" width="8" style="491" bestFit="1" customWidth="1"/>
    <col min="5126" max="5126" width="12.140625" style="491" customWidth="1"/>
    <col min="5127" max="5127" width="9.85546875" style="491" customWidth="1"/>
    <col min="5128" max="5128" width="11.28515625" style="491" customWidth="1"/>
    <col min="5129" max="5129" width="12.42578125" style="491" customWidth="1"/>
    <col min="5130" max="5130" width="10.85546875" style="491" customWidth="1"/>
    <col min="5131" max="5131" width="8.140625" style="491" customWidth="1"/>
    <col min="5132" max="5132" width="11.28515625" style="491" customWidth="1"/>
    <col min="5133" max="5133" width="13.42578125" style="491" customWidth="1"/>
    <col min="5134" max="5376" width="11.42578125" style="491"/>
    <col min="5377" max="5377" width="26.7109375" style="491" customWidth="1"/>
    <col min="5378" max="5378" width="5.42578125" style="491" bestFit="1" customWidth="1"/>
    <col min="5379" max="5379" width="9.5703125" style="491" customWidth="1"/>
    <col min="5380" max="5380" width="7.85546875" style="491" bestFit="1" customWidth="1"/>
    <col min="5381" max="5381" width="8" style="491" bestFit="1" customWidth="1"/>
    <col min="5382" max="5382" width="12.140625" style="491" customWidth="1"/>
    <col min="5383" max="5383" width="9.85546875" style="491" customWidth="1"/>
    <col min="5384" max="5384" width="11.28515625" style="491" customWidth="1"/>
    <col min="5385" max="5385" width="12.42578125" style="491" customWidth="1"/>
    <col min="5386" max="5386" width="10.85546875" style="491" customWidth="1"/>
    <col min="5387" max="5387" width="8.140625" style="491" customWidth="1"/>
    <col min="5388" max="5388" width="11.28515625" style="491" customWidth="1"/>
    <col min="5389" max="5389" width="13.42578125" style="491" customWidth="1"/>
    <col min="5390" max="5632" width="11.42578125" style="491"/>
    <col min="5633" max="5633" width="26.7109375" style="491" customWidth="1"/>
    <col min="5634" max="5634" width="5.42578125" style="491" bestFit="1" customWidth="1"/>
    <col min="5635" max="5635" width="9.5703125" style="491" customWidth="1"/>
    <col min="5636" max="5636" width="7.85546875" style="491" bestFit="1" customWidth="1"/>
    <col min="5637" max="5637" width="8" style="491" bestFit="1" customWidth="1"/>
    <col min="5638" max="5638" width="12.140625" style="491" customWidth="1"/>
    <col min="5639" max="5639" width="9.85546875" style="491" customWidth="1"/>
    <col min="5640" max="5640" width="11.28515625" style="491" customWidth="1"/>
    <col min="5641" max="5641" width="12.42578125" style="491" customWidth="1"/>
    <col min="5642" max="5642" width="10.85546875" style="491" customWidth="1"/>
    <col min="5643" max="5643" width="8.140625" style="491" customWidth="1"/>
    <col min="5644" max="5644" width="11.28515625" style="491" customWidth="1"/>
    <col min="5645" max="5645" width="13.42578125" style="491" customWidth="1"/>
    <col min="5646" max="5888" width="11.42578125" style="491"/>
    <col min="5889" max="5889" width="26.7109375" style="491" customWidth="1"/>
    <col min="5890" max="5890" width="5.42578125" style="491" bestFit="1" customWidth="1"/>
    <col min="5891" max="5891" width="9.5703125" style="491" customWidth="1"/>
    <col min="5892" max="5892" width="7.85546875" style="491" bestFit="1" customWidth="1"/>
    <col min="5893" max="5893" width="8" style="491" bestFit="1" customWidth="1"/>
    <col min="5894" max="5894" width="12.140625" style="491" customWidth="1"/>
    <col min="5895" max="5895" width="9.85546875" style="491" customWidth="1"/>
    <col min="5896" max="5896" width="11.28515625" style="491" customWidth="1"/>
    <col min="5897" max="5897" width="12.42578125" style="491" customWidth="1"/>
    <col min="5898" max="5898" width="10.85546875" style="491" customWidth="1"/>
    <col min="5899" max="5899" width="8.140625" style="491" customWidth="1"/>
    <col min="5900" max="5900" width="11.28515625" style="491" customWidth="1"/>
    <col min="5901" max="5901" width="13.42578125" style="491" customWidth="1"/>
    <col min="5902" max="6144" width="11.42578125" style="491"/>
    <col min="6145" max="6145" width="26.7109375" style="491" customWidth="1"/>
    <col min="6146" max="6146" width="5.42578125" style="491" bestFit="1" customWidth="1"/>
    <col min="6147" max="6147" width="9.5703125" style="491" customWidth="1"/>
    <col min="6148" max="6148" width="7.85546875" style="491" bestFit="1" customWidth="1"/>
    <col min="6149" max="6149" width="8" style="491" bestFit="1" customWidth="1"/>
    <col min="6150" max="6150" width="12.140625" style="491" customWidth="1"/>
    <col min="6151" max="6151" width="9.85546875" style="491" customWidth="1"/>
    <col min="6152" max="6152" width="11.28515625" style="491" customWidth="1"/>
    <col min="6153" max="6153" width="12.42578125" style="491" customWidth="1"/>
    <col min="6154" max="6154" width="10.85546875" style="491" customWidth="1"/>
    <col min="6155" max="6155" width="8.140625" style="491" customWidth="1"/>
    <col min="6156" max="6156" width="11.28515625" style="491" customWidth="1"/>
    <col min="6157" max="6157" width="13.42578125" style="491" customWidth="1"/>
    <col min="6158" max="6400" width="11.42578125" style="491"/>
    <col min="6401" max="6401" width="26.7109375" style="491" customWidth="1"/>
    <col min="6402" max="6402" width="5.42578125" style="491" bestFit="1" customWidth="1"/>
    <col min="6403" max="6403" width="9.5703125" style="491" customWidth="1"/>
    <col min="6404" max="6404" width="7.85546875" style="491" bestFit="1" customWidth="1"/>
    <col min="6405" max="6405" width="8" style="491" bestFit="1" customWidth="1"/>
    <col min="6406" max="6406" width="12.140625" style="491" customWidth="1"/>
    <col min="6407" max="6407" width="9.85546875" style="491" customWidth="1"/>
    <col min="6408" max="6408" width="11.28515625" style="491" customWidth="1"/>
    <col min="6409" max="6409" width="12.42578125" style="491" customWidth="1"/>
    <col min="6410" max="6410" width="10.85546875" style="491" customWidth="1"/>
    <col min="6411" max="6411" width="8.140625" style="491" customWidth="1"/>
    <col min="6412" max="6412" width="11.28515625" style="491" customWidth="1"/>
    <col min="6413" max="6413" width="13.42578125" style="491" customWidth="1"/>
    <col min="6414" max="6656" width="11.42578125" style="491"/>
    <col min="6657" max="6657" width="26.7109375" style="491" customWidth="1"/>
    <col min="6658" max="6658" width="5.42578125" style="491" bestFit="1" customWidth="1"/>
    <col min="6659" max="6659" width="9.5703125" style="491" customWidth="1"/>
    <col min="6660" max="6660" width="7.85546875" style="491" bestFit="1" customWidth="1"/>
    <col min="6661" max="6661" width="8" style="491" bestFit="1" customWidth="1"/>
    <col min="6662" max="6662" width="12.140625" style="491" customWidth="1"/>
    <col min="6663" max="6663" width="9.85546875" style="491" customWidth="1"/>
    <col min="6664" max="6664" width="11.28515625" style="491" customWidth="1"/>
    <col min="6665" max="6665" width="12.42578125" style="491" customWidth="1"/>
    <col min="6666" max="6666" width="10.85546875" style="491" customWidth="1"/>
    <col min="6667" max="6667" width="8.140625" style="491" customWidth="1"/>
    <col min="6668" max="6668" width="11.28515625" style="491" customWidth="1"/>
    <col min="6669" max="6669" width="13.42578125" style="491" customWidth="1"/>
    <col min="6670" max="6912" width="11.42578125" style="491"/>
    <col min="6913" max="6913" width="26.7109375" style="491" customWidth="1"/>
    <col min="6914" max="6914" width="5.42578125" style="491" bestFit="1" customWidth="1"/>
    <col min="6915" max="6915" width="9.5703125" style="491" customWidth="1"/>
    <col min="6916" max="6916" width="7.85546875" style="491" bestFit="1" customWidth="1"/>
    <col min="6917" max="6917" width="8" style="491" bestFit="1" customWidth="1"/>
    <col min="6918" max="6918" width="12.140625" style="491" customWidth="1"/>
    <col min="6919" max="6919" width="9.85546875" style="491" customWidth="1"/>
    <col min="6920" max="6920" width="11.28515625" style="491" customWidth="1"/>
    <col min="6921" max="6921" width="12.42578125" style="491" customWidth="1"/>
    <col min="6922" max="6922" width="10.85546875" style="491" customWidth="1"/>
    <col min="6923" max="6923" width="8.140625" style="491" customWidth="1"/>
    <col min="6924" max="6924" width="11.28515625" style="491" customWidth="1"/>
    <col min="6925" max="6925" width="13.42578125" style="491" customWidth="1"/>
    <col min="6926" max="7168" width="11.42578125" style="491"/>
    <col min="7169" max="7169" width="26.7109375" style="491" customWidth="1"/>
    <col min="7170" max="7170" width="5.42578125" style="491" bestFit="1" customWidth="1"/>
    <col min="7171" max="7171" width="9.5703125" style="491" customWidth="1"/>
    <col min="7172" max="7172" width="7.85546875" style="491" bestFit="1" customWidth="1"/>
    <col min="7173" max="7173" width="8" style="491" bestFit="1" customWidth="1"/>
    <col min="7174" max="7174" width="12.140625" style="491" customWidth="1"/>
    <col min="7175" max="7175" width="9.85546875" style="491" customWidth="1"/>
    <col min="7176" max="7176" width="11.28515625" style="491" customWidth="1"/>
    <col min="7177" max="7177" width="12.42578125" style="491" customWidth="1"/>
    <col min="7178" max="7178" width="10.85546875" style="491" customWidth="1"/>
    <col min="7179" max="7179" width="8.140625" style="491" customWidth="1"/>
    <col min="7180" max="7180" width="11.28515625" style="491" customWidth="1"/>
    <col min="7181" max="7181" width="13.42578125" style="491" customWidth="1"/>
    <col min="7182" max="7424" width="11.42578125" style="491"/>
    <col min="7425" max="7425" width="26.7109375" style="491" customWidth="1"/>
    <col min="7426" max="7426" width="5.42578125" style="491" bestFit="1" customWidth="1"/>
    <col min="7427" max="7427" width="9.5703125" style="491" customWidth="1"/>
    <col min="7428" max="7428" width="7.85546875" style="491" bestFit="1" customWidth="1"/>
    <col min="7429" max="7429" width="8" style="491" bestFit="1" customWidth="1"/>
    <col min="7430" max="7430" width="12.140625" style="491" customWidth="1"/>
    <col min="7431" max="7431" width="9.85546875" style="491" customWidth="1"/>
    <col min="7432" max="7432" width="11.28515625" style="491" customWidth="1"/>
    <col min="7433" max="7433" width="12.42578125" style="491" customWidth="1"/>
    <col min="7434" max="7434" width="10.85546875" style="491" customWidth="1"/>
    <col min="7435" max="7435" width="8.140625" style="491" customWidth="1"/>
    <col min="7436" max="7436" width="11.28515625" style="491" customWidth="1"/>
    <col min="7437" max="7437" width="13.42578125" style="491" customWidth="1"/>
    <col min="7438" max="7680" width="11.42578125" style="491"/>
    <col min="7681" max="7681" width="26.7109375" style="491" customWidth="1"/>
    <col min="7682" max="7682" width="5.42578125" style="491" bestFit="1" customWidth="1"/>
    <col min="7683" max="7683" width="9.5703125" style="491" customWidth="1"/>
    <col min="7684" max="7684" width="7.85546875" style="491" bestFit="1" customWidth="1"/>
    <col min="7685" max="7685" width="8" style="491" bestFit="1" customWidth="1"/>
    <col min="7686" max="7686" width="12.140625" style="491" customWidth="1"/>
    <col min="7687" max="7687" width="9.85546875" style="491" customWidth="1"/>
    <col min="7688" max="7688" width="11.28515625" style="491" customWidth="1"/>
    <col min="7689" max="7689" width="12.42578125" style="491" customWidth="1"/>
    <col min="7690" max="7690" width="10.85546875" style="491" customWidth="1"/>
    <col min="7691" max="7691" width="8.140625" style="491" customWidth="1"/>
    <col min="7692" max="7692" width="11.28515625" style="491" customWidth="1"/>
    <col min="7693" max="7693" width="13.42578125" style="491" customWidth="1"/>
    <col min="7694" max="7936" width="11.42578125" style="491"/>
    <col min="7937" max="7937" width="26.7109375" style="491" customWidth="1"/>
    <col min="7938" max="7938" width="5.42578125" style="491" bestFit="1" customWidth="1"/>
    <col min="7939" max="7939" width="9.5703125" style="491" customWidth="1"/>
    <col min="7940" max="7940" width="7.85546875" style="491" bestFit="1" customWidth="1"/>
    <col min="7941" max="7941" width="8" style="491" bestFit="1" customWidth="1"/>
    <col min="7942" max="7942" width="12.140625" style="491" customWidth="1"/>
    <col min="7943" max="7943" width="9.85546875" style="491" customWidth="1"/>
    <col min="7944" max="7944" width="11.28515625" style="491" customWidth="1"/>
    <col min="7945" max="7945" width="12.42578125" style="491" customWidth="1"/>
    <col min="7946" max="7946" width="10.85546875" style="491" customWidth="1"/>
    <col min="7947" max="7947" width="8.140625" style="491" customWidth="1"/>
    <col min="7948" max="7948" width="11.28515625" style="491" customWidth="1"/>
    <col min="7949" max="7949" width="13.42578125" style="491" customWidth="1"/>
    <col min="7950" max="8192" width="11.42578125" style="491"/>
    <col min="8193" max="8193" width="26.7109375" style="491" customWidth="1"/>
    <col min="8194" max="8194" width="5.42578125" style="491" bestFit="1" customWidth="1"/>
    <col min="8195" max="8195" width="9.5703125" style="491" customWidth="1"/>
    <col min="8196" max="8196" width="7.85546875" style="491" bestFit="1" customWidth="1"/>
    <col min="8197" max="8197" width="8" style="491" bestFit="1" customWidth="1"/>
    <col min="8198" max="8198" width="12.140625" style="491" customWidth="1"/>
    <col min="8199" max="8199" width="9.85546875" style="491" customWidth="1"/>
    <col min="8200" max="8200" width="11.28515625" style="491" customWidth="1"/>
    <col min="8201" max="8201" width="12.42578125" style="491" customWidth="1"/>
    <col min="8202" max="8202" width="10.85546875" style="491" customWidth="1"/>
    <col min="8203" max="8203" width="8.140625" style="491" customWidth="1"/>
    <col min="8204" max="8204" width="11.28515625" style="491" customWidth="1"/>
    <col min="8205" max="8205" width="13.42578125" style="491" customWidth="1"/>
    <col min="8206" max="8448" width="11.42578125" style="491"/>
    <col min="8449" max="8449" width="26.7109375" style="491" customWidth="1"/>
    <col min="8450" max="8450" width="5.42578125" style="491" bestFit="1" customWidth="1"/>
    <col min="8451" max="8451" width="9.5703125" style="491" customWidth="1"/>
    <col min="8452" max="8452" width="7.85546875" style="491" bestFit="1" customWidth="1"/>
    <col min="8453" max="8453" width="8" style="491" bestFit="1" customWidth="1"/>
    <col min="8454" max="8454" width="12.140625" style="491" customWidth="1"/>
    <col min="8455" max="8455" width="9.85546875" style="491" customWidth="1"/>
    <col min="8456" max="8456" width="11.28515625" style="491" customWidth="1"/>
    <col min="8457" max="8457" width="12.42578125" style="491" customWidth="1"/>
    <col min="8458" max="8458" width="10.85546875" style="491" customWidth="1"/>
    <col min="8459" max="8459" width="8.140625" style="491" customWidth="1"/>
    <col min="8460" max="8460" width="11.28515625" style="491" customWidth="1"/>
    <col min="8461" max="8461" width="13.42578125" style="491" customWidth="1"/>
    <col min="8462" max="8704" width="11.42578125" style="491"/>
    <col min="8705" max="8705" width="26.7109375" style="491" customWidth="1"/>
    <col min="8706" max="8706" width="5.42578125" style="491" bestFit="1" customWidth="1"/>
    <col min="8707" max="8707" width="9.5703125" style="491" customWidth="1"/>
    <col min="8708" max="8708" width="7.85546875" style="491" bestFit="1" customWidth="1"/>
    <col min="8709" max="8709" width="8" style="491" bestFit="1" customWidth="1"/>
    <col min="8710" max="8710" width="12.140625" style="491" customWidth="1"/>
    <col min="8711" max="8711" width="9.85546875" style="491" customWidth="1"/>
    <col min="8712" max="8712" width="11.28515625" style="491" customWidth="1"/>
    <col min="8713" max="8713" width="12.42578125" style="491" customWidth="1"/>
    <col min="8714" max="8714" width="10.85546875" style="491" customWidth="1"/>
    <col min="8715" max="8715" width="8.140625" style="491" customWidth="1"/>
    <col min="8716" max="8716" width="11.28515625" style="491" customWidth="1"/>
    <col min="8717" max="8717" width="13.42578125" style="491" customWidth="1"/>
    <col min="8718" max="8960" width="11.42578125" style="491"/>
    <col min="8961" max="8961" width="26.7109375" style="491" customWidth="1"/>
    <col min="8962" max="8962" width="5.42578125" style="491" bestFit="1" customWidth="1"/>
    <col min="8963" max="8963" width="9.5703125" style="491" customWidth="1"/>
    <col min="8964" max="8964" width="7.85546875" style="491" bestFit="1" customWidth="1"/>
    <col min="8965" max="8965" width="8" style="491" bestFit="1" customWidth="1"/>
    <col min="8966" max="8966" width="12.140625" style="491" customWidth="1"/>
    <col min="8967" max="8967" width="9.85546875" style="491" customWidth="1"/>
    <col min="8968" max="8968" width="11.28515625" style="491" customWidth="1"/>
    <col min="8969" max="8969" width="12.42578125" style="491" customWidth="1"/>
    <col min="8970" max="8970" width="10.85546875" style="491" customWidth="1"/>
    <col min="8971" max="8971" width="8.140625" style="491" customWidth="1"/>
    <col min="8972" max="8972" width="11.28515625" style="491" customWidth="1"/>
    <col min="8973" max="8973" width="13.42578125" style="491" customWidth="1"/>
    <col min="8974" max="9216" width="11.42578125" style="491"/>
    <col min="9217" max="9217" width="26.7109375" style="491" customWidth="1"/>
    <col min="9218" max="9218" width="5.42578125" style="491" bestFit="1" customWidth="1"/>
    <col min="9219" max="9219" width="9.5703125" style="491" customWidth="1"/>
    <col min="9220" max="9220" width="7.85546875" style="491" bestFit="1" customWidth="1"/>
    <col min="9221" max="9221" width="8" style="491" bestFit="1" customWidth="1"/>
    <col min="9222" max="9222" width="12.140625" style="491" customWidth="1"/>
    <col min="9223" max="9223" width="9.85546875" style="491" customWidth="1"/>
    <col min="9224" max="9224" width="11.28515625" style="491" customWidth="1"/>
    <col min="9225" max="9225" width="12.42578125" style="491" customWidth="1"/>
    <col min="9226" max="9226" width="10.85546875" style="491" customWidth="1"/>
    <col min="9227" max="9227" width="8.140625" style="491" customWidth="1"/>
    <col min="9228" max="9228" width="11.28515625" style="491" customWidth="1"/>
    <col min="9229" max="9229" width="13.42578125" style="491" customWidth="1"/>
    <col min="9230" max="9472" width="11.42578125" style="491"/>
    <col min="9473" max="9473" width="26.7109375" style="491" customWidth="1"/>
    <col min="9474" max="9474" width="5.42578125" style="491" bestFit="1" customWidth="1"/>
    <col min="9475" max="9475" width="9.5703125" style="491" customWidth="1"/>
    <col min="9476" max="9476" width="7.85546875" style="491" bestFit="1" customWidth="1"/>
    <col min="9477" max="9477" width="8" style="491" bestFit="1" customWidth="1"/>
    <col min="9478" max="9478" width="12.140625" style="491" customWidth="1"/>
    <col min="9479" max="9479" width="9.85546875" style="491" customWidth="1"/>
    <col min="9480" max="9480" width="11.28515625" style="491" customWidth="1"/>
    <col min="9481" max="9481" width="12.42578125" style="491" customWidth="1"/>
    <col min="9482" max="9482" width="10.85546875" style="491" customWidth="1"/>
    <col min="9483" max="9483" width="8.140625" style="491" customWidth="1"/>
    <col min="9484" max="9484" width="11.28515625" style="491" customWidth="1"/>
    <col min="9485" max="9485" width="13.42578125" style="491" customWidth="1"/>
    <col min="9486" max="9728" width="11.42578125" style="491"/>
    <col min="9729" max="9729" width="26.7109375" style="491" customWidth="1"/>
    <col min="9730" max="9730" width="5.42578125" style="491" bestFit="1" customWidth="1"/>
    <col min="9731" max="9731" width="9.5703125" style="491" customWidth="1"/>
    <col min="9732" max="9732" width="7.85546875" style="491" bestFit="1" customWidth="1"/>
    <col min="9733" max="9733" width="8" style="491" bestFit="1" customWidth="1"/>
    <col min="9734" max="9734" width="12.140625" style="491" customWidth="1"/>
    <col min="9735" max="9735" width="9.85546875" style="491" customWidth="1"/>
    <col min="9736" max="9736" width="11.28515625" style="491" customWidth="1"/>
    <col min="9737" max="9737" width="12.42578125" style="491" customWidth="1"/>
    <col min="9738" max="9738" width="10.85546875" style="491" customWidth="1"/>
    <col min="9739" max="9739" width="8.140625" style="491" customWidth="1"/>
    <col min="9740" max="9740" width="11.28515625" style="491" customWidth="1"/>
    <col min="9741" max="9741" width="13.42578125" style="491" customWidth="1"/>
    <col min="9742" max="9984" width="11.42578125" style="491"/>
    <col min="9985" max="9985" width="26.7109375" style="491" customWidth="1"/>
    <col min="9986" max="9986" width="5.42578125" style="491" bestFit="1" customWidth="1"/>
    <col min="9987" max="9987" width="9.5703125" style="491" customWidth="1"/>
    <col min="9988" max="9988" width="7.85546875" style="491" bestFit="1" customWidth="1"/>
    <col min="9989" max="9989" width="8" style="491" bestFit="1" customWidth="1"/>
    <col min="9990" max="9990" width="12.140625" style="491" customWidth="1"/>
    <col min="9991" max="9991" width="9.85546875" style="491" customWidth="1"/>
    <col min="9992" max="9992" width="11.28515625" style="491" customWidth="1"/>
    <col min="9993" max="9993" width="12.42578125" style="491" customWidth="1"/>
    <col min="9994" max="9994" width="10.85546875" style="491" customWidth="1"/>
    <col min="9995" max="9995" width="8.140625" style="491" customWidth="1"/>
    <col min="9996" max="9996" width="11.28515625" style="491" customWidth="1"/>
    <col min="9997" max="9997" width="13.42578125" style="491" customWidth="1"/>
    <col min="9998" max="10240" width="11.42578125" style="491"/>
    <col min="10241" max="10241" width="26.7109375" style="491" customWidth="1"/>
    <col min="10242" max="10242" width="5.42578125" style="491" bestFit="1" customWidth="1"/>
    <col min="10243" max="10243" width="9.5703125" style="491" customWidth="1"/>
    <col min="10244" max="10244" width="7.85546875" style="491" bestFit="1" customWidth="1"/>
    <col min="10245" max="10245" width="8" style="491" bestFit="1" customWidth="1"/>
    <col min="10246" max="10246" width="12.140625" style="491" customWidth="1"/>
    <col min="10247" max="10247" width="9.85546875" style="491" customWidth="1"/>
    <col min="10248" max="10248" width="11.28515625" style="491" customWidth="1"/>
    <col min="10249" max="10249" width="12.42578125" style="491" customWidth="1"/>
    <col min="10250" max="10250" width="10.85546875" style="491" customWidth="1"/>
    <col min="10251" max="10251" width="8.140625" style="491" customWidth="1"/>
    <col min="10252" max="10252" width="11.28515625" style="491" customWidth="1"/>
    <col min="10253" max="10253" width="13.42578125" style="491" customWidth="1"/>
    <col min="10254" max="10496" width="11.42578125" style="491"/>
    <col min="10497" max="10497" width="26.7109375" style="491" customWidth="1"/>
    <col min="10498" max="10498" width="5.42578125" style="491" bestFit="1" customWidth="1"/>
    <col min="10499" max="10499" width="9.5703125" style="491" customWidth="1"/>
    <col min="10500" max="10500" width="7.85546875" style="491" bestFit="1" customWidth="1"/>
    <col min="10501" max="10501" width="8" style="491" bestFit="1" customWidth="1"/>
    <col min="10502" max="10502" width="12.140625" style="491" customWidth="1"/>
    <col min="10503" max="10503" width="9.85546875" style="491" customWidth="1"/>
    <col min="10504" max="10504" width="11.28515625" style="491" customWidth="1"/>
    <col min="10505" max="10505" width="12.42578125" style="491" customWidth="1"/>
    <col min="10506" max="10506" width="10.85546875" style="491" customWidth="1"/>
    <col min="10507" max="10507" width="8.140625" style="491" customWidth="1"/>
    <col min="10508" max="10508" width="11.28515625" style="491" customWidth="1"/>
    <col min="10509" max="10509" width="13.42578125" style="491" customWidth="1"/>
    <col min="10510" max="10752" width="11.42578125" style="491"/>
    <col min="10753" max="10753" width="26.7109375" style="491" customWidth="1"/>
    <col min="10754" max="10754" width="5.42578125" style="491" bestFit="1" customWidth="1"/>
    <col min="10755" max="10755" width="9.5703125" style="491" customWidth="1"/>
    <col min="10756" max="10756" width="7.85546875" style="491" bestFit="1" customWidth="1"/>
    <col min="10757" max="10757" width="8" style="491" bestFit="1" customWidth="1"/>
    <col min="10758" max="10758" width="12.140625" style="491" customWidth="1"/>
    <col min="10759" max="10759" width="9.85546875" style="491" customWidth="1"/>
    <col min="10760" max="10760" width="11.28515625" style="491" customWidth="1"/>
    <col min="10761" max="10761" width="12.42578125" style="491" customWidth="1"/>
    <col min="10762" max="10762" width="10.85546875" style="491" customWidth="1"/>
    <col min="10763" max="10763" width="8.140625" style="491" customWidth="1"/>
    <col min="10764" max="10764" width="11.28515625" style="491" customWidth="1"/>
    <col min="10765" max="10765" width="13.42578125" style="491" customWidth="1"/>
    <col min="10766" max="11008" width="11.42578125" style="491"/>
    <col min="11009" max="11009" width="26.7109375" style="491" customWidth="1"/>
    <col min="11010" max="11010" width="5.42578125" style="491" bestFit="1" customWidth="1"/>
    <col min="11011" max="11011" width="9.5703125" style="491" customWidth="1"/>
    <col min="11012" max="11012" width="7.85546875" style="491" bestFit="1" customWidth="1"/>
    <col min="11013" max="11013" width="8" style="491" bestFit="1" customWidth="1"/>
    <col min="11014" max="11014" width="12.140625" style="491" customWidth="1"/>
    <col min="11015" max="11015" width="9.85546875" style="491" customWidth="1"/>
    <col min="11016" max="11016" width="11.28515625" style="491" customWidth="1"/>
    <col min="11017" max="11017" width="12.42578125" style="491" customWidth="1"/>
    <col min="11018" max="11018" width="10.85546875" style="491" customWidth="1"/>
    <col min="11019" max="11019" width="8.140625" style="491" customWidth="1"/>
    <col min="11020" max="11020" width="11.28515625" style="491" customWidth="1"/>
    <col min="11021" max="11021" width="13.42578125" style="491" customWidth="1"/>
    <col min="11022" max="11264" width="11.42578125" style="491"/>
    <col min="11265" max="11265" width="26.7109375" style="491" customWidth="1"/>
    <col min="11266" max="11266" width="5.42578125" style="491" bestFit="1" customWidth="1"/>
    <col min="11267" max="11267" width="9.5703125" style="491" customWidth="1"/>
    <col min="11268" max="11268" width="7.85546875" style="491" bestFit="1" customWidth="1"/>
    <col min="11269" max="11269" width="8" style="491" bestFit="1" customWidth="1"/>
    <col min="11270" max="11270" width="12.140625" style="491" customWidth="1"/>
    <col min="11271" max="11271" width="9.85546875" style="491" customWidth="1"/>
    <col min="11272" max="11272" width="11.28515625" style="491" customWidth="1"/>
    <col min="11273" max="11273" width="12.42578125" style="491" customWidth="1"/>
    <col min="11274" max="11274" width="10.85546875" style="491" customWidth="1"/>
    <col min="11275" max="11275" width="8.140625" style="491" customWidth="1"/>
    <col min="11276" max="11276" width="11.28515625" style="491" customWidth="1"/>
    <col min="11277" max="11277" width="13.42578125" style="491" customWidth="1"/>
    <col min="11278" max="11520" width="11.42578125" style="491"/>
    <col min="11521" max="11521" width="26.7109375" style="491" customWidth="1"/>
    <col min="11522" max="11522" width="5.42578125" style="491" bestFit="1" customWidth="1"/>
    <col min="11523" max="11523" width="9.5703125" style="491" customWidth="1"/>
    <col min="11524" max="11524" width="7.85546875" style="491" bestFit="1" customWidth="1"/>
    <col min="11525" max="11525" width="8" style="491" bestFit="1" customWidth="1"/>
    <col min="11526" max="11526" width="12.140625" style="491" customWidth="1"/>
    <col min="11527" max="11527" width="9.85546875" style="491" customWidth="1"/>
    <col min="11528" max="11528" width="11.28515625" style="491" customWidth="1"/>
    <col min="11529" max="11529" width="12.42578125" style="491" customWidth="1"/>
    <col min="11530" max="11530" width="10.85546875" style="491" customWidth="1"/>
    <col min="11531" max="11531" width="8.140625" style="491" customWidth="1"/>
    <col min="11532" max="11532" width="11.28515625" style="491" customWidth="1"/>
    <col min="11533" max="11533" width="13.42578125" style="491" customWidth="1"/>
    <col min="11534" max="11776" width="11.42578125" style="491"/>
    <col min="11777" max="11777" width="26.7109375" style="491" customWidth="1"/>
    <col min="11778" max="11778" width="5.42578125" style="491" bestFit="1" customWidth="1"/>
    <col min="11779" max="11779" width="9.5703125" style="491" customWidth="1"/>
    <col min="11780" max="11780" width="7.85546875" style="491" bestFit="1" customWidth="1"/>
    <col min="11781" max="11781" width="8" style="491" bestFit="1" customWidth="1"/>
    <col min="11782" max="11782" width="12.140625" style="491" customWidth="1"/>
    <col min="11783" max="11783" width="9.85546875" style="491" customWidth="1"/>
    <col min="11784" max="11784" width="11.28515625" style="491" customWidth="1"/>
    <col min="11785" max="11785" width="12.42578125" style="491" customWidth="1"/>
    <col min="11786" max="11786" width="10.85546875" style="491" customWidth="1"/>
    <col min="11787" max="11787" width="8.140625" style="491" customWidth="1"/>
    <col min="11788" max="11788" width="11.28515625" style="491" customWidth="1"/>
    <col min="11789" max="11789" width="13.42578125" style="491" customWidth="1"/>
    <col min="11790" max="12032" width="11.42578125" style="491"/>
    <col min="12033" max="12033" width="26.7109375" style="491" customWidth="1"/>
    <col min="12034" max="12034" width="5.42578125" style="491" bestFit="1" customWidth="1"/>
    <col min="12035" max="12035" width="9.5703125" style="491" customWidth="1"/>
    <col min="12036" max="12036" width="7.85546875" style="491" bestFit="1" customWidth="1"/>
    <col min="12037" max="12037" width="8" style="491" bestFit="1" customWidth="1"/>
    <col min="12038" max="12038" width="12.140625" style="491" customWidth="1"/>
    <col min="12039" max="12039" width="9.85546875" style="491" customWidth="1"/>
    <col min="12040" max="12040" width="11.28515625" style="491" customWidth="1"/>
    <col min="12041" max="12041" width="12.42578125" style="491" customWidth="1"/>
    <col min="12042" max="12042" width="10.85546875" style="491" customWidth="1"/>
    <col min="12043" max="12043" width="8.140625" style="491" customWidth="1"/>
    <col min="12044" max="12044" width="11.28515625" style="491" customWidth="1"/>
    <col min="12045" max="12045" width="13.42578125" style="491" customWidth="1"/>
    <col min="12046" max="12288" width="11.42578125" style="491"/>
    <col min="12289" max="12289" width="26.7109375" style="491" customWidth="1"/>
    <col min="12290" max="12290" width="5.42578125" style="491" bestFit="1" customWidth="1"/>
    <col min="12291" max="12291" width="9.5703125" style="491" customWidth="1"/>
    <col min="12292" max="12292" width="7.85546875" style="491" bestFit="1" customWidth="1"/>
    <col min="12293" max="12293" width="8" style="491" bestFit="1" customWidth="1"/>
    <col min="12294" max="12294" width="12.140625" style="491" customWidth="1"/>
    <col min="12295" max="12295" width="9.85546875" style="491" customWidth="1"/>
    <col min="12296" max="12296" width="11.28515625" style="491" customWidth="1"/>
    <col min="12297" max="12297" width="12.42578125" style="491" customWidth="1"/>
    <col min="12298" max="12298" width="10.85546875" style="491" customWidth="1"/>
    <col min="12299" max="12299" width="8.140625" style="491" customWidth="1"/>
    <col min="12300" max="12300" width="11.28515625" style="491" customWidth="1"/>
    <col min="12301" max="12301" width="13.42578125" style="491" customWidth="1"/>
    <col min="12302" max="12544" width="11.42578125" style="491"/>
    <col min="12545" max="12545" width="26.7109375" style="491" customWidth="1"/>
    <col min="12546" max="12546" width="5.42578125" style="491" bestFit="1" customWidth="1"/>
    <col min="12547" max="12547" width="9.5703125" style="491" customWidth="1"/>
    <col min="12548" max="12548" width="7.85546875" style="491" bestFit="1" customWidth="1"/>
    <col min="12549" max="12549" width="8" style="491" bestFit="1" customWidth="1"/>
    <col min="12550" max="12550" width="12.140625" style="491" customWidth="1"/>
    <col min="12551" max="12551" width="9.85546875" style="491" customWidth="1"/>
    <col min="12552" max="12552" width="11.28515625" style="491" customWidth="1"/>
    <col min="12553" max="12553" width="12.42578125" style="491" customWidth="1"/>
    <col min="12554" max="12554" width="10.85546875" style="491" customWidth="1"/>
    <col min="12555" max="12555" width="8.140625" style="491" customWidth="1"/>
    <col min="12556" max="12556" width="11.28515625" style="491" customWidth="1"/>
    <col min="12557" max="12557" width="13.42578125" style="491" customWidth="1"/>
    <col min="12558" max="12800" width="11.42578125" style="491"/>
    <col min="12801" max="12801" width="26.7109375" style="491" customWidth="1"/>
    <col min="12802" max="12802" width="5.42578125" style="491" bestFit="1" customWidth="1"/>
    <col min="12803" max="12803" width="9.5703125" style="491" customWidth="1"/>
    <col min="12804" max="12804" width="7.85546875" style="491" bestFit="1" customWidth="1"/>
    <col min="12805" max="12805" width="8" style="491" bestFit="1" customWidth="1"/>
    <col min="12806" max="12806" width="12.140625" style="491" customWidth="1"/>
    <col min="12807" max="12807" width="9.85546875" style="491" customWidth="1"/>
    <col min="12808" max="12808" width="11.28515625" style="491" customWidth="1"/>
    <col min="12809" max="12809" width="12.42578125" style="491" customWidth="1"/>
    <col min="12810" max="12810" width="10.85546875" style="491" customWidth="1"/>
    <col min="12811" max="12811" width="8.140625" style="491" customWidth="1"/>
    <col min="12812" max="12812" width="11.28515625" style="491" customWidth="1"/>
    <col min="12813" max="12813" width="13.42578125" style="491" customWidth="1"/>
    <col min="12814" max="13056" width="11.42578125" style="491"/>
    <col min="13057" max="13057" width="26.7109375" style="491" customWidth="1"/>
    <col min="13058" max="13058" width="5.42578125" style="491" bestFit="1" customWidth="1"/>
    <col min="13059" max="13059" width="9.5703125" style="491" customWidth="1"/>
    <col min="13060" max="13060" width="7.85546875" style="491" bestFit="1" customWidth="1"/>
    <col min="13061" max="13061" width="8" style="491" bestFit="1" customWidth="1"/>
    <col min="13062" max="13062" width="12.140625" style="491" customWidth="1"/>
    <col min="13063" max="13063" width="9.85546875" style="491" customWidth="1"/>
    <col min="13064" max="13064" width="11.28515625" style="491" customWidth="1"/>
    <col min="13065" max="13065" width="12.42578125" style="491" customWidth="1"/>
    <col min="13066" max="13066" width="10.85546875" style="491" customWidth="1"/>
    <col min="13067" max="13067" width="8.140625" style="491" customWidth="1"/>
    <col min="13068" max="13068" width="11.28515625" style="491" customWidth="1"/>
    <col min="13069" max="13069" width="13.42578125" style="491" customWidth="1"/>
    <col min="13070" max="13312" width="11.42578125" style="491"/>
    <col min="13313" max="13313" width="26.7109375" style="491" customWidth="1"/>
    <col min="13314" max="13314" width="5.42578125" style="491" bestFit="1" customWidth="1"/>
    <col min="13315" max="13315" width="9.5703125" style="491" customWidth="1"/>
    <col min="13316" max="13316" width="7.85546875" style="491" bestFit="1" customWidth="1"/>
    <col min="13317" max="13317" width="8" style="491" bestFit="1" customWidth="1"/>
    <col min="13318" max="13318" width="12.140625" style="491" customWidth="1"/>
    <col min="13319" max="13319" width="9.85546875" style="491" customWidth="1"/>
    <col min="13320" max="13320" width="11.28515625" style="491" customWidth="1"/>
    <col min="13321" max="13321" width="12.42578125" style="491" customWidth="1"/>
    <col min="13322" max="13322" width="10.85546875" style="491" customWidth="1"/>
    <col min="13323" max="13323" width="8.140625" style="491" customWidth="1"/>
    <col min="13324" max="13324" width="11.28515625" style="491" customWidth="1"/>
    <col min="13325" max="13325" width="13.42578125" style="491" customWidth="1"/>
    <col min="13326" max="13568" width="11.42578125" style="491"/>
    <col min="13569" max="13569" width="26.7109375" style="491" customWidth="1"/>
    <col min="13570" max="13570" width="5.42578125" style="491" bestFit="1" customWidth="1"/>
    <col min="13571" max="13571" width="9.5703125" style="491" customWidth="1"/>
    <col min="13572" max="13572" width="7.85546875" style="491" bestFit="1" customWidth="1"/>
    <col min="13573" max="13573" width="8" style="491" bestFit="1" customWidth="1"/>
    <col min="13574" max="13574" width="12.140625" style="491" customWidth="1"/>
    <col min="13575" max="13575" width="9.85546875" style="491" customWidth="1"/>
    <col min="13576" max="13576" width="11.28515625" style="491" customWidth="1"/>
    <col min="13577" max="13577" width="12.42578125" style="491" customWidth="1"/>
    <col min="13578" max="13578" width="10.85546875" style="491" customWidth="1"/>
    <col min="13579" max="13579" width="8.140625" style="491" customWidth="1"/>
    <col min="13580" max="13580" width="11.28515625" style="491" customWidth="1"/>
    <col min="13581" max="13581" width="13.42578125" style="491" customWidth="1"/>
    <col min="13582" max="13824" width="11.42578125" style="491"/>
    <col min="13825" max="13825" width="26.7109375" style="491" customWidth="1"/>
    <col min="13826" max="13826" width="5.42578125" style="491" bestFit="1" customWidth="1"/>
    <col min="13827" max="13827" width="9.5703125" style="491" customWidth="1"/>
    <col min="13828" max="13828" width="7.85546875" style="491" bestFit="1" customWidth="1"/>
    <col min="13829" max="13829" width="8" style="491" bestFit="1" customWidth="1"/>
    <col min="13830" max="13830" width="12.140625" style="491" customWidth="1"/>
    <col min="13831" max="13831" width="9.85546875" style="491" customWidth="1"/>
    <col min="13832" max="13832" width="11.28515625" style="491" customWidth="1"/>
    <col min="13833" max="13833" width="12.42578125" style="491" customWidth="1"/>
    <col min="13834" max="13834" width="10.85546875" style="491" customWidth="1"/>
    <col min="13835" max="13835" width="8.140625" style="491" customWidth="1"/>
    <col min="13836" max="13836" width="11.28515625" style="491" customWidth="1"/>
    <col min="13837" max="13837" width="13.42578125" style="491" customWidth="1"/>
    <col min="13838" max="14080" width="11.42578125" style="491"/>
    <col min="14081" max="14081" width="26.7109375" style="491" customWidth="1"/>
    <col min="14082" max="14082" width="5.42578125" style="491" bestFit="1" customWidth="1"/>
    <col min="14083" max="14083" width="9.5703125" style="491" customWidth="1"/>
    <col min="14084" max="14084" width="7.85546875" style="491" bestFit="1" customWidth="1"/>
    <col min="14085" max="14085" width="8" style="491" bestFit="1" customWidth="1"/>
    <col min="14086" max="14086" width="12.140625" style="491" customWidth="1"/>
    <col min="14087" max="14087" width="9.85546875" style="491" customWidth="1"/>
    <col min="14088" max="14088" width="11.28515625" style="491" customWidth="1"/>
    <col min="14089" max="14089" width="12.42578125" style="491" customWidth="1"/>
    <col min="14090" max="14090" width="10.85546875" style="491" customWidth="1"/>
    <col min="14091" max="14091" width="8.140625" style="491" customWidth="1"/>
    <col min="14092" max="14092" width="11.28515625" style="491" customWidth="1"/>
    <col min="14093" max="14093" width="13.42578125" style="491" customWidth="1"/>
    <col min="14094" max="14336" width="11.42578125" style="491"/>
    <col min="14337" max="14337" width="26.7109375" style="491" customWidth="1"/>
    <col min="14338" max="14338" width="5.42578125" style="491" bestFit="1" customWidth="1"/>
    <col min="14339" max="14339" width="9.5703125" style="491" customWidth="1"/>
    <col min="14340" max="14340" width="7.85546875" style="491" bestFit="1" customWidth="1"/>
    <col min="14341" max="14341" width="8" style="491" bestFit="1" customWidth="1"/>
    <col min="14342" max="14342" width="12.140625" style="491" customWidth="1"/>
    <col min="14343" max="14343" width="9.85546875" style="491" customWidth="1"/>
    <col min="14344" max="14344" width="11.28515625" style="491" customWidth="1"/>
    <col min="14345" max="14345" width="12.42578125" style="491" customWidth="1"/>
    <col min="14346" max="14346" width="10.85546875" style="491" customWidth="1"/>
    <col min="14347" max="14347" width="8.140625" style="491" customWidth="1"/>
    <col min="14348" max="14348" width="11.28515625" style="491" customWidth="1"/>
    <col min="14349" max="14349" width="13.42578125" style="491" customWidth="1"/>
    <col min="14350" max="14592" width="11.42578125" style="491"/>
    <col min="14593" max="14593" width="26.7109375" style="491" customWidth="1"/>
    <col min="14594" max="14594" width="5.42578125" style="491" bestFit="1" customWidth="1"/>
    <col min="14595" max="14595" width="9.5703125" style="491" customWidth="1"/>
    <col min="14596" max="14596" width="7.85546875" style="491" bestFit="1" customWidth="1"/>
    <col min="14597" max="14597" width="8" style="491" bestFit="1" customWidth="1"/>
    <col min="14598" max="14598" width="12.140625" style="491" customWidth="1"/>
    <col min="14599" max="14599" width="9.85546875" style="491" customWidth="1"/>
    <col min="14600" max="14600" width="11.28515625" style="491" customWidth="1"/>
    <col min="14601" max="14601" width="12.42578125" style="491" customWidth="1"/>
    <col min="14602" max="14602" width="10.85546875" style="491" customWidth="1"/>
    <col min="14603" max="14603" width="8.140625" style="491" customWidth="1"/>
    <col min="14604" max="14604" width="11.28515625" style="491" customWidth="1"/>
    <col min="14605" max="14605" width="13.42578125" style="491" customWidth="1"/>
    <col min="14606" max="14848" width="11.42578125" style="491"/>
    <col min="14849" max="14849" width="26.7109375" style="491" customWidth="1"/>
    <col min="14850" max="14850" width="5.42578125" style="491" bestFit="1" customWidth="1"/>
    <col min="14851" max="14851" width="9.5703125" style="491" customWidth="1"/>
    <col min="14852" max="14852" width="7.85546875" style="491" bestFit="1" customWidth="1"/>
    <col min="14853" max="14853" width="8" style="491" bestFit="1" customWidth="1"/>
    <col min="14854" max="14854" width="12.140625" style="491" customWidth="1"/>
    <col min="14855" max="14855" width="9.85546875" style="491" customWidth="1"/>
    <col min="14856" max="14856" width="11.28515625" style="491" customWidth="1"/>
    <col min="14857" max="14857" width="12.42578125" style="491" customWidth="1"/>
    <col min="14858" max="14858" width="10.85546875" style="491" customWidth="1"/>
    <col min="14859" max="14859" width="8.140625" style="491" customWidth="1"/>
    <col min="14860" max="14860" width="11.28515625" style="491" customWidth="1"/>
    <col min="14861" max="14861" width="13.42578125" style="491" customWidth="1"/>
    <col min="14862" max="15104" width="11.42578125" style="491"/>
    <col min="15105" max="15105" width="26.7109375" style="491" customWidth="1"/>
    <col min="15106" max="15106" width="5.42578125" style="491" bestFit="1" customWidth="1"/>
    <col min="15107" max="15107" width="9.5703125" style="491" customWidth="1"/>
    <col min="15108" max="15108" width="7.85546875" style="491" bestFit="1" customWidth="1"/>
    <col min="15109" max="15109" width="8" style="491" bestFit="1" customWidth="1"/>
    <col min="15110" max="15110" width="12.140625" style="491" customWidth="1"/>
    <col min="15111" max="15111" width="9.85546875" style="491" customWidth="1"/>
    <col min="15112" max="15112" width="11.28515625" style="491" customWidth="1"/>
    <col min="15113" max="15113" width="12.42578125" style="491" customWidth="1"/>
    <col min="15114" max="15114" width="10.85546875" style="491" customWidth="1"/>
    <col min="15115" max="15115" width="8.140625" style="491" customWidth="1"/>
    <col min="15116" max="15116" width="11.28515625" style="491" customWidth="1"/>
    <col min="15117" max="15117" width="13.42578125" style="491" customWidth="1"/>
    <col min="15118" max="15360" width="11.42578125" style="491"/>
    <col min="15361" max="15361" width="26.7109375" style="491" customWidth="1"/>
    <col min="15362" max="15362" width="5.42578125" style="491" bestFit="1" customWidth="1"/>
    <col min="15363" max="15363" width="9.5703125" style="491" customWidth="1"/>
    <col min="15364" max="15364" width="7.85546875" style="491" bestFit="1" customWidth="1"/>
    <col min="15365" max="15365" width="8" style="491" bestFit="1" customWidth="1"/>
    <col min="15366" max="15366" width="12.140625" style="491" customWidth="1"/>
    <col min="15367" max="15367" width="9.85546875" style="491" customWidth="1"/>
    <col min="15368" max="15368" width="11.28515625" style="491" customWidth="1"/>
    <col min="15369" max="15369" width="12.42578125" style="491" customWidth="1"/>
    <col min="15370" max="15370" width="10.85546875" style="491" customWidth="1"/>
    <col min="15371" max="15371" width="8.140625" style="491" customWidth="1"/>
    <col min="15372" max="15372" width="11.28515625" style="491" customWidth="1"/>
    <col min="15373" max="15373" width="13.42578125" style="491" customWidth="1"/>
    <col min="15374" max="15616" width="11.42578125" style="491"/>
    <col min="15617" max="15617" width="26.7109375" style="491" customWidth="1"/>
    <col min="15618" max="15618" width="5.42578125" style="491" bestFit="1" customWidth="1"/>
    <col min="15619" max="15619" width="9.5703125" style="491" customWidth="1"/>
    <col min="15620" max="15620" width="7.85546875" style="491" bestFit="1" customWidth="1"/>
    <col min="15621" max="15621" width="8" style="491" bestFit="1" customWidth="1"/>
    <col min="15622" max="15622" width="12.140625" style="491" customWidth="1"/>
    <col min="15623" max="15623" width="9.85546875" style="491" customWidth="1"/>
    <col min="15624" max="15624" width="11.28515625" style="491" customWidth="1"/>
    <col min="15625" max="15625" width="12.42578125" style="491" customWidth="1"/>
    <col min="15626" max="15626" width="10.85546875" style="491" customWidth="1"/>
    <col min="15627" max="15627" width="8.140625" style="491" customWidth="1"/>
    <col min="15628" max="15628" width="11.28515625" style="491" customWidth="1"/>
    <col min="15629" max="15629" width="13.42578125" style="491" customWidth="1"/>
    <col min="15630" max="15872" width="11.42578125" style="491"/>
    <col min="15873" max="15873" width="26.7109375" style="491" customWidth="1"/>
    <col min="15874" max="15874" width="5.42578125" style="491" bestFit="1" customWidth="1"/>
    <col min="15875" max="15875" width="9.5703125" style="491" customWidth="1"/>
    <col min="15876" max="15876" width="7.85546875" style="491" bestFit="1" customWidth="1"/>
    <col min="15877" max="15877" width="8" style="491" bestFit="1" customWidth="1"/>
    <col min="15878" max="15878" width="12.140625" style="491" customWidth="1"/>
    <col min="15879" max="15879" width="9.85546875" style="491" customWidth="1"/>
    <col min="15880" max="15880" width="11.28515625" style="491" customWidth="1"/>
    <col min="15881" max="15881" width="12.42578125" style="491" customWidth="1"/>
    <col min="15882" max="15882" width="10.85546875" style="491" customWidth="1"/>
    <col min="15883" max="15883" width="8.140625" style="491" customWidth="1"/>
    <col min="15884" max="15884" width="11.28515625" style="491" customWidth="1"/>
    <col min="15885" max="15885" width="13.42578125" style="491" customWidth="1"/>
    <col min="15886" max="16128" width="11.42578125" style="491"/>
    <col min="16129" max="16129" width="26.7109375" style="491" customWidth="1"/>
    <col min="16130" max="16130" width="5.42578125" style="491" bestFit="1" customWidth="1"/>
    <col min="16131" max="16131" width="9.5703125" style="491" customWidth="1"/>
    <col min="16132" max="16132" width="7.85546875" style="491" bestFit="1" customWidth="1"/>
    <col min="16133" max="16133" width="8" style="491" bestFit="1" customWidth="1"/>
    <col min="16134" max="16134" width="12.140625" style="491" customWidth="1"/>
    <col min="16135" max="16135" width="9.85546875" style="491" customWidth="1"/>
    <col min="16136" max="16136" width="11.28515625" style="491" customWidth="1"/>
    <col min="16137" max="16137" width="12.42578125" style="491" customWidth="1"/>
    <col min="16138" max="16138" width="10.85546875" style="491" customWidth="1"/>
    <col min="16139" max="16139" width="8.140625" style="491" customWidth="1"/>
    <col min="16140" max="16140" width="11.28515625" style="491" customWidth="1"/>
    <col min="16141" max="16141" width="13.42578125" style="491" customWidth="1"/>
    <col min="16142" max="16384" width="11.42578125" style="491"/>
  </cols>
  <sheetData>
    <row r="2" spans="1:13" ht="25.5">
      <c r="J2" s="779" t="s">
        <v>749</v>
      </c>
      <c r="L2" s="779"/>
      <c r="M2" s="779"/>
    </row>
    <row r="3" spans="1:13" ht="22.5">
      <c r="A3" s="916" t="s">
        <v>725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22.5">
      <c r="A4" s="916" t="s">
        <v>1122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8.75">
      <c r="A5" s="917" t="s">
        <v>576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</row>
    <row r="7" spans="1:13" ht="22.5">
      <c r="A7" s="916" t="s">
        <v>750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</row>
    <row r="8" spans="1:13" ht="22.5">
      <c r="A8" s="916" t="s">
        <v>751</v>
      </c>
      <c r="B8" s="916"/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</row>
    <row r="11" spans="1:13">
      <c r="A11" s="518" t="s">
        <v>752</v>
      </c>
      <c r="B11" s="518"/>
      <c r="C11" s="518" t="s">
        <v>753</v>
      </c>
      <c r="D11" s="518"/>
      <c r="E11" s="518" t="s">
        <v>753</v>
      </c>
      <c r="F11" s="519" t="s">
        <v>753</v>
      </c>
      <c r="G11" s="518" t="s">
        <v>754</v>
      </c>
      <c r="H11" s="518" t="s">
        <v>754</v>
      </c>
      <c r="I11" s="921" t="s">
        <v>755</v>
      </c>
      <c r="J11" s="921"/>
      <c r="K11" s="921"/>
      <c r="L11" s="921"/>
      <c r="M11" s="921"/>
    </row>
    <row r="12" spans="1:13">
      <c r="A12" s="520" t="s">
        <v>756</v>
      </c>
      <c r="B12" s="520"/>
      <c r="C12" s="520" t="s">
        <v>757</v>
      </c>
      <c r="D12" s="520"/>
      <c r="E12" s="520" t="s">
        <v>757</v>
      </c>
      <c r="F12" s="521" t="s">
        <v>758</v>
      </c>
      <c r="G12" s="520" t="s">
        <v>759</v>
      </c>
      <c r="H12" s="520" t="s">
        <v>760</v>
      </c>
      <c r="I12" s="518" t="s">
        <v>761</v>
      </c>
      <c r="J12" s="518" t="s">
        <v>762</v>
      </c>
      <c r="K12" s="518"/>
      <c r="L12" s="921" t="s">
        <v>763</v>
      </c>
      <c r="M12" s="921"/>
    </row>
    <row r="13" spans="1:13">
      <c r="A13" s="522" t="s">
        <v>764</v>
      </c>
      <c r="B13" s="522" t="s">
        <v>765</v>
      </c>
      <c r="C13" s="522" t="s">
        <v>766</v>
      </c>
      <c r="D13" s="522" t="s">
        <v>767</v>
      </c>
      <c r="E13" s="522" t="s">
        <v>768</v>
      </c>
      <c r="F13" s="523" t="s">
        <v>769</v>
      </c>
      <c r="G13" s="522" t="s">
        <v>770</v>
      </c>
      <c r="H13" s="522" t="s">
        <v>771</v>
      </c>
      <c r="I13" s="522" t="s">
        <v>772</v>
      </c>
      <c r="J13" s="522" t="s">
        <v>773</v>
      </c>
      <c r="K13" s="522" t="s">
        <v>774</v>
      </c>
      <c r="L13" s="524" t="s">
        <v>775</v>
      </c>
      <c r="M13" s="524" t="s">
        <v>776</v>
      </c>
    </row>
    <row r="14" spans="1:13">
      <c r="A14" s="49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</row>
    <row r="15" spans="1:13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</row>
    <row r="16" spans="1:13">
      <c r="A16" s="525" t="s">
        <v>777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</row>
    <row r="17" spans="1:13">
      <c r="A17" s="525" t="s">
        <v>778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</row>
    <row r="18" spans="1:13">
      <c r="A18" s="525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</row>
    <row r="19" spans="1:13">
      <c r="A19" s="525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</row>
    <row r="20" spans="1:13">
      <c r="A20" s="504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</row>
    <row r="21" spans="1:13">
      <c r="A21" s="498"/>
      <c r="G21" s="498"/>
      <c r="M21" s="526"/>
    </row>
    <row r="22" spans="1:13">
      <c r="A22" s="504" t="s">
        <v>744</v>
      </c>
      <c r="G22" s="504"/>
      <c r="M22" s="527"/>
    </row>
    <row r="23" spans="1:13">
      <c r="A23" s="498"/>
      <c r="G23" s="498"/>
      <c r="M23" s="527"/>
    </row>
    <row r="24" spans="1:13">
      <c r="A24" s="504" t="s">
        <v>745</v>
      </c>
      <c r="G24" s="504"/>
      <c r="M24" s="527"/>
    </row>
    <row r="25" spans="1:13">
      <c r="A25" s="528"/>
      <c r="M25" s="529"/>
    </row>
    <row r="26" spans="1:13">
      <c r="A26" s="498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</row>
    <row r="27" spans="1:13">
      <c r="A27" s="525" t="s">
        <v>777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</row>
    <row r="28" spans="1:13">
      <c r="A28" s="525" t="s">
        <v>779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</row>
    <row r="29" spans="1:13">
      <c r="A29" s="525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</row>
    <row r="30" spans="1:13">
      <c r="A30" s="504"/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</row>
    <row r="31" spans="1:13">
      <c r="A31" s="498"/>
      <c r="G31" s="498"/>
    </row>
    <row r="32" spans="1:13">
      <c r="A32" s="504" t="s">
        <v>744</v>
      </c>
      <c r="G32" s="504"/>
    </row>
    <row r="33" spans="1:13">
      <c r="A33" s="498"/>
      <c r="G33" s="498"/>
    </row>
    <row r="34" spans="1:13">
      <c r="A34" s="504" t="s">
        <v>745</v>
      </c>
      <c r="G34" s="504"/>
    </row>
    <row r="35" spans="1:13" ht="28.5" customHeight="1"/>
    <row r="36" spans="1:13" ht="24" customHeight="1"/>
    <row r="37" spans="1:13" s="492" customFormat="1" ht="21" customHeight="1"/>
    <row r="38" spans="1:13" s="492" customFormat="1" ht="15" customHeight="1">
      <c r="A38" s="514" t="s">
        <v>720</v>
      </c>
      <c r="B38" s="531"/>
      <c r="C38" s="826"/>
      <c r="D38" s="826" t="s">
        <v>721</v>
      </c>
      <c r="E38" s="826"/>
      <c r="F38" s="826"/>
      <c r="G38" s="826"/>
      <c r="H38" s="907" t="s">
        <v>609</v>
      </c>
      <c r="I38" s="907"/>
      <c r="J38" s="907"/>
      <c r="K38" s="920" t="s">
        <v>1016</v>
      </c>
      <c r="L38" s="920"/>
      <c r="M38" s="920"/>
    </row>
    <row r="39" spans="1:13" s="492" customFormat="1">
      <c r="A39" s="530" t="s">
        <v>746</v>
      </c>
      <c r="B39" s="531"/>
      <c r="C39" s="532"/>
      <c r="D39" s="920" t="s">
        <v>747</v>
      </c>
      <c r="E39" s="920"/>
      <c r="F39" s="920"/>
      <c r="G39" s="530"/>
      <c r="H39" s="922" t="s">
        <v>748</v>
      </c>
      <c r="I39" s="922"/>
      <c r="J39" s="532"/>
      <c r="K39" s="920" t="s">
        <v>698</v>
      </c>
      <c r="L39" s="920"/>
      <c r="M39" s="920"/>
    </row>
  </sheetData>
  <mergeCells count="12">
    <mergeCell ref="D39:F39"/>
    <mergeCell ref="I11:M11"/>
    <mergeCell ref="L12:M12"/>
    <mergeCell ref="A3:M3"/>
    <mergeCell ref="A4:M4"/>
    <mergeCell ref="A5:M5"/>
    <mergeCell ref="A7:M7"/>
    <mergeCell ref="A8:M8"/>
    <mergeCell ref="K38:M38"/>
    <mergeCell ref="K39:M39"/>
    <mergeCell ref="H39:I39"/>
    <mergeCell ref="H38:J38"/>
  </mergeCells>
  <printOptions horizontalCentered="1"/>
  <pageMargins left="1.5748031496062993" right="1.9685039370078741" top="1.0236220472440944" bottom="0.98425196850393704" header="0" footer="0"/>
  <pageSetup paperSize="5" scale="80" firstPageNumber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19" workbookViewId="0">
      <selection activeCell="I15" sqref="I15"/>
    </sheetView>
  </sheetViews>
  <sheetFormatPr baseColWidth="10" defaultRowHeight="12.75"/>
  <cols>
    <col min="1" max="1" width="26.5703125" style="491" customWidth="1"/>
    <col min="2" max="6" width="14.85546875" style="491" customWidth="1"/>
    <col min="7" max="256" width="11.42578125" style="491"/>
    <col min="257" max="257" width="26.5703125" style="491" customWidth="1"/>
    <col min="258" max="262" width="14.85546875" style="491" customWidth="1"/>
    <col min="263" max="512" width="11.42578125" style="491"/>
    <col min="513" max="513" width="26.5703125" style="491" customWidth="1"/>
    <col min="514" max="518" width="14.85546875" style="491" customWidth="1"/>
    <col min="519" max="768" width="11.42578125" style="491"/>
    <col min="769" max="769" width="26.5703125" style="491" customWidth="1"/>
    <col min="770" max="774" width="14.85546875" style="491" customWidth="1"/>
    <col min="775" max="1024" width="11.42578125" style="491"/>
    <col min="1025" max="1025" width="26.5703125" style="491" customWidth="1"/>
    <col min="1026" max="1030" width="14.85546875" style="491" customWidth="1"/>
    <col min="1031" max="1280" width="11.42578125" style="491"/>
    <col min="1281" max="1281" width="26.5703125" style="491" customWidth="1"/>
    <col min="1282" max="1286" width="14.85546875" style="491" customWidth="1"/>
    <col min="1287" max="1536" width="11.42578125" style="491"/>
    <col min="1537" max="1537" width="26.5703125" style="491" customWidth="1"/>
    <col min="1538" max="1542" width="14.85546875" style="491" customWidth="1"/>
    <col min="1543" max="1792" width="11.42578125" style="491"/>
    <col min="1793" max="1793" width="26.5703125" style="491" customWidth="1"/>
    <col min="1794" max="1798" width="14.85546875" style="491" customWidth="1"/>
    <col min="1799" max="2048" width="11.42578125" style="491"/>
    <col min="2049" max="2049" width="26.5703125" style="491" customWidth="1"/>
    <col min="2050" max="2054" width="14.85546875" style="491" customWidth="1"/>
    <col min="2055" max="2304" width="11.42578125" style="491"/>
    <col min="2305" max="2305" width="26.5703125" style="491" customWidth="1"/>
    <col min="2306" max="2310" width="14.85546875" style="491" customWidth="1"/>
    <col min="2311" max="2560" width="11.42578125" style="491"/>
    <col min="2561" max="2561" width="26.5703125" style="491" customWidth="1"/>
    <col min="2562" max="2566" width="14.85546875" style="491" customWidth="1"/>
    <col min="2567" max="2816" width="11.42578125" style="491"/>
    <col min="2817" max="2817" width="26.5703125" style="491" customWidth="1"/>
    <col min="2818" max="2822" width="14.85546875" style="491" customWidth="1"/>
    <col min="2823" max="3072" width="11.42578125" style="491"/>
    <col min="3073" max="3073" width="26.5703125" style="491" customWidth="1"/>
    <col min="3074" max="3078" width="14.85546875" style="491" customWidth="1"/>
    <col min="3079" max="3328" width="11.42578125" style="491"/>
    <col min="3329" max="3329" width="26.5703125" style="491" customWidth="1"/>
    <col min="3330" max="3334" width="14.85546875" style="491" customWidth="1"/>
    <col min="3335" max="3584" width="11.42578125" style="491"/>
    <col min="3585" max="3585" width="26.5703125" style="491" customWidth="1"/>
    <col min="3586" max="3590" width="14.85546875" style="491" customWidth="1"/>
    <col min="3591" max="3840" width="11.42578125" style="491"/>
    <col min="3841" max="3841" width="26.5703125" style="491" customWidth="1"/>
    <col min="3842" max="3846" width="14.85546875" style="491" customWidth="1"/>
    <col min="3847" max="4096" width="11.42578125" style="491"/>
    <col min="4097" max="4097" width="26.5703125" style="491" customWidth="1"/>
    <col min="4098" max="4102" width="14.85546875" style="491" customWidth="1"/>
    <col min="4103" max="4352" width="11.42578125" style="491"/>
    <col min="4353" max="4353" width="26.5703125" style="491" customWidth="1"/>
    <col min="4354" max="4358" width="14.85546875" style="491" customWidth="1"/>
    <col min="4359" max="4608" width="11.42578125" style="491"/>
    <col min="4609" max="4609" width="26.5703125" style="491" customWidth="1"/>
    <col min="4610" max="4614" width="14.85546875" style="491" customWidth="1"/>
    <col min="4615" max="4864" width="11.42578125" style="491"/>
    <col min="4865" max="4865" width="26.5703125" style="491" customWidth="1"/>
    <col min="4866" max="4870" width="14.85546875" style="491" customWidth="1"/>
    <col min="4871" max="5120" width="11.42578125" style="491"/>
    <col min="5121" max="5121" width="26.5703125" style="491" customWidth="1"/>
    <col min="5122" max="5126" width="14.85546875" style="491" customWidth="1"/>
    <col min="5127" max="5376" width="11.42578125" style="491"/>
    <col min="5377" max="5377" width="26.5703125" style="491" customWidth="1"/>
    <col min="5378" max="5382" width="14.85546875" style="491" customWidth="1"/>
    <col min="5383" max="5632" width="11.42578125" style="491"/>
    <col min="5633" max="5633" width="26.5703125" style="491" customWidth="1"/>
    <col min="5634" max="5638" width="14.85546875" style="491" customWidth="1"/>
    <col min="5639" max="5888" width="11.42578125" style="491"/>
    <col min="5889" max="5889" width="26.5703125" style="491" customWidth="1"/>
    <col min="5890" max="5894" width="14.85546875" style="491" customWidth="1"/>
    <col min="5895" max="6144" width="11.42578125" style="491"/>
    <col min="6145" max="6145" width="26.5703125" style="491" customWidth="1"/>
    <col min="6146" max="6150" width="14.85546875" style="491" customWidth="1"/>
    <col min="6151" max="6400" width="11.42578125" style="491"/>
    <col min="6401" max="6401" width="26.5703125" style="491" customWidth="1"/>
    <col min="6402" max="6406" width="14.85546875" style="491" customWidth="1"/>
    <col min="6407" max="6656" width="11.42578125" style="491"/>
    <col min="6657" max="6657" width="26.5703125" style="491" customWidth="1"/>
    <col min="6658" max="6662" width="14.85546875" style="491" customWidth="1"/>
    <col min="6663" max="6912" width="11.42578125" style="491"/>
    <col min="6913" max="6913" width="26.5703125" style="491" customWidth="1"/>
    <col min="6914" max="6918" width="14.85546875" style="491" customWidth="1"/>
    <col min="6919" max="7168" width="11.42578125" style="491"/>
    <col min="7169" max="7169" width="26.5703125" style="491" customWidth="1"/>
    <col min="7170" max="7174" width="14.85546875" style="491" customWidth="1"/>
    <col min="7175" max="7424" width="11.42578125" style="491"/>
    <col min="7425" max="7425" width="26.5703125" style="491" customWidth="1"/>
    <col min="7426" max="7430" width="14.85546875" style="491" customWidth="1"/>
    <col min="7431" max="7680" width="11.42578125" style="491"/>
    <col min="7681" max="7681" width="26.5703125" style="491" customWidth="1"/>
    <col min="7682" max="7686" width="14.85546875" style="491" customWidth="1"/>
    <col min="7687" max="7936" width="11.42578125" style="491"/>
    <col min="7937" max="7937" width="26.5703125" style="491" customWidth="1"/>
    <col min="7938" max="7942" width="14.85546875" style="491" customWidth="1"/>
    <col min="7943" max="8192" width="11.42578125" style="491"/>
    <col min="8193" max="8193" width="26.5703125" style="491" customWidth="1"/>
    <col min="8194" max="8198" width="14.85546875" style="491" customWidth="1"/>
    <col min="8199" max="8448" width="11.42578125" style="491"/>
    <col min="8449" max="8449" width="26.5703125" style="491" customWidth="1"/>
    <col min="8450" max="8454" width="14.85546875" style="491" customWidth="1"/>
    <col min="8455" max="8704" width="11.42578125" style="491"/>
    <col min="8705" max="8705" width="26.5703125" style="491" customWidth="1"/>
    <col min="8706" max="8710" width="14.85546875" style="491" customWidth="1"/>
    <col min="8711" max="8960" width="11.42578125" style="491"/>
    <col min="8961" max="8961" width="26.5703125" style="491" customWidth="1"/>
    <col min="8962" max="8966" width="14.85546875" style="491" customWidth="1"/>
    <col min="8967" max="9216" width="11.42578125" style="491"/>
    <col min="9217" max="9217" width="26.5703125" style="491" customWidth="1"/>
    <col min="9218" max="9222" width="14.85546875" style="491" customWidth="1"/>
    <col min="9223" max="9472" width="11.42578125" style="491"/>
    <col min="9473" max="9473" width="26.5703125" style="491" customWidth="1"/>
    <col min="9474" max="9478" width="14.85546875" style="491" customWidth="1"/>
    <col min="9479" max="9728" width="11.42578125" style="491"/>
    <col min="9729" max="9729" width="26.5703125" style="491" customWidth="1"/>
    <col min="9730" max="9734" width="14.85546875" style="491" customWidth="1"/>
    <col min="9735" max="9984" width="11.42578125" style="491"/>
    <col min="9985" max="9985" width="26.5703125" style="491" customWidth="1"/>
    <col min="9986" max="9990" width="14.85546875" style="491" customWidth="1"/>
    <col min="9991" max="10240" width="11.42578125" style="491"/>
    <col min="10241" max="10241" width="26.5703125" style="491" customWidth="1"/>
    <col min="10242" max="10246" width="14.85546875" style="491" customWidth="1"/>
    <col min="10247" max="10496" width="11.42578125" style="491"/>
    <col min="10497" max="10497" width="26.5703125" style="491" customWidth="1"/>
    <col min="10498" max="10502" width="14.85546875" style="491" customWidth="1"/>
    <col min="10503" max="10752" width="11.42578125" style="491"/>
    <col min="10753" max="10753" width="26.5703125" style="491" customWidth="1"/>
    <col min="10754" max="10758" width="14.85546875" style="491" customWidth="1"/>
    <col min="10759" max="11008" width="11.42578125" style="491"/>
    <col min="11009" max="11009" width="26.5703125" style="491" customWidth="1"/>
    <col min="11010" max="11014" width="14.85546875" style="491" customWidth="1"/>
    <col min="11015" max="11264" width="11.42578125" style="491"/>
    <col min="11265" max="11265" width="26.5703125" style="491" customWidth="1"/>
    <col min="11266" max="11270" width="14.85546875" style="491" customWidth="1"/>
    <col min="11271" max="11520" width="11.42578125" style="491"/>
    <col min="11521" max="11521" width="26.5703125" style="491" customWidth="1"/>
    <col min="11522" max="11526" width="14.85546875" style="491" customWidth="1"/>
    <col min="11527" max="11776" width="11.42578125" style="491"/>
    <col min="11777" max="11777" width="26.5703125" style="491" customWidth="1"/>
    <col min="11778" max="11782" width="14.85546875" style="491" customWidth="1"/>
    <col min="11783" max="12032" width="11.42578125" style="491"/>
    <col min="12033" max="12033" width="26.5703125" style="491" customWidth="1"/>
    <col min="12034" max="12038" width="14.85546875" style="491" customWidth="1"/>
    <col min="12039" max="12288" width="11.42578125" style="491"/>
    <col min="12289" max="12289" width="26.5703125" style="491" customWidth="1"/>
    <col min="12290" max="12294" width="14.85546875" style="491" customWidth="1"/>
    <col min="12295" max="12544" width="11.42578125" style="491"/>
    <col min="12545" max="12545" width="26.5703125" style="491" customWidth="1"/>
    <col min="12546" max="12550" width="14.85546875" style="491" customWidth="1"/>
    <col min="12551" max="12800" width="11.42578125" style="491"/>
    <col min="12801" max="12801" width="26.5703125" style="491" customWidth="1"/>
    <col min="12802" max="12806" width="14.85546875" style="491" customWidth="1"/>
    <col min="12807" max="13056" width="11.42578125" style="491"/>
    <col min="13057" max="13057" width="26.5703125" style="491" customWidth="1"/>
    <col min="13058" max="13062" width="14.85546875" style="491" customWidth="1"/>
    <col min="13063" max="13312" width="11.42578125" style="491"/>
    <col min="13313" max="13313" width="26.5703125" style="491" customWidth="1"/>
    <col min="13314" max="13318" width="14.85546875" style="491" customWidth="1"/>
    <col min="13319" max="13568" width="11.42578125" style="491"/>
    <col min="13569" max="13569" width="26.5703125" style="491" customWidth="1"/>
    <col min="13570" max="13574" width="14.85546875" style="491" customWidth="1"/>
    <col min="13575" max="13824" width="11.42578125" style="491"/>
    <col min="13825" max="13825" width="26.5703125" style="491" customWidth="1"/>
    <col min="13826" max="13830" width="14.85546875" style="491" customWidth="1"/>
    <col min="13831" max="14080" width="11.42578125" style="491"/>
    <col min="14081" max="14081" width="26.5703125" style="491" customWidth="1"/>
    <col min="14082" max="14086" width="14.85546875" style="491" customWidth="1"/>
    <col min="14087" max="14336" width="11.42578125" style="491"/>
    <col min="14337" max="14337" width="26.5703125" style="491" customWidth="1"/>
    <col min="14338" max="14342" width="14.85546875" style="491" customWidth="1"/>
    <col min="14343" max="14592" width="11.42578125" style="491"/>
    <col min="14593" max="14593" width="26.5703125" style="491" customWidth="1"/>
    <col min="14594" max="14598" width="14.85546875" style="491" customWidth="1"/>
    <col min="14599" max="14848" width="11.42578125" style="491"/>
    <col min="14849" max="14849" width="26.5703125" style="491" customWidth="1"/>
    <col min="14850" max="14854" width="14.85546875" style="491" customWidth="1"/>
    <col min="14855" max="15104" width="11.42578125" style="491"/>
    <col min="15105" max="15105" width="26.5703125" style="491" customWidth="1"/>
    <col min="15106" max="15110" width="14.85546875" style="491" customWidth="1"/>
    <col min="15111" max="15360" width="11.42578125" style="491"/>
    <col min="15361" max="15361" width="26.5703125" style="491" customWidth="1"/>
    <col min="15362" max="15366" width="14.85546875" style="491" customWidth="1"/>
    <col min="15367" max="15616" width="11.42578125" style="491"/>
    <col min="15617" max="15617" width="26.5703125" style="491" customWidth="1"/>
    <col min="15618" max="15622" width="14.85546875" style="491" customWidth="1"/>
    <col min="15623" max="15872" width="11.42578125" style="491"/>
    <col min="15873" max="15873" width="26.5703125" style="491" customWidth="1"/>
    <col min="15874" max="15878" width="14.85546875" style="491" customWidth="1"/>
    <col min="15879" max="16128" width="11.42578125" style="491"/>
    <col min="16129" max="16129" width="26.5703125" style="491" customWidth="1"/>
    <col min="16130" max="16134" width="14.85546875" style="491" customWidth="1"/>
    <col min="16135" max="16384" width="11.42578125" style="491"/>
  </cols>
  <sheetData>
    <row r="2" spans="1:6" ht="30" customHeight="1">
      <c r="C2" s="779" t="s">
        <v>815</v>
      </c>
      <c r="D2" s="779"/>
      <c r="E2" s="779"/>
      <c r="F2" s="779"/>
    </row>
    <row r="4" spans="1:6" ht="22.5">
      <c r="A4" s="916" t="str">
        <f>+'[1]Anexo C'!A3:M3</f>
        <v>BALANCE GENERAL</v>
      </c>
      <c r="B4" s="916"/>
      <c r="C4" s="916"/>
      <c r="D4" s="916"/>
      <c r="E4" s="916"/>
      <c r="F4" s="916"/>
    </row>
    <row r="5" spans="1:6" ht="22.5">
      <c r="A5" s="916" t="s">
        <v>1122</v>
      </c>
      <c r="B5" s="916"/>
      <c r="C5" s="916"/>
      <c r="D5" s="916"/>
      <c r="E5" s="916"/>
      <c r="F5" s="916"/>
    </row>
    <row r="6" spans="1:6" ht="18.75">
      <c r="A6" s="917" t="s">
        <v>576</v>
      </c>
      <c r="B6" s="917"/>
      <c r="C6" s="917"/>
      <c r="D6" s="917"/>
      <c r="E6" s="917"/>
      <c r="F6" s="917"/>
    </row>
    <row r="8" spans="1:6" ht="22.5">
      <c r="A8" s="916" t="s">
        <v>816</v>
      </c>
      <c r="B8" s="916"/>
      <c r="C8" s="916"/>
      <c r="D8" s="916"/>
      <c r="E8" s="916"/>
      <c r="F8" s="916"/>
    </row>
    <row r="12" spans="1:6">
      <c r="A12" s="495"/>
      <c r="B12" s="495" t="s">
        <v>754</v>
      </c>
      <c r="C12" s="495"/>
      <c r="D12" s="495" t="s">
        <v>754</v>
      </c>
      <c r="E12" s="495" t="s">
        <v>753</v>
      </c>
      <c r="F12" s="495" t="s">
        <v>753</v>
      </c>
    </row>
    <row r="13" spans="1:6">
      <c r="A13" s="496"/>
      <c r="B13" s="496" t="s">
        <v>817</v>
      </c>
      <c r="C13" s="496"/>
      <c r="D13" s="496" t="s">
        <v>817</v>
      </c>
      <c r="E13" s="496" t="s">
        <v>818</v>
      </c>
      <c r="F13" s="496" t="s">
        <v>818</v>
      </c>
    </row>
    <row r="14" spans="1:6">
      <c r="A14" s="497" t="s">
        <v>819</v>
      </c>
      <c r="B14" s="497" t="s">
        <v>820</v>
      </c>
      <c r="C14" s="497" t="s">
        <v>821</v>
      </c>
      <c r="D14" s="497" t="s">
        <v>771</v>
      </c>
      <c r="E14" s="497" t="s">
        <v>822</v>
      </c>
      <c r="F14" s="497" t="s">
        <v>823</v>
      </c>
    </row>
    <row r="15" spans="1:6">
      <c r="A15" s="498"/>
      <c r="B15" s="600"/>
      <c r="C15" s="600"/>
      <c r="D15" s="600"/>
      <c r="E15" s="600"/>
      <c r="F15" s="600"/>
    </row>
    <row r="16" spans="1:6">
      <c r="A16" s="500" t="s">
        <v>777</v>
      </c>
      <c r="B16" s="601"/>
      <c r="C16" s="602"/>
      <c r="D16" s="602"/>
      <c r="E16" s="602"/>
      <c r="F16" s="602"/>
    </row>
    <row r="17" spans="1:6">
      <c r="A17" s="500" t="s">
        <v>824</v>
      </c>
      <c r="B17" s="603"/>
      <c r="C17" s="602"/>
      <c r="D17" s="604"/>
      <c r="E17" s="602"/>
      <c r="F17" s="602"/>
    </row>
    <row r="18" spans="1:6">
      <c r="A18" s="500"/>
      <c r="B18" s="602"/>
      <c r="C18" s="602"/>
      <c r="D18" s="602"/>
      <c r="E18" s="605"/>
      <c r="F18" s="602"/>
    </row>
    <row r="19" spans="1:6">
      <c r="A19" s="504"/>
      <c r="B19" s="606"/>
      <c r="C19" s="606"/>
      <c r="D19" s="606"/>
      <c r="F19" s="606"/>
    </row>
    <row r="20" spans="1:6">
      <c r="A20" s="607" t="s">
        <v>825</v>
      </c>
      <c r="B20" s="608"/>
      <c r="C20" s="609"/>
      <c r="D20" s="608"/>
      <c r="E20" s="608"/>
      <c r="F20" s="608"/>
    </row>
    <row r="21" spans="1:6">
      <c r="A21" s="498"/>
      <c r="B21" s="610"/>
      <c r="C21" s="609"/>
      <c r="D21" s="611"/>
      <c r="E21" s="609"/>
      <c r="F21" s="600"/>
    </row>
    <row r="22" spans="1:6">
      <c r="A22" s="500" t="s">
        <v>777</v>
      </c>
      <c r="B22" s="612"/>
      <c r="C22" s="602"/>
      <c r="D22" s="613"/>
      <c r="E22" s="614"/>
      <c r="F22" s="602"/>
    </row>
    <row r="23" spans="1:6">
      <c r="A23" s="500" t="s">
        <v>826</v>
      </c>
      <c r="B23" s="612"/>
      <c r="C23" s="602"/>
      <c r="D23" s="613"/>
      <c r="E23" s="614"/>
      <c r="F23" s="602"/>
    </row>
    <row r="24" spans="1:6">
      <c r="A24" s="500"/>
      <c r="B24" s="612"/>
      <c r="C24" s="602"/>
      <c r="D24" s="613"/>
      <c r="E24" s="614"/>
      <c r="F24" s="602"/>
    </row>
    <row r="25" spans="1:6">
      <c r="A25" s="504"/>
      <c r="B25" s="615"/>
      <c r="C25" s="606"/>
      <c r="D25" s="616"/>
      <c r="E25" s="617"/>
      <c r="F25" s="606"/>
    </row>
    <row r="26" spans="1:6">
      <c r="A26" s="607" t="s">
        <v>825</v>
      </c>
      <c r="B26" s="608"/>
      <c r="C26" s="617"/>
      <c r="D26" s="608"/>
      <c r="E26" s="608"/>
      <c r="F26" s="608"/>
    </row>
    <row r="27" spans="1:6">
      <c r="A27" s="498"/>
      <c r="B27" s="600"/>
      <c r="C27" s="600"/>
      <c r="D27" s="600"/>
      <c r="E27" s="609"/>
      <c r="F27" s="600"/>
    </row>
    <row r="28" spans="1:6">
      <c r="A28" s="511" t="s">
        <v>827</v>
      </c>
      <c r="B28" s="617"/>
      <c r="C28" s="617"/>
      <c r="D28" s="617"/>
      <c r="E28" s="617"/>
      <c r="F28" s="617"/>
    </row>
    <row r="30" spans="1:6" ht="26.25" customHeight="1"/>
    <row r="31" spans="1:6" ht="21" customHeight="1"/>
    <row r="32" spans="1:6" ht="21" customHeight="1"/>
    <row r="33" spans="1:5" s="492" customFormat="1"/>
    <row r="34" spans="1:5" s="492" customFormat="1">
      <c r="A34" s="530" t="str">
        <f>'[1]Anexo C'!A40</f>
        <v xml:space="preserve">Sra. Luisa I. Schaerer de Pallarés </v>
      </c>
      <c r="B34" s="531"/>
      <c r="D34" s="922" t="str">
        <f>'[1]Anexo C'!C40</f>
        <v xml:space="preserve">Lic. María Celeste Pallarés Viveros </v>
      </c>
      <c r="E34" s="922"/>
    </row>
    <row r="35" spans="1:5" s="492" customFormat="1">
      <c r="A35" s="530" t="s">
        <v>746</v>
      </c>
      <c r="B35" s="531"/>
      <c r="D35" s="920" t="s">
        <v>608</v>
      </c>
      <c r="E35" s="920"/>
    </row>
    <row r="36" spans="1:5" ht="23.25" customHeight="1"/>
    <row r="37" spans="1:5" ht="25.5" customHeight="1"/>
    <row r="38" spans="1:5" ht="21.75" customHeight="1"/>
    <row r="39" spans="1:5" ht="24.75" customHeight="1"/>
    <row r="40" spans="1:5">
      <c r="A40" s="530" t="str">
        <f>'[1]Anexo C'!G40</f>
        <v>Dr. Raul Fernando Vargas</v>
      </c>
      <c r="B40" s="531"/>
      <c r="D40" s="920" t="s">
        <v>610</v>
      </c>
      <c r="E40" s="920"/>
    </row>
    <row r="41" spans="1:5">
      <c r="A41" s="530" t="s">
        <v>748</v>
      </c>
      <c r="B41" s="531"/>
      <c r="D41" s="920" t="s">
        <v>698</v>
      </c>
      <c r="E41" s="920"/>
    </row>
  </sheetData>
  <mergeCells count="8">
    <mergeCell ref="D35:E35"/>
    <mergeCell ref="D40:E40"/>
    <mergeCell ref="D41:E41"/>
    <mergeCell ref="A4:F4"/>
    <mergeCell ref="A5:F5"/>
    <mergeCell ref="A6:F6"/>
    <mergeCell ref="A8:F8"/>
    <mergeCell ref="D34:E34"/>
  </mergeCells>
  <printOptions horizontalCentered="1"/>
  <pageMargins left="0.98425196850393704" right="0.98425196850393704" top="1.9685039370078741" bottom="0.98425196850393704" header="0.31496062992125984" footer="0"/>
  <pageSetup paperSize="5" scale="80" firstPageNumber="0" fitToHeight="0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4gO/rmT6dB7CzpkpjROOxbPNhv8=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bpx24eilgSqXfRfoiOnIoxi9Tx0=</DigestValue>
    </Reference>
  </SignedInfo>
  <SignatureValue>hu1Re9KpB/VwVhNUf5Ah4ZkmnQCGdPZMkiJpzC2dGaUHApHp7RdFwvKjs2e7lm9jTyZs2lUIYRHd
ETSfoUZUh1LDy6kqAyn0Rt7Fj+fOcTIQnClAcMtZiRcjASexgPWetGfK3KyGY0NngcmHqm1i1vfH
abgxOBpT11jHDmI4wY/mmSg6vKDnPDgOkRp5dSkUIT1oN//zsFqBvgj9aPixrXc+hkDBBGR6ItHL
1ddtTO6g42ZLUtue3YQX2FJNpuZq/AcyyPgJK6v2qK1Zi2i3PS18qv9Pv4pwsGcvvh0D1y51CP2M
Jlv5AJlV7RvNc+Sr0iRdtawweyhjlVlX/2YSXg==</SignatureValue>
  <KeyInfo>
    <X509Data>
      <X509Certificate>MIIIDjCCBfagAwIBAgIIT4q4L8e6rzgwDQYJKoZIhvcNAQELBQAwWzEXMBUGA1UEBRMOUlVDIDgw
MDUwMTcyLTExGjAYBgNVBAMTEUNBLURPQ1VNRU5UQSBTLkEuMRcwFQYDVQQKEw5ET0NVTUVOVEEg
Uy5BLjELMAkGA1UEBhMCUFkwHhcNMTkwNTA5MTMzNTQ1WhcNMjEwNTA4MTM0NTQ1WjCBrjELMAkG
A1UEBhMCUFkxHTAbBgNVBAQMFFNDSEFFUkVSIERFIFBBTExBUkVTMREwDwYDVQQFEwhDSTE1ODgx
MTEVMBMGA1UEKgwMTFVJU0EgSVNBQkVMMRcwFQYDVQQKDA5QRVJTT05BIEZJU0lDQTERMA8GA1UE
CwwIRklSTUEgRjIxKjAoBgNVBAMMIUxVSVNBIElTQUJFTCBTQ0hBRVJFUiBERSBQQUxMQVJFUzCC
ASIwDQYJKoZIhvcNAQEBBQADggEPADCCAQoCggEBAKc04kOFhpwVkwk0SjUhYpRI3ND2spP82C1y
D/0B+KP2YNj58vHaFY7x6I0+mPXX4jETfqM6f63Uzt6ZC5nJwMgsX/BzNEiwQBp7Avwgdkoimi6H
SmoliAsBqmBO29X5cbiPZJcAwbzPOpnNovZhn90ziF3HQwcmhSg6QGbxzzlwjuoLYuI0VGSejt2C
4xMdgQsLO4zMY93SAraoXUd2wML2fqiSqNMUlwt0oT16+8QAxl7TjRYZrQ6AvIyZnTwpadKGnhgT
7nb9KA8gx8vx+v5L7lUps6qnKJ1n6iWAtKRO/tb9MTUij6M+MRqe2CKcx9HTz/F0XgDv/p14Oiu8
yFkCAwEAAaOCA4AwggN8MAwGA1UdEwEB/wQCMAAwDgYDVR0PAQH/BAQDAgXgMCoGA1UdJQEB/wQg
MB4GCCsGAQUFBwMBBggrBgEFBQcDAgYIKwYBBQUHAwQwHQYDVR0OBBYEFD9I9EQ2RU/kHEXuwGFX
jw2rbiRsMIGWBggrBgEFBQcBAQSBiTCBhjA5BggrBgEFBQcwAYYtaHR0cDovL3d3dy5kb2N1bWVu
dGEuY29tLnB5L2Zpcm1hZGlnaXRhbC9vc2NwMEkGCCsGAQUFBzAChj1odHRwczovL3d3dy5kb2N1
bWVudGEuY29tLnB5L2Zpcm1hZGlnaXRhbC9kZXNjYXJnYXMvY2Fkb2MuY3J0MB8GA1UdIwQYMBaA
FEAmrCZcYo/G9QJU5I3BGibW7qWyME8GA1UdHwRIMEYwRKBCoECGPmh0dHBzOi8vd3d3LmRvY3Vt
ZW50YS5jb20ucHkvZmlybWFkaWdpdGFsL2Rlc2Nhcmdhcy9jcmxkb2MuY3JsMCUGA1UdEQQeMByB
Gmdsb3JpYWZsZWNoYUBjb3JvbmEuY29tLnB5MIIB3QYDVR0gBIIB1DCCAdAwggHMBg4rBgEEAYL5
OwEBAQYBATCCAbgwPwYIKwYBBQUHAgEWM2h0dHBzOi8vd3d3LmRvY3VtZW50YS5jb20ucHkvZmly
bWFkaWdpdGFsL2Rlc2NhcmdhczCBwAYIKwYBBQUHAgIwgbMagbBFc3RlIGVzIHVuIGNlcnRpZmlj
YWRvIGRlIHBlcnNvbmEgZu1zaWNhIGN1eWEgY2xhdmUgcHJpdmFkYSBlc3ThIGNvbnRlbmlkYSBl
biB1biBt82R1bG8gZGUgaGFyZHdhcmUgc2VndXJvIHkgc3UgZmluYWxpZGFkIGVzIGF1dGVudGlj
YXIgYSBzdSB0aXR1bGFyIG8gZ2VuZXJhciBmaXJtYXMgZGlnaXRhbGVzLjCBsQYIKwYBBQUHAgIw
gaQagaFUaGlzIGlzIGFuIGVuZCB1c2VyIGNlcnRpZmljYXRlIHdob3NlIHByaXZhdGUga2V5IGlz
IGVtYmVkZGVkIHdpdGhpbiBhIHNlY3VyZSBoYXJkd2FyZSBtb2R1bGUgdGhhdCBhaW1zIHRvIGF1
dGhlbnRpY2F0ZSBpdHMgb3duZXIgb3IgZ2VuZXJhdGUgZGlnaXRhbCBzaWduYXR1cmVzLjANBgkq
hkiG9w0BAQsFAAOCAgEApzRlQ2tJUxpXTSV8HhyHO2z/o9A7ouf8LKT8IMnSckwA0Sl53ADgMCgr
yiZOntd+wGLOBUWouQGccQzJi7QZsapwDC8kHpjQ+tzCaffQmqhHw301EFxMNg0/Dt4GU3XSK0vT
emG8g09yAEDf9NyWa3am8FsXB31nRdWB47UeI+s12stEYHML4YOjx/ycrPuVPyy+Ea4Qe+cWHFFr
3RwD97w8Wj91Uiwev81w3LUh3Qvaa4SXJ7vNeCPrYCRJKyssMrevh7sok7cZBcCcJRN9bvUPQQ0U
PcqBd5Gi6+zzMmWKOAJUz+AsAsyqIwf0vlG4RIwoRRXe/yS7DY5rNBxUfeF1XrqWDYCt/qSFqnfQ
YPjMbAiWWnGM34mCIczcjab7Hzz8bpPCJIKpDBROn521GQTisOXrFkgFuJyRo9uReXgl2Srb2cLh
/Ly7QBDvGogwaKySNVw0nhL3kJ3PDKkybPyLxNF/AL7s+TVARcsAue4z9uaqRZju2qha/xzwwzsM
amRe+eLbrdKME53jrt8DHDZRmc3X6oRMlK4Dg2KbnZUll3qSD7ZaH6TElmIraPfVL0HuHdI6oT+x
2e3fVRgoAIIBxJ4lkYNmRHYxI42UeLTRsLW6BRdwHPGumbNC1Ur79VCXfDU5kDWaujLzUj+C3Wyq
7dJjg79dK3SWQo+PMwY=</X509Certificate>
    </X509Data>
  </KeyInfo>
  <Object xmlns:mdssi="http://schemas.openxmlformats.org/package/2006/digital-signature" Id="idPackageObject">
    <Manifest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drawings/drawing8.xml?ContentType=application/vnd.openxmlformats-officedocument.drawing+xml">
        <DigestMethod Algorithm="http://www.w3.org/2000/09/xmldsig#sha1"/>
        <DigestValue>Ejy9HF1LizkfONlZdn3USdIiW3w=</DigestValue>
      </Reference>
      <Reference URI="/xl/worksheets/sheet8.xml?ContentType=application/vnd.openxmlformats-officedocument.spreadsheetml.worksheet+xml">
        <DigestMethod Algorithm="http://www.w3.org/2000/09/xmldsig#sha1"/>
        <DigestValue>PkAfEDhJe3fiJyHme2l/3/e42Yc=</DigestValue>
      </Reference>
      <Reference URI="/xl/worksheets/sheet9.xml?ContentType=application/vnd.openxmlformats-officedocument.spreadsheetml.worksheet+xml">
        <DigestMethod Algorithm="http://www.w3.org/2000/09/xmldsig#sha1"/>
        <DigestValue>H7JZHXQtIAMfnsajKD153XD117M=</DigestValue>
      </Reference>
      <Reference URI="/xl/worksheets/sheet12.xml?ContentType=application/vnd.openxmlformats-officedocument.spreadsheetml.worksheet+xml">
        <DigestMethod Algorithm="http://www.w3.org/2000/09/xmldsig#sha1"/>
        <DigestValue>lcZjW/hSebc9FfZOjROXyQqpMYA=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worksheets/sheet5.xml?ContentType=application/vnd.openxmlformats-officedocument.spreadsheetml.worksheet+xml">
        <DigestMethod Algorithm="http://www.w3.org/2000/09/xmldsig#sha1"/>
        <DigestValue>tYL2PaQAQuh9CAapgU7fQBeZ7oc=</DigestValue>
      </Reference>
      <Reference URI="/xl/worksheets/sheet6.xml?ContentType=application/vnd.openxmlformats-officedocument.spreadsheetml.worksheet+xml">
        <DigestMethod Algorithm="http://www.w3.org/2000/09/xmldsig#sha1"/>
        <DigestValue>mdjMno1J/12MNGBqD1267Mda4OM=</DigestValue>
      </Reference>
      <Reference URI="/xl/worksheets/sheet7.xml?ContentType=application/vnd.openxmlformats-officedocument.spreadsheetml.worksheet+xml">
        <DigestMethod Algorithm="http://www.w3.org/2000/09/xmldsig#sha1"/>
        <DigestValue>K1/A9JEnog0yGjKaiEPwFi41L9c=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styles.xml?ContentType=application/vnd.openxmlformats-officedocument.spreadsheetml.styles+xml">
        <DigestMethod Algorithm="http://www.w3.org/2000/09/xmldsig#sha1"/>
        <DigestValue>gPD9eKmffS1FUF1kXE7RrXrxD4s=</DigestValue>
      </Reference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3.xml?ContentType=application/vnd.openxmlformats-officedocument.spreadsheetml.worksheet+xml">
        <DigestMethod Algorithm="http://www.w3.org/2000/09/xmldsig#sha1"/>
        <DigestValue>4d4sjnzecHEeeDBGu1auukx8wUw=</DigestValue>
      </Reference>
      <Reference URI="/xl/worksheets/sheet11.xml?ContentType=application/vnd.openxmlformats-officedocument.spreadsheetml.worksheet+xml">
        <DigestMethod Algorithm="http://www.w3.org/2000/09/xmldsig#sha1"/>
        <DigestValue>k+W2mkYjLn3wA6OziUOru6Trdho=</DigestValue>
      </Reference>
      <Reference URI="/xl/worksheets/sheet10.xml?ContentType=application/vnd.openxmlformats-officedocument.spreadsheetml.worksheet+xml">
        <DigestMethod Algorithm="http://www.w3.org/2000/09/xmldsig#sha1"/>
        <DigestValue>j8g15zT1QL9HyPJeXvOx2UDxzbc=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calcChain.xml?ContentType=application/vnd.openxmlformats-officedocument.spreadsheetml.calcChain+xml">
        <DigestMethod Algorithm="http://www.w3.org/2000/09/xmldsig#sha1"/>
        <DigestValue>gsSGCly3s9SS0DZyKF/OHAbAQxY=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VQxmjdkTs7hBOODHiUtnZlmrNdg=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DMsYPI9us97KeGMqWnybUFRuFbg=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2.xml?ContentType=application/vnd.openxmlformats-officedocument.drawing+xml">
        <DigestMethod Algorithm="http://www.w3.org/2000/09/xmldsig#sha1"/>
        <DigestValue>0VeT8NB9XLZe13urE1+R9luJY0U=</DigestValue>
      </Reference>
      <Reference URI="/xl/worksheets/sheet14.xml?ContentType=application/vnd.openxmlformats-officedocument.spreadsheetml.worksheet+xml">
        <DigestMethod Algorithm="http://www.w3.org/2000/09/xmldsig#sha1"/>
        <DigestValue>Bqg9Ne+VTR1KM5G1OQRnASTMIFo=</DigestValue>
      </Reference>
      <Reference URI="/xl/drawings/drawing3.xml?ContentType=application/vnd.openxmlformats-officedocument.drawing+xml">
        <DigestMethod Algorithm="http://www.w3.org/2000/09/xmldsig#sha1"/>
        <DigestValue>/PAISPsAdEs87AwwnQUZmBK7eMc=</DigestValue>
      </Reference>
      <Reference URI="/xl/drawings/drawing1.xml?ContentType=application/vnd.openxmlformats-officedocument.drawing+xml">
        <DigestMethod Algorithm="http://www.w3.org/2000/09/xmldsig#sha1"/>
        <DigestValue>XkXRODrOFdRSYuW8pnrlRNOb0TU=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drawings/drawing4.xml?ContentType=application/vnd.openxmlformats-officedocument.drawing+xml">
        <DigestMethod Algorithm="http://www.w3.org/2000/09/xmldsig#sha1"/>
        <DigestValue>9ixqaw60NUujB5celPyIXb4qD6A=</DigestValue>
      </Reference>
      <Reference URI="/xl/sharedStrings.xml?ContentType=application/vnd.openxmlformats-officedocument.spreadsheetml.sharedStrings+xml">
        <DigestMethod Algorithm="http://www.w3.org/2000/09/xmldsig#sha1"/>
        <DigestValue>1zub0NI0d1L1CdiU7sYhlrsteeQ=</DigestValue>
      </Reference>
      <Reference URI="/xl/worksheets/sheet3.xml?ContentType=application/vnd.openxmlformats-officedocument.spreadsheetml.worksheet+xml">
        <DigestMethod Algorithm="http://www.w3.org/2000/09/xmldsig#sha1"/>
        <DigestValue>wEpUe7D5+ACjecBujK7vuJymS8s=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worksheets/sheet2.xml?ContentType=application/vnd.openxmlformats-officedocument.spreadsheetml.worksheet+xml">
        <DigestMethod Algorithm="http://www.w3.org/2000/09/xmldsig#sha1"/>
        <DigestValue>Vii/lnQVPB0TDfhSNQsPS5fXVcY=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media/image4.png?ContentType=image/png">
        <DigestMethod Algorithm="http://www.w3.org/2000/09/xmldsig#sha1"/>
        <DigestValue>WfK4WmtsBjIuGy516EG/MYBxHGs=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book.xml?ContentType=application/vnd.openxmlformats-officedocument.spreadsheetml.sheet.main+xml">
        <DigestMethod Algorithm="http://www.w3.org/2000/09/xmldsig#sha1"/>
        <DigestValue>M+W6asSCehhu3HaqN9/pt76K42I=</DigestValue>
      </Reference>
      <Reference URI="/xl/worksheets/sheet15.xml?ContentType=application/vnd.openxmlformats-officedocument.spreadsheetml.worksheet+xml">
        <DigestMethod Algorithm="http://www.w3.org/2000/09/xmldsig#sha1"/>
        <DigestValue>tLkek9woc/NkF3gutuRW5z/7s7E=</DigestValue>
      </Reference>
      <Reference URI="/xl/worksheets/sheet1.xml?ContentType=application/vnd.openxmlformats-officedocument.spreadsheetml.worksheet+xml">
        <DigestMethod Algorithm="http://www.w3.org/2000/09/xmldsig#sha1"/>
        <DigestValue>+I4YHzA0aNnEe4vn2uODFhYkOfU=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sheets/sheet4.xml?ContentType=application/vnd.openxmlformats-officedocument.spreadsheetml.worksheet+xml">
        <DigestMethod Algorithm="http://www.w3.org/2000/09/xmldsig#sha1"/>
        <DigestValue>rQzx/2N+gWPrVWuFRmbmZcTwrLw=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qL7jSsGheVCCeJsa+Hvzl7EEaNs=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2020-08-14T16:43:05Z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2020-08-14T16:43:05Z</xd:SigningTime>
          <xd:SigningCertificate>
            <xd:Cert>
              <xd:CertDigest>
                <DigestMethod Algorithm="http://www.w3.org/2000/09/xmldsig#sha1"/>
                <DigestValue>I9MRA6RnQZ7XxhqkjqK5DFAVT4U=</DigestValue>
              </xd:CertDigest>
              <xd:IssuerSerial>
                <X509IssuerName>C=PY, O=DOCUMENTA S.A., CN=CA-DOCUMENTA S.A., SERIALNUMBER=RUC 80050172-1</X509IssuerName>
                <X509SerialNumber>5731595991136251704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6lEzEZRY15uloRGE1coUOGyQ6BE=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CQuT7kH1nxE+IqkS3L6i+4ttvoM=</DigestValue>
    </Reference>
  </SignedInfo>
  <SignatureValue>IniZodPeRu52K6BnVrGmcL0R+gkmOTIZLpsHeIQrKaqGBgFtlLXF6nSE2WPFODoR4zH1AkYMTHtP
rTLOre5JgPIyuAOqeir2qqSt8kmx6IHcLX8wm7NEWSy+BF3ozkBZGlmmLX0gex01nYbQnwJyR5D6
JsePBXgUBheewNN7GLN+jAkZHhGp9Ocl1fYxeA43Y9LZJXaWQrdPSaIeVZPkFiaKsUzRFxCed+tT
TlYcPzQW3S17YyLQC3MiSaelVu4jv4GPomBHsQP2KxA8z4oyAzKUZjIj3qFd+zcJ5s0kICsMUjUl
+oZPslNAi70bq/Nxu75YYnxIWlkCmQUo8eXoRA==</SignatureValue>
  <KeyInfo>
    <X509Data>
      <X509Certificate>MIIIDDCCBfSgAwIBAgIIXDUCSABiuz8wDQYJKoZIhvcNAQELBQAwWzEXMBUGA1UEBRMOUlVDIDgw
MDUwMTcyLTExGjAYBgNVBAMTEUNBLURPQ1VNRU5UQSBTLkEuMRcwFQYDVQQKEw5ET0NVTUVOVEEg
Uy5BLjELMAkGA1UEBhMCUFkwHhcNMTkwMjIyMTQ1MjA2WhcNMjEwMjIxMTUwMjA2WjCBqTELMAkG
A1UEBhMCUFkxGTAXBgNVBAQMEFBBTExBUkVTIFZJVkVST1MxEjAQBgNVBAUTCUNJMTIxODM5MzEW
MBQGA1UEKgwNTUFSSUEgQ0VMRVNURTEXMBUGA1UECgwOUEVSU09OQSBGSVNJQ0ExETAPBgNVBAsM
CEZJUk1BIEYyMScwJQYDVQQDDB5NQVJJQSBDRUxFU1RFIFBBTExBUkVTIFZJVkVST1MwggEiMA0G
CSqGSIb3DQEBAQUAA4IBDwAwggEKAoIBAQCjFMZwdQk/v1Kqnq+h8yiopqPgDL/+dm3C9MhOsjp6
jYMty2Eytz1kSRA6BRUfXI8GVQlzIl0sPgl0pspJxHI0qw6la3HnTLreC/N1bNWRkOVkrGdk+de7
RvbzGDdt5WOvGG6dUara4pqKuUBc8+8+3CWnE4+9ifc2C1fRHnlBK2DUcmvOm78qVrcYIoDlsmH8
yecDvRSraC/TKouNThCA50eSi6b/1R1aYMOLOuvsb8jsd56EdxxsDkQ+fLaAcPaZE++7OLzqkId5
tZgKYzBPAP1VuZZZi7MY48XXxvB1fuOF7ogaSNI3pAnNUaN8DMuphG2wqxrlGJmLRpoVKbm7AgMB
AAGjggODMIIDfzAMBgNVHRMBAf8EAjAAMA4GA1UdDwEB/wQEAwIF4DAqBgNVHSUBAf8EIDAeBggr
BgEFBQcDAQYIKwYBBQUHAwIGCCsGAQUFBwMEMB0GA1UdDgQWBBQ41yyUqg15e/EBkJnSpw5EPVwl
MTCBlgYIKwYBBQUHAQEEgYkwgYYwOQYIKwYBBQUHMAGGLWh0dHA6Ly93d3cuZG9jdW1lbnRhLmNv
bS5weS9maXJtYWRpZ2l0YWwvb3NjcDBJBggrBgEFBQcwAoY9aHR0cHM6Ly93d3cuZG9jdW1lbnRh
LmNvbS5weS9maXJtYWRpZ2l0YWwvZGVzY2FyZ2FzL2NhZG9jLmNydDAfBgNVHSMEGDAWgBRAJqwm
XGKPxvUCVOSNwRom1u6lsjBPBgNVHR8ESDBGMESgQqBAhj5odHRwczovL3d3dy5kb2N1bWVudGEu
Y29tLnB5L2Zpcm1hZGlnaXRhbC9kZXNjYXJnYXMvY3JsZG9jLmNybDAoBgNVHREEITAfgR1jZWxl
c3RlcGFsbGFyZXNAY29yb25hLmNvbS5weTCCAd0GA1UdIASCAdQwggHQMIIBzAYOKwYBBAGC+TsB
AQEGAQEwggG4MD8GCCsGAQUFBwIBFjNodHRwczovL3d3dy5kb2N1bWVudGEuY29tLnB5L2Zpcm1h
ZGlnaXRhbC9kZXNjYXJnYXMwgcAGCCsGAQUFBwICMIGzGoGwRXN0ZSBlcyB1biBjZXJ0aWZpY2Fk
byBkZSBwZXJzb25hIGbtc2ljYSBjdXlhIGNsYXZlIHByaXZhZGEgZXN04SBjb250ZW5pZGEgZW4g
dW4gbfNkdWxvIGRlIGhhcmR3YXJlIHNlZ3VybyB5IHN1IGZpbmFsaWRhZCBlcyBhdXRlbnRpY2Fy
IGEgc3UgdGl0dWxhciBvIGdlbmVyYXIgZmlybWFzIGRpZ2l0YWxlcy4wgbEGCCsGAQUFBwICMIGk
GoGhVGhpcyBpcyBhbiBlbmQgdXNlciBjZXJ0aWZpY2F0ZSB3aG9zZSBwcml2YXRlIGtleSBpcyBl
bWJlZGRlZCB3aXRoaW4gYSBzZWN1cmUgaGFyZHdhcmUgbW9kdWxlIHRoYXQgYWltcyB0byBhdXRo
ZW50aWNhdGUgaXRzIG93bmVyIG9yIGdlbmVyYXRlIGRpZ2l0YWwgc2lnbmF0dXJlcy4wDQYJKoZI
hvcNAQELBQADggIBAL2sx798SLV7AtFiTqOZdCO5FvRns5W1ZkAIwMi0TrGnf41SQibUgRNPAAg8
xpex8nRB5KPS6fONWS1ZL0nHvOOJ/y/wHNwM7xZvC8op/wDD4lwSsZ0VVwyT2gYfvsZlhXpp3xD0
M6pRSs5mg6MPt8u8zluSPpcEpEYB3Lq9YDb3u+qbWf/hntXH9wPovfD2pyJxLKa4Nedk+wE7rANC
eMHOQQTaqnk1JSvtpZ3Lds4LIMsCHt9oD7Acs7o9fDMi3BN+PhWZlV2DNMNshF2LGD+JSwePE4Ul
PKT2X1KtwQ5X+4pcUgeigaW+DeG7V0TLrDP1XZ6w+teaupMa4rJtq3e3xEBnY17EAB1TfDDE7vak
QLF6cN849OODhzAiTnggp0xmO3bY1ku1jVRO8xePqLSx85vtdqh71UDUSWzEUxkoC99UEZxnUBJi
CheUjra6RVyqeKOYW3JWsx5eNZh4kVckx5n6+xflQEj6OTd4qJ1fCSL3wte+YSqm3h3o80ZvJYrD
WsKvFf66lXJXh08NDHby2nj5xdTDJpROqEQXtyerU+RAdQqmnyKLuNm+2LTodzqYadzZJbB6NRZ5
kIT2WSwSFUz8HhsHy8iNRh9FNmMl3ByFQTS7EORU1SYaRvyfROPCjZ8bujC51kYm4NKWrjbeWN1i
T/m15UKDkttw78z9</X509Certificate>
    </X509Data>
  </KeyInfo>
  <Object xmlns:mdssi="http://schemas.openxmlformats.org/package/2006/digital-signature" Id="idPackageObject">
    <Manifest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drawings/drawing8.xml?ContentType=application/vnd.openxmlformats-officedocument.drawing+xml">
        <DigestMethod Algorithm="http://www.w3.org/2000/09/xmldsig#sha1"/>
        <DigestValue>Ejy9HF1LizkfONlZdn3USdIiW3w=</DigestValue>
      </Reference>
      <Reference URI="/xl/worksheets/sheet8.xml?ContentType=application/vnd.openxmlformats-officedocument.spreadsheetml.worksheet+xml">
        <DigestMethod Algorithm="http://www.w3.org/2000/09/xmldsig#sha1"/>
        <DigestValue>PkAfEDhJe3fiJyHme2l/3/e42Yc=</DigestValue>
      </Reference>
      <Reference URI="/xl/worksheets/sheet9.xml?ContentType=application/vnd.openxmlformats-officedocument.spreadsheetml.worksheet+xml">
        <DigestMethod Algorithm="http://www.w3.org/2000/09/xmldsig#sha1"/>
        <DigestValue>H7JZHXQtIAMfnsajKD153XD117M=</DigestValue>
      </Reference>
      <Reference URI="/xl/worksheets/sheet12.xml?ContentType=application/vnd.openxmlformats-officedocument.spreadsheetml.worksheet+xml">
        <DigestMethod Algorithm="http://www.w3.org/2000/09/xmldsig#sha1"/>
        <DigestValue>lcZjW/hSebc9FfZOjROXyQqpMYA=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worksheets/sheet5.xml?ContentType=application/vnd.openxmlformats-officedocument.spreadsheetml.worksheet+xml">
        <DigestMethod Algorithm="http://www.w3.org/2000/09/xmldsig#sha1"/>
        <DigestValue>tYL2PaQAQuh9CAapgU7fQBeZ7oc=</DigestValue>
      </Reference>
      <Reference URI="/xl/worksheets/sheet6.xml?ContentType=application/vnd.openxmlformats-officedocument.spreadsheetml.worksheet+xml">
        <DigestMethod Algorithm="http://www.w3.org/2000/09/xmldsig#sha1"/>
        <DigestValue>mdjMno1J/12MNGBqD1267Mda4OM=</DigestValue>
      </Reference>
      <Reference URI="/xl/worksheets/sheet7.xml?ContentType=application/vnd.openxmlformats-officedocument.spreadsheetml.worksheet+xml">
        <DigestMethod Algorithm="http://www.w3.org/2000/09/xmldsig#sha1"/>
        <DigestValue>K1/A9JEnog0yGjKaiEPwFi41L9c=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styles.xml?ContentType=application/vnd.openxmlformats-officedocument.spreadsheetml.styles+xml">
        <DigestMethod Algorithm="http://www.w3.org/2000/09/xmldsig#sha1"/>
        <DigestValue>gPD9eKmffS1FUF1kXE7RrXrxD4s=</DigestValue>
      </Reference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3.xml?ContentType=application/vnd.openxmlformats-officedocument.spreadsheetml.worksheet+xml">
        <DigestMethod Algorithm="http://www.w3.org/2000/09/xmldsig#sha1"/>
        <DigestValue>4d4sjnzecHEeeDBGu1auukx8wUw=</DigestValue>
      </Reference>
      <Reference URI="/xl/worksheets/sheet11.xml?ContentType=application/vnd.openxmlformats-officedocument.spreadsheetml.worksheet+xml">
        <DigestMethod Algorithm="http://www.w3.org/2000/09/xmldsig#sha1"/>
        <DigestValue>k+W2mkYjLn3wA6OziUOru6Trdho=</DigestValue>
      </Reference>
      <Reference URI="/xl/worksheets/sheet10.xml?ContentType=application/vnd.openxmlformats-officedocument.spreadsheetml.worksheet+xml">
        <DigestMethod Algorithm="http://www.w3.org/2000/09/xmldsig#sha1"/>
        <DigestValue>j8g15zT1QL9HyPJeXvOx2UDxzbc=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calcChain.xml?ContentType=application/vnd.openxmlformats-officedocument.spreadsheetml.calcChain+xml">
        <DigestMethod Algorithm="http://www.w3.org/2000/09/xmldsig#sha1"/>
        <DigestValue>gsSGCly3s9SS0DZyKF/OHAbAQxY=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VQxmjdkTs7hBOODHiUtnZlmrNdg=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DMsYPI9us97KeGMqWnybUFRuFbg=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2.xml?ContentType=application/vnd.openxmlformats-officedocument.drawing+xml">
        <DigestMethod Algorithm="http://www.w3.org/2000/09/xmldsig#sha1"/>
        <DigestValue>0VeT8NB9XLZe13urE1+R9luJY0U=</DigestValue>
      </Reference>
      <Reference URI="/xl/worksheets/sheet14.xml?ContentType=application/vnd.openxmlformats-officedocument.spreadsheetml.worksheet+xml">
        <DigestMethod Algorithm="http://www.w3.org/2000/09/xmldsig#sha1"/>
        <DigestValue>Bqg9Ne+VTR1KM5G1OQRnASTMIFo=</DigestValue>
      </Reference>
      <Reference URI="/xl/drawings/drawing3.xml?ContentType=application/vnd.openxmlformats-officedocument.drawing+xml">
        <DigestMethod Algorithm="http://www.w3.org/2000/09/xmldsig#sha1"/>
        <DigestValue>/PAISPsAdEs87AwwnQUZmBK7eMc=</DigestValue>
      </Reference>
      <Reference URI="/xl/drawings/drawing1.xml?ContentType=application/vnd.openxmlformats-officedocument.drawing+xml">
        <DigestMethod Algorithm="http://www.w3.org/2000/09/xmldsig#sha1"/>
        <DigestValue>XkXRODrOFdRSYuW8pnrlRNOb0TU=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drawings/drawing4.xml?ContentType=application/vnd.openxmlformats-officedocument.drawing+xml">
        <DigestMethod Algorithm="http://www.w3.org/2000/09/xmldsig#sha1"/>
        <DigestValue>9ixqaw60NUujB5celPyIXb4qD6A=</DigestValue>
      </Reference>
      <Reference URI="/xl/sharedStrings.xml?ContentType=application/vnd.openxmlformats-officedocument.spreadsheetml.sharedStrings+xml">
        <DigestMethod Algorithm="http://www.w3.org/2000/09/xmldsig#sha1"/>
        <DigestValue>1zub0NI0d1L1CdiU7sYhlrsteeQ=</DigestValue>
      </Reference>
      <Reference URI="/xl/worksheets/sheet3.xml?ContentType=application/vnd.openxmlformats-officedocument.spreadsheetml.worksheet+xml">
        <DigestMethod Algorithm="http://www.w3.org/2000/09/xmldsig#sha1"/>
        <DigestValue>wEpUe7D5+ACjecBujK7vuJymS8s=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worksheets/sheet2.xml?ContentType=application/vnd.openxmlformats-officedocument.spreadsheetml.worksheet+xml">
        <DigestMethod Algorithm="http://www.w3.org/2000/09/xmldsig#sha1"/>
        <DigestValue>Vii/lnQVPB0TDfhSNQsPS5fXVcY=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media/image4.png?ContentType=image/png">
        <DigestMethod Algorithm="http://www.w3.org/2000/09/xmldsig#sha1"/>
        <DigestValue>WfK4WmtsBjIuGy516EG/MYBxHGs=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book.xml?ContentType=application/vnd.openxmlformats-officedocument.spreadsheetml.sheet.main+xml">
        <DigestMethod Algorithm="http://www.w3.org/2000/09/xmldsig#sha1"/>
        <DigestValue>M+W6asSCehhu3HaqN9/pt76K42I=</DigestValue>
      </Reference>
      <Reference URI="/xl/worksheets/sheet15.xml?ContentType=application/vnd.openxmlformats-officedocument.spreadsheetml.worksheet+xml">
        <DigestMethod Algorithm="http://www.w3.org/2000/09/xmldsig#sha1"/>
        <DigestValue>tLkek9woc/NkF3gutuRW5z/7s7E=</DigestValue>
      </Reference>
      <Reference URI="/xl/worksheets/sheet1.xml?ContentType=application/vnd.openxmlformats-officedocument.spreadsheetml.worksheet+xml">
        <DigestMethod Algorithm="http://www.w3.org/2000/09/xmldsig#sha1"/>
        <DigestValue>+I4YHzA0aNnEe4vn2uODFhYkOfU=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sheets/sheet4.xml?ContentType=application/vnd.openxmlformats-officedocument.spreadsheetml.worksheet+xml">
        <DigestMethod Algorithm="http://www.w3.org/2000/09/xmldsig#sha1"/>
        <DigestValue>rQzx/2N+gWPrVWuFRmbmZcTwrLw=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qL7jSsGheVCCeJsa+Hvzl7EEaNs=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2020-08-14T16:44:35Z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2020-08-14T16:44:35Z</xd:SigningTime>
          <xd:SigningCertificate>
            <xd:Cert>
              <xd:CertDigest>
                <DigestMethod Algorithm="http://www.w3.org/2000/09/xmldsig#sha1"/>
                <DigestValue>HOqiOtHCqzSVp97qiZl9YmCl4g0=</DigestValue>
              </xd:CertDigest>
              <xd:IssuerSerial>
                <X509IssuerName>C=PY, O=DOCUMENTA S.A., CN=CA-DOCUMENTA S.A., SERIALNUMBER=RUC 80050172-1</X509IssuerName>
                <X509SerialNumber>6644219333522406207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ClX/jX2fKLyfrmeeyxhUeaqAHsc=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McWQqffkA1LXUX9UXVj7UQ3WIEc=</DigestValue>
    </Reference>
  </SignedInfo>
  <SignatureValue>ENtP7UTQiBROB9Mx4uaVbvUPGCx8ZVFD9eCts7hYED+4lerutFsAPYocCOUCXobHh/R/6nXplQXQ
CWsesVQJouMjifWjiGYp0XRktX8qNss3jKOxGosScuxuqx215L4NAHh6Yk9Y087CrZce8V1x/CtG
5cME6LzMEaIxkysBEHgbFTFKE9jPLeDvGXw4XELex/Dnezrs7jBSiVdvZeGOLP09hV+IGdHLo/rd
mVAKLPBPTL0KEhlqlSjQAASAv+Y1xU8KKAb+ZBaGrcdS+ep5CFOgmE6fGzJBMwCYYJM5F21N4/PM
eqPqYFN1TkCuW5zRV/+baMowgX9Pzu96KJcotg==</SignatureValue>
  <KeyInfo>
    <X509Data>
      <X509Certificate>MIIIBzCCBe+gAwIBAgIIXC5X025Ye94wDQYJKoZIhvcNAQELBQAwWzEXMBUGA1UEBRMOUlVDIDgw
MDUwMTcyLTExGjAYBgNVBAMTEUNBLURPQ1VNRU5UQSBTLkEuMRcwFQYDVQQKEw5ET0NVTUVOVEEg
Uy5BLjELMAkGA1UEBhMCUFkwHhcNMTkwNDI5MjA1MjEwWhcNMjEwNDI4MjEwMjEwWjCBpzELMAkG
A1UEBhMCUFkxGDAWBgNVBAQMD1ZBUkdBUyBTQVJUT1JJTzESMBAGA1UEBRMJQ0kxMjE5MTQzMRYw
FAYDVQQqDA1SQVVMIEZFUk5BTkRPMRcwFQYDVQQKDA5QRVJTT05BIEZJU0lDQTERMA8GA1UECwwI
RklSTUEgRjIxJjAkBgNVBAMMHVJBVUwgRkVSTkFORE8gVkFSR0FTIFNBUlRPUklPMIIBIjANBgkq
hkiG9w0BAQEFAAOCAQ8AMIIBCgKCAQEA2qZf5oe0KNWunapb3i9KYcBRdO/E0losruqMTV9r0+63
sFDJxvRJWSTIJ0ZKMiMSQhKdeop9R6BR3L6ajiUCAQUDHjgbZsfr6rhKk4BpfNOOOROSpuRUXtkS
CeGiPh2PMHcGQqfFwJHq6Qc3CAXbZYD3Yw2fklrPAxVVqklr3gpj/PMSKZSyqyF6Q74udtthNVec
kzvHQ8CI+O71J1PBJr2zuGm1Idczgdcv1goKMaS6zBD7C1IDReEekLHvt30OcobyhjnmOv43WGzu
IuNaxCSx3WrgZYV5PRIsF6aRIqZs6gK68uWWWfQaFIdUumJqito+vRow1ZC9LZdbvZIwzQIDAQAB
o4IDgDCCA3wwDAYDVR0TAQH/BAIwADAOBgNVHQ8BAf8EBAMCBeAwKgYDVR0lAQH/BCAwHgYIKwYB
BQUHAwEGCCsGAQUFBwMCBggrBgEFBQcDBDAdBgNVHQ4EFgQUpBo0+icU9vGxH9OqmowwwHdyBzUw
gZYGCCsGAQUFBwEBBIGJMIGGMDkGCCsGAQUFBzABhi1odHRwOi8vd3d3LmRvY3VtZW50YS5jb20u
cHkvZmlybWFkaWdpdGFsL29zY3AwSQYIKwYBBQUHMAKGPWh0dHBzOi8vd3d3LmRvY3VtZW50YS5j
b20ucHkvZmlybWFkaWdpdGFsL2Rlc2Nhcmdhcy9jYWRvYy5jcnQwHwYDVR0jBBgwFoAUQCasJlxi
j8b1AlTkjcEaJtbupbIwTwYDVR0fBEgwRjBEoEKgQIY+aHR0cHM6Ly93d3cuZG9jdW1lbnRhLmNv
bS5weS9maXJtYWRpZ2l0YWwvZGVzY2FyZ2FzL2NybGRvYy5jcmwwJQYDVR0RBB4wHIEacmF1bEB2
YXJnYXNzYXJ0b3Jpby5jb20ucHkwggHdBgNVHSAEggHUMIIB0DCCAcwGDisGAQQBgvk7AQEBBgEB
MIIBuDA/BggrBgEFBQcCARYzaHR0cHM6Ly93d3cuZG9jdW1lbnRhLmNvbS5weS9maXJtYWRpZ2l0
YWwvZGVzY2FyZ2FzMIHABggrBgEFBQcCAjCBsxqBsEVzdGUgZXMgdW4gY2VydGlmaWNhZG8gZGUg
cGVyc29uYSBm7XNpY2EgY3V5YSBjbGF2ZSBwcml2YWRhIGVzdOEgY29udGVuaWRhIGVuIHVuIG3z
ZHVsbyBkZSBoYXJkd2FyZSBzZWd1cm8geSBzdSBmaW5hbGlkYWQgZXMgYXV0ZW50aWNhciBhIHN1
IHRpdHVsYXIgbyBnZW5lcmFyIGZpcm1hcyBkaWdpdGFsZXMuMIGxBggrBgEFBQcCAjCBpBqBoVRo
aXMgaXMgYW4gZW5kIHVzZXIgY2VydGlmaWNhdGUgd2hvc2UgcHJpdmF0ZSBrZXkgaXMgZW1iZWRk
ZWQgd2l0aGluIGEgc2VjdXJlIGhhcmR3YXJlIG1vZHVsZSB0aGF0IGFpbXMgdG8gYXV0aGVudGlj
YXRlIGl0cyBvd25lciBvciBnZW5lcmF0ZSBkaWdpdGFsIHNpZ25hdHVyZXMuMA0GCSqGSIb3DQEB
CwUAA4ICAQDeKhQy3EYkYGM2RPTtzmZKaw8lSuKM4Kr6epRpX6icZ/al6I3fRYo68iFYMAbFHMdx
OJiB2It+qKwJr4rxMo/09inY1piitCLw4vsdi79GvJOOYypGm8MjkghlTlS59LpmheG+9RbsDGuV
2cA1z8+yecVU/lGigIMPBfM1Zp9dFEMG2D0zzC6czYEYig0auQlS2B5YheYAlWZlsvoosv7YFCF4
OOwrz5SCy9ZJLEC8GW/lvPL+TdJqaM3/fTWjy+BSqQbtAPMovf1zW6iqnHNIMALXsSZcN2jOBFOS
yuVa0aCq62EGCdjMKEwibRr1vumqYsqEU8DuqmLWce4gX+u2QdMf5BBnAi+NA7YNiYpIWgJBfY/m
gDpE7vnGn3ZUyvX6nR8X2WAKfjPUoTwg/BKzyKiY2bB/kELYbs41GEBCZiLOEYQOABOADlH8C+no
P5Xh3NESla75aEaJ3IjDLQIBFPWKLXTaKEuNVyGl+WdvR3WP/QBDJqmGe+XcbgBxfb+kSV9nbAA4
uu7KzBpQ2R91dXsVAwkCsrb1fbTne+BLbuqoHT3tGTj+jRrtWTucbsmQDfbnt/Ytp9PQiFDOcDUf
RWtTg/66A7+0kGktS+Fjr3jWlhbu+YQdT44W+/t5YMTM6/PIjYLCJE+Dbsa6Gs8oRM9N2sYsTL+N
8BrClJPyYA==</X509Certificate>
    </X509Data>
  </KeyInfo>
  <Object xmlns:mdssi="http://schemas.openxmlformats.org/package/2006/digital-signature" Id="idPackageObject">
    <Manifest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drawings/drawing8.xml?ContentType=application/vnd.openxmlformats-officedocument.drawing+xml">
        <DigestMethod Algorithm="http://www.w3.org/2000/09/xmldsig#sha1"/>
        <DigestValue>Ejy9HF1LizkfONlZdn3USdIiW3w=</DigestValue>
      </Reference>
      <Reference URI="/xl/worksheets/sheet8.xml?ContentType=application/vnd.openxmlformats-officedocument.spreadsheetml.worksheet+xml">
        <DigestMethod Algorithm="http://www.w3.org/2000/09/xmldsig#sha1"/>
        <DigestValue>PkAfEDhJe3fiJyHme2l/3/e42Yc=</DigestValue>
      </Reference>
      <Reference URI="/xl/worksheets/sheet9.xml?ContentType=application/vnd.openxmlformats-officedocument.spreadsheetml.worksheet+xml">
        <DigestMethod Algorithm="http://www.w3.org/2000/09/xmldsig#sha1"/>
        <DigestValue>H7JZHXQtIAMfnsajKD153XD117M=</DigestValue>
      </Reference>
      <Reference URI="/xl/worksheets/sheet12.xml?ContentType=application/vnd.openxmlformats-officedocument.spreadsheetml.worksheet+xml">
        <DigestMethod Algorithm="http://www.w3.org/2000/09/xmldsig#sha1"/>
        <DigestValue>lcZjW/hSebc9FfZOjROXyQqpMYA=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worksheets/sheet5.xml?ContentType=application/vnd.openxmlformats-officedocument.spreadsheetml.worksheet+xml">
        <DigestMethod Algorithm="http://www.w3.org/2000/09/xmldsig#sha1"/>
        <DigestValue>tYL2PaQAQuh9CAapgU7fQBeZ7oc=</DigestValue>
      </Reference>
      <Reference URI="/xl/worksheets/sheet6.xml?ContentType=application/vnd.openxmlformats-officedocument.spreadsheetml.worksheet+xml">
        <DigestMethod Algorithm="http://www.w3.org/2000/09/xmldsig#sha1"/>
        <DigestValue>mdjMno1J/12MNGBqD1267Mda4OM=</DigestValue>
      </Reference>
      <Reference URI="/xl/worksheets/sheet7.xml?ContentType=application/vnd.openxmlformats-officedocument.spreadsheetml.worksheet+xml">
        <DigestMethod Algorithm="http://www.w3.org/2000/09/xmldsig#sha1"/>
        <DigestValue>K1/A9JEnog0yGjKaiEPwFi41L9c=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styles.xml?ContentType=application/vnd.openxmlformats-officedocument.spreadsheetml.styles+xml">
        <DigestMethod Algorithm="http://www.w3.org/2000/09/xmldsig#sha1"/>
        <DigestValue>gPD9eKmffS1FUF1kXE7RrXrxD4s=</DigestValue>
      </Reference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3.xml?ContentType=application/vnd.openxmlformats-officedocument.spreadsheetml.worksheet+xml">
        <DigestMethod Algorithm="http://www.w3.org/2000/09/xmldsig#sha1"/>
        <DigestValue>4d4sjnzecHEeeDBGu1auukx8wUw=</DigestValue>
      </Reference>
      <Reference URI="/xl/worksheets/sheet11.xml?ContentType=application/vnd.openxmlformats-officedocument.spreadsheetml.worksheet+xml">
        <DigestMethod Algorithm="http://www.w3.org/2000/09/xmldsig#sha1"/>
        <DigestValue>k+W2mkYjLn3wA6OziUOru6Trdho=</DigestValue>
      </Reference>
      <Reference URI="/xl/worksheets/sheet10.xml?ContentType=application/vnd.openxmlformats-officedocument.spreadsheetml.worksheet+xml">
        <DigestMethod Algorithm="http://www.w3.org/2000/09/xmldsig#sha1"/>
        <DigestValue>j8g15zT1QL9HyPJeXvOx2UDxzbc=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calcChain.xml?ContentType=application/vnd.openxmlformats-officedocument.spreadsheetml.calcChain+xml">
        <DigestMethod Algorithm="http://www.w3.org/2000/09/xmldsig#sha1"/>
        <DigestValue>gsSGCly3s9SS0DZyKF/OHAbAQxY=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VQxmjdkTs7hBOODHiUtnZlmrNdg=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DMsYPI9us97KeGMqWnybUFRuFbg=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2.xml?ContentType=application/vnd.openxmlformats-officedocument.drawing+xml">
        <DigestMethod Algorithm="http://www.w3.org/2000/09/xmldsig#sha1"/>
        <DigestValue>0VeT8NB9XLZe13urE1+R9luJY0U=</DigestValue>
      </Reference>
      <Reference URI="/xl/worksheets/sheet14.xml?ContentType=application/vnd.openxmlformats-officedocument.spreadsheetml.worksheet+xml">
        <DigestMethod Algorithm="http://www.w3.org/2000/09/xmldsig#sha1"/>
        <DigestValue>Bqg9Ne+VTR1KM5G1OQRnASTMIFo=</DigestValue>
      </Reference>
      <Reference URI="/xl/drawings/drawing3.xml?ContentType=application/vnd.openxmlformats-officedocument.drawing+xml">
        <DigestMethod Algorithm="http://www.w3.org/2000/09/xmldsig#sha1"/>
        <DigestValue>/PAISPsAdEs87AwwnQUZmBK7eMc=</DigestValue>
      </Reference>
      <Reference URI="/xl/drawings/drawing1.xml?ContentType=application/vnd.openxmlformats-officedocument.drawing+xml">
        <DigestMethod Algorithm="http://www.w3.org/2000/09/xmldsig#sha1"/>
        <DigestValue>XkXRODrOFdRSYuW8pnrlRNOb0TU=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drawings/drawing4.xml?ContentType=application/vnd.openxmlformats-officedocument.drawing+xml">
        <DigestMethod Algorithm="http://www.w3.org/2000/09/xmldsig#sha1"/>
        <DigestValue>9ixqaw60NUujB5celPyIXb4qD6A=</DigestValue>
      </Reference>
      <Reference URI="/xl/sharedStrings.xml?ContentType=application/vnd.openxmlformats-officedocument.spreadsheetml.sharedStrings+xml">
        <DigestMethod Algorithm="http://www.w3.org/2000/09/xmldsig#sha1"/>
        <DigestValue>1zub0NI0d1L1CdiU7sYhlrsteeQ=</DigestValue>
      </Reference>
      <Reference URI="/xl/worksheets/sheet3.xml?ContentType=application/vnd.openxmlformats-officedocument.spreadsheetml.worksheet+xml">
        <DigestMethod Algorithm="http://www.w3.org/2000/09/xmldsig#sha1"/>
        <DigestValue>wEpUe7D5+ACjecBujK7vuJymS8s=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worksheets/sheet2.xml?ContentType=application/vnd.openxmlformats-officedocument.spreadsheetml.worksheet+xml">
        <DigestMethod Algorithm="http://www.w3.org/2000/09/xmldsig#sha1"/>
        <DigestValue>Vii/lnQVPB0TDfhSNQsPS5fXVcY=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media/image4.png?ContentType=image/png">
        <DigestMethod Algorithm="http://www.w3.org/2000/09/xmldsig#sha1"/>
        <DigestValue>WfK4WmtsBjIuGy516EG/MYBxHGs=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book.xml?ContentType=application/vnd.openxmlformats-officedocument.spreadsheetml.sheet.main+xml">
        <DigestMethod Algorithm="http://www.w3.org/2000/09/xmldsig#sha1"/>
        <DigestValue>M+W6asSCehhu3HaqN9/pt76K42I=</DigestValue>
      </Reference>
      <Reference URI="/xl/worksheets/sheet15.xml?ContentType=application/vnd.openxmlformats-officedocument.spreadsheetml.worksheet+xml">
        <DigestMethod Algorithm="http://www.w3.org/2000/09/xmldsig#sha1"/>
        <DigestValue>tLkek9woc/NkF3gutuRW5z/7s7E=</DigestValue>
      </Reference>
      <Reference URI="/xl/worksheets/sheet1.xml?ContentType=application/vnd.openxmlformats-officedocument.spreadsheetml.worksheet+xml">
        <DigestMethod Algorithm="http://www.w3.org/2000/09/xmldsig#sha1"/>
        <DigestValue>+I4YHzA0aNnEe4vn2uODFhYkOfU=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sheets/sheet4.xml?ContentType=application/vnd.openxmlformats-officedocument.spreadsheetml.worksheet+xml">
        <DigestMethod Algorithm="http://www.w3.org/2000/09/xmldsig#sha1"/>
        <DigestValue>rQzx/2N+gWPrVWuFRmbmZcTwrLw=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qL7jSsGheVCCeJsa+Hvzl7EEaNs=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2020-08-14T16:45:12Z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2020-08-14T16:45:12Z</xd:SigningTime>
          <xd:SigningCertificate>
            <xd:Cert>
              <xd:CertDigest>
                <DigestMethod Algorithm="http://www.w3.org/2000/09/xmldsig#sha1"/>
                <DigestValue>HVvE4ani/eKZEgzv2jrPKQWPBEA=</DigestValue>
              </xd:CertDigest>
              <xd:IssuerSerial>
                <X509IssuerName>C=PY, O=DOCUMENTA S.A., CN=CA-DOCUMENTA S.A., SERIALNUMBER=RUC 80050172-1</X509IssuerName>
                <X509SerialNumber>6642343066019068894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1RcYL6aPJfKsm07xvIJTYZ7AqYw=</DigestValue>
    </Reference>
    <Reference URI="#idOfficeObject" Type="http://www.w3.org/2000/09/xmldsig#Object">
      <DigestMethod Algorithm="http://www.w3.org/2000/09/xmldsig#sha1"/>
      <DigestValue>xlRPEQCrXXD5lKOstz0FRfNdf4A=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GUDFdZZj28sX2QYc8nLRYojWQbw=</DigestValue>
    </Reference>
  </SignedInfo>
  <SignatureValue>EbeDQmvJfcpomMa8NU+9SDLny10J+7XiN3eWe0M01UeJXfYp4KN7KeKIGfM9kktCbC3onvcOx+wJ
FGkJYxS8agKkxfe4DpD+ZTqbSciZk7FJlr1dpXzJ1WllQy0ZXvp2LeMMPwJGQjyy74wC8WE8++5Q
Aqb4Ez0j52qQJDm/g16iLKWQ3pw82HAgQvOMuEYwyURpVDhXxEQfsq30ppt4FOKRHrNHetVDc6+Y
MhoAePqcshXFpotrFxlDh5qDdrcsXIctvZ/Rdv1emIOluWCYpKuVZOKrA/+uwv1Cnanr4vIIdXFT
pfSxa8HbtyvE9cJjqPbkwx3b74y8s163agmDGQ==</SignatureValue>
  <KeyInfo>
    <X509Data>
      <X509Certificate>MIIICzCCBfOgAwIBAgIIAln8FXg5c3kwDQYJKoZIhvcNAQELBQAwWzEXMBUGA1UEBRMOUlVDIDgw
MDUwMTcyLTExGjAYBgNVBAMTEUNBLURPQ1VNRU5UQSBTLkEuMRcwFQYDVQQKEw5ET0NVTUVOVEEg
Uy5BLjELMAkGA1UEBhMCUFkwHhcNMTkwNTA5MTQxOTEyWhcNMjEwNTA4MTQyOTEyWjCBqzELMAkG
A1UEBhMCUFkxFzAVBgNVBAQMDkZMRUNIQSBCRU5JVEVaMRIwEAYDVQQFEwlDSTE5MTExOTcxGTAX
BgNVBCoMEEdMT1JJQSBFTElaQUJFVEgxFzAVBgNVBAoMDlBFUlNPTkEgRklTSUNBMREwDwYDVQQL
DAhGSVJNQSBGMjEoMCYGA1UEAwwfR0xPUklBIEVMSVpBQkVUSCBGTEVDSEEgQkVOSVRFWjCCASIw
DQYJKoZIhvcNAQEBBQADggEPADCCAQoCggEBALh6EFm+s8T3BbDgxSioHb651s468qq0iPHFoMHU
abSjpBa/cFyinFbfw9jKiEHJ2jmgrY/JBsuakbN6vb1jijS281lbA22ERtLEyAYR3W1oOb1jzzQl
XUQBaR4U7xnVzDS0i6vdWXaukfWixOPXr+vYrfOm3m7l5Q7CPrQrdlwaBJYcEoexgUl/ZxQ5yixz
80z1PvU0WvEfvGg7jqKXiRpK2SFVG6QppPYneG3MXOy/X8H6e2o+QamOJKVsjUeWIOIg6H943LpT
FcGM4eJhzUH1PnDH0nog6KM+A51RJ45eJW1bIssCvMn2H2IfXwdBXM9RBg5BlG97qUeg0cp3mE8C
AwEAAaOCA4AwggN8MAwGA1UdEwEB/wQCMAAwDgYDVR0PAQH/BAQDAgXgMCoGA1UdJQEB/wQgMB4G
CCsGAQUFBwMBBggrBgEFBQcDAgYIKwYBBQUHAwQwHQYDVR0OBBYEFJF//y04SEWZLILCCOaiU9Gr
ImGtMIGWBggrBgEFBQcBAQSBiTCBhjA5BggrBgEFBQcwAYYtaHR0cDovL3d3dy5kb2N1bWVudGEu
Y29tLnB5L2Zpcm1hZGlnaXRhbC9vc2NwMEkGCCsGAQUFBzAChj1odHRwczovL3d3dy5kb2N1bWVu
dGEuY29tLnB5L2Zpcm1hZGlnaXRhbC9kZXNjYXJnYXMvY2Fkb2MuY3J0MB8GA1UdIwQYMBaAFEAm
rCZcYo/G9QJU5I3BGibW7qWyME8GA1UdHwRIMEYwRKBCoECGPmh0dHBzOi8vd3d3LmRvY3VtZW50
YS5jb20ucHkvZmlybWFkaWdpdGFsL2Rlc2Nhcmdhcy9jcmxkb2MuY3JsMCUGA1UdEQQeMByBGmds
b3JpYWZsZWNoYUBjb3JvbmEuY29tLnB5MIIB3QYDVR0gBIIB1DCCAdAwggHMBg4rBgEEAYL5OwEB
AQYBATCCAbgwPwYIKwYBBQUHAgEWM2h0dHBzOi8vd3d3LmRvY3VtZW50YS5jb20ucHkvZmlybWFk
aWdpdGFsL2Rlc2NhcmdhczCBwAYIKwYBBQUHAgIwgbMagbBFc3RlIGVzIHVuIGNlcnRpZmljYWRv
IGRlIHBlcnNvbmEgZu1zaWNhIGN1eWEgY2xhdmUgcHJpdmFkYSBlc3ThIGNvbnRlbmlkYSBlbiB1
biBt82R1bG8gZGUgaGFyZHdhcmUgc2VndXJvIHkgc3UgZmluYWxpZGFkIGVzIGF1dGVudGljYXIg
YSBzdSB0aXR1bGFyIG8gZ2VuZXJhciBmaXJtYXMgZGlnaXRhbGVzLjCBsQYIKwYBBQUHAgIwgaQa
gaFUaGlzIGlzIGFuIGVuZCB1c2VyIGNlcnRpZmljYXRlIHdob3NlIHByaXZhdGUga2V5IGlzIGVt
YmVkZGVkIHdpdGhpbiBhIHNlY3VyZSBoYXJkd2FyZSBtb2R1bGUgdGhhdCBhaW1zIHRvIGF1dGhl
bnRpY2F0ZSBpdHMgb3duZXIgb3IgZ2VuZXJhdGUgZGlnaXRhbCBzaWduYXR1cmVzLjANBgkqhkiG
9w0BAQsFAAOCAgEABAo9fO8LIYSbPbExGBp+Dxha0/TDUArlWe4566VuxsTmPsvNaz+JWnuNMfiF
Gbcd9KFDT2pAoser+f8uPMz5P56fybr2tgN5oa8x3u/0bLMg8MxwXZayZcFOEpuQ17encGUDHOd5
2U1srcNizUy9Zd4Vkoh7jkIxiYXczeWIGaLkvPF8BkAx48r0pxRAsHEFIvcdk/s8/8cJFqr+KQSM
3ojPsaaTxeBGayBxzRicwK4hJlMmqEaDBIfUXIuISFPS7ZPTfCvQrZcLHgsCWIeLVCXtth98B1W6
DQbus4ZSqaS37Wpm2sr/jyBx2OqxpN2RJk9++Ea7VTkGiljRGHC1fspMOO+HpmgFghKwRRCtfra9
HMzKXR92zn0Xl3HAF1ohpYrHvwhJeTo1f9X+uzsCoceLbyeR0WmY71gEg21qSFR+Jd2vpICSbWzF
YnKuF1j7Wnj1XNHxqKAHB2mHnY9TdOyP4RUSbybUVBllpD0sg992Urfo0X+MpLb2Xdb05pZaNIy4
YYsN3SwGVJJVyssUSnWC92GPZ8zcQSZNraC8xi+x/BNB++MhbCvmu0IQV8Va4tcHelald1qCcIAZ
ppH0TS6T9uKWuvD9PadL2wDHRfZnToHIHbGR0tS4MhPJvic17fHRrvMgTcpKOw6sgUxCT9lZnfMy
WCE16R86gTzFl1c=</X509Certificate>
    </X509Data>
  </KeyInfo>
  <Object xmlns:mdssi="http://schemas.openxmlformats.org/package/2006/digital-signature" Id="idPackageObject">
    <Manifest>
      <Reference URI="/xl/printerSettings/printerSettings7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9.xml?ContentType=application/vnd.openxmlformats-officedocument.drawing+xml">
        <DigestMethod Algorithm="http://www.w3.org/2000/09/xmldsig#sha1"/>
        <DigestValue>KrlsEvhhTZgMK4qyy6HWZ96PWws=</DigestValue>
      </Reference>
      <Reference URI="/xl/drawings/drawing8.xml?ContentType=application/vnd.openxmlformats-officedocument.drawing+xml">
        <DigestMethod Algorithm="http://www.w3.org/2000/09/xmldsig#sha1"/>
        <DigestValue>Ejy9HF1LizkfONlZdn3USdIiW3w=</DigestValue>
      </Reference>
      <Reference URI="/xl/worksheets/sheet8.xml?ContentType=application/vnd.openxmlformats-officedocument.spreadsheetml.worksheet+xml">
        <DigestMethod Algorithm="http://www.w3.org/2000/09/xmldsig#sha1"/>
        <DigestValue>PkAfEDhJe3fiJyHme2l/3/e42Yc=</DigestValue>
      </Reference>
      <Reference URI="/xl/worksheets/sheet9.xml?ContentType=application/vnd.openxmlformats-officedocument.spreadsheetml.worksheet+xml">
        <DigestMethod Algorithm="http://www.w3.org/2000/09/xmldsig#sha1"/>
        <DigestValue>H7JZHXQtIAMfnsajKD153XD117M=</DigestValue>
      </Reference>
      <Reference URI="/xl/worksheets/sheet12.xml?ContentType=application/vnd.openxmlformats-officedocument.spreadsheetml.worksheet+xml">
        <DigestMethod Algorithm="http://www.w3.org/2000/09/xmldsig#sha1"/>
        <DigestValue>lcZjW/hSebc9FfZOjROXyQqpMYA=</DigestValue>
      </Reference>
      <Reference URI="/xl/media/image1.png?ContentType=image/png">
        <DigestMethod Algorithm="http://www.w3.org/2000/09/xmldsig#sha1"/>
        <DigestValue>Qs6C7RVp5P+M49699APeQv1jSq4=</DigestValue>
      </Reference>
      <Reference URI="/xl/worksheets/sheet5.xml?ContentType=application/vnd.openxmlformats-officedocument.spreadsheetml.worksheet+xml">
        <DigestMethod Algorithm="http://www.w3.org/2000/09/xmldsig#sha1"/>
        <DigestValue>tYL2PaQAQuh9CAapgU7fQBeZ7oc=</DigestValue>
      </Reference>
      <Reference URI="/xl/worksheets/sheet6.xml?ContentType=application/vnd.openxmlformats-officedocument.spreadsheetml.worksheet+xml">
        <DigestMethod Algorithm="http://www.w3.org/2000/09/xmldsig#sha1"/>
        <DigestValue>mdjMno1J/12MNGBqD1267Mda4OM=</DigestValue>
      </Reference>
      <Reference URI="/xl/worksheets/sheet7.xml?ContentType=application/vnd.openxmlformats-officedocument.spreadsheetml.worksheet+xml">
        <DigestMethod Algorithm="http://www.w3.org/2000/09/xmldsig#sha1"/>
        <DigestValue>K1/A9JEnog0yGjKaiEPwFi41L9c=</DigestValue>
      </Reference>
      <Reference URI="/xl/media/image2.png?ContentType=image/png">
        <DigestMethod Algorithm="http://www.w3.org/2000/09/xmldsig#sha1"/>
        <DigestValue>RjJ1Le85xszGBm7mtsLoEGrEafo=</DigestValue>
      </Reference>
      <Reference URI="/xl/media/image3.png?ContentType=image/png">
        <DigestMethod Algorithm="http://www.w3.org/2000/09/xmldsig#sha1"/>
        <DigestValue>f12GGl3D3vP1RCnpdZcOo/p+rlw=</DigestValue>
      </Reference>
      <Reference URI="/xl/styles.xml?ContentType=application/vnd.openxmlformats-officedocument.spreadsheetml.styles+xml">
        <DigestMethod Algorithm="http://www.w3.org/2000/09/xmldsig#sha1"/>
        <DigestValue>gPD9eKmffS1FUF1kXE7RrXrxD4s=</DigestValue>
      </Reference>
      <Reference URI="/xl/drawings/drawing6.xml?ContentType=application/vnd.openxmlformats-officedocument.drawing+xml">
        <DigestMethod Algorithm="http://www.w3.org/2000/09/xmldsig#sha1"/>
        <DigestValue>NSWrouvz11PJ3zxegro2jfSw2h8=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worksheets/sheet13.xml?ContentType=application/vnd.openxmlformats-officedocument.spreadsheetml.worksheet+xml">
        <DigestMethod Algorithm="http://www.w3.org/2000/09/xmldsig#sha1"/>
        <DigestValue>4d4sjnzecHEeeDBGu1auukx8wUw=</DigestValue>
      </Reference>
      <Reference URI="/xl/worksheets/sheet11.xml?ContentType=application/vnd.openxmlformats-officedocument.spreadsheetml.worksheet+xml">
        <DigestMethod Algorithm="http://www.w3.org/2000/09/xmldsig#sha1"/>
        <DigestValue>k+W2mkYjLn3wA6OziUOru6Trdho=</DigestValue>
      </Reference>
      <Reference URI="/xl/worksheets/sheet10.xml?ContentType=application/vnd.openxmlformats-officedocument.spreadsheetml.worksheet+xml">
        <DigestMethod Algorithm="http://www.w3.org/2000/09/xmldsig#sha1"/>
        <DigestValue>j8g15zT1QL9HyPJeXvOx2UDxzbc=</DigestValue>
      </Reference>
      <Reference URI="/xl/drawings/drawing7.xml?ContentType=application/vnd.openxmlformats-officedocument.drawing+xml">
        <DigestMethod Algorithm="http://www.w3.org/2000/09/xmldsig#sha1"/>
        <DigestValue>fMi89HZAxBPc0Vg/L0BlH6K+q/I=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calcChain.xml?ContentType=application/vnd.openxmlformats-officedocument.spreadsheetml.calcChain+xml">
        <DigestMethod Algorithm="http://www.w3.org/2000/09/xmldsig#sha1"/>
        <DigestValue>gsSGCly3s9SS0DZyKF/OHAbAQxY=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/oTmuNS5mqWr+gv8Jv76zdoQOkU=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0lsScj23N/vEAMPIKZC1Rd2d/SY=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VQxmjdkTs7hBOODHiUtnZlmrNdg=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8AL8EmY0LT86OJSavhMSSZmqS2E=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DMsYPI9us97KeGMqWnybUFRuFbg=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8AL8EmY0LT86OJSavhMSSZmqS2E=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0lsScj23N/vEAMPIKZC1Rd2d/SY=</DigestValue>
      </Reference>
      <Reference URI="/xl/drawings/drawing2.xml?ContentType=application/vnd.openxmlformats-officedocument.drawing+xml">
        <DigestMethod Algorithm="http://www.w3.org/2000/09/xmldsig#sha1"/>
        <DigestValue>0VeT8NB9XLZe13urE1+R9luJY0U=</DigestValue>
      </Reference>
      <Reference URI="/xl/worksheets/sheet14.xml?ContentType=application/vnd.openxmlformats-officedocument.spreadsheetml.worksheet+xml">
        <DigestMethod Algorithm="http://www.w3.org/2000/09/xmldsig#sha1"/>
        <DigestValue>Bqg9Ne+VTR1KM5G1OQRnASTMIFo=</DigestValue>
      </Reference>
      <Reference URI="/xl/drawings/drawing3.xml?ContentType=application/vnd.openxmlformats-officedocument.drawing+xml">
        <DigestMethod Algorithm="http://www.w3.org/2000/09/xmldsig#sha1"/>
        <DigestValue>/PAISPsAdEs87AwwnQUZmBK7eMc=</DigestValue>
      </Reference>
      <Reference URI="/xl/drawings/drawing1.xml?ContentType=application/vnd.openxmlformats-officedocument.drawing+xml">
        <DigestMethod Algorithm="http://www.w3.org/2000/09/xmldsig#sha1"/>
        <DigestValue>XkXRODrOFdRSYuW8pnrlRNOb0TU=</DigestValue>
      </Reference>
      <Reference URI="/xl/drawings/drawing14.xml?ContentType=application/vnd.openxmlformats-officedocument.drawing+xml">
        <DigestMethod Algorithm="http://www.w3.org/2000/09/xmldsig#sha1"/>
        <DigestValue>+uULhxNvO3SA68oEsGFcAdmrFkc=</DigestValue>
      </Reference>
      <Reference URI="/xl/drawings/drawing15.xml?ContentType=application/vnd.openxmlformats-officedocument.drawing+xml">
        <DigestMethod Algorithm="http://www.w3.org/2000/09/xmldsig#sha1"/>
        <DigestValue>ZgYY0DQWUqK7WQT8ygULul1okcQ=</DigestValue>
      </Reference>
      <Reference URI="/xl/drawings/drawing4.xml?ContentType=application/vnd.openxmlformats-officedocument.drawing+xml">
        <DigestMethod Algorithm="http://www.w3.org/2000/09/xmldsig#sha1"/>
        <DigestValue>9ixqaw60NUujB5celPyIXb4qD6A=</DigestValue>
      </Reference>
      <Reference URI="/xl/sharedStrings.xml?ContentType=application/vnd.openxmlformats-officedocument.spreadsheetml.sharedStrings+xml">
        <DigestMethod Algorithm="http://www.w3.org/2000/09/xmldsig#sha1"/>
        <DigestValue>1zub0NI0d1L1CdiU7sYhlrsteeQ=</DigestValue>
      </Reference>
      <Reference URI="/xl/worksheets/sheet3.xml?ContentType=application/vnd.openxmlformats-officedocument.spreadsheetml.worksheet+xml">
        <DigestMethod Algorithm="http://www.w3.org/2000/09/xmldsig#sha1"/>
        <DigestValue>wEpUe7D5+ACjecBujK7vuJymS8s=</DigestValue>
      </Reference>
      <Reference URI="/xl/drawings/drawing12.xml?ContentType=application/vnd.openxmlformats-officedocument.drawing+xml">
        <DigestMethod Algorithm="http://www.w3.org/2000/09/xmldsig#sha1"/>
        <DigestValue>BfR9qhAymD3hcy45DXhf7VrBuVA=</DigestValue>
      </Reference>
      <Reference URI="/xl/worksheets/sheet2.xml?ContentType=application/vnd.openxmlformats-officedocument.spreadsheetml.worksheet+xml">
        <DigestMethod Algorithm="http://www.w3.org/2000/09/xmldsig#sha1"/>
        <DigestValue>Vii/lnQVPB0TDfhSNQsPS5fXVcY=</DigestValue>
      </Reference>
      <Reference URI="/xl/drawings/drawing13.xml?ContentType=application/vnd.openxmlformats-officedocument.drawing+xml">
        <DigestMethod Algorithm="http://www.w3.org/2000/09/xmldsig#sha1"/>
        <DigestValue>VrqctVcQh2MVG34pzXaG7kDsKPo=</DigestValue>
      </Reference>
      <Reference URI="/xl/drawings/drawing10.xml?ContentType=application/vnd.openxmlformats-officedocument.drawing+xml">
        <DigestMethod Algorithm="http://www.w3.org/2000/09/xmldsig#sha1"/>
        <DigestValue>pVPP2yyM7jrQntdK4N0OBeWbVpY=</DigestValue>
      </Reference>
      <Reference URI="/xl/drawings/drawing5.xml?ContentType=application/vnd.openxmlformats-officedocument.drawing+xml">
        <DigestMethod Algorithm="http://www.w3.org/2000/09/xmldsig#sha1"/>
        <DigestValue>fqdnKuJUouvG1a+PJboTlNig5Z8=</DigestValue>
      </Reference>
      <Reference URI="/xl/media/image4.png?ContentType=image/png">
        <DigestMethod Algorithm="http://www.w3.org/2000/09/xmldsig#sha1"/>
        <DigestValue>WfK4WmtsBjIuGy516EG/MYBxHGs=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book.xml?ContentType=application/vnd.openxmlformats-officedocument.spreadsheetml.sheet.main+xml">
        <DigestMethod Algorithm="http://www.w3.org/2000/09/xmldsig#sha1"/>
        <DigestValue>M+W6asSCehhu3HaqN9/pt76K42I=</DigestValue>
      </Reference>
      <Reference URI="/xl/worksheets/sheet15.xml?ContentType=application/vnd.openxmlformats-officedocument.spreadsheetml.worksheet+xml">
        <DigestMethod Algorithm="http://www.w3.org/2000/09/xmldsig#sha1"/>
        <DigestValue>tLkek9woc/NkF3gutuRW5z/7s7E=</DigestValue>
      </Reference>
      <Reference URI="/xl/worksheets/sheet1.xml?ContentType=application/vnd.openxmlformats-officedocument.spreadsheetml.worksheet+xml">
        <DigestMethod Algorithm="http://www.w3.org/2000/09/xmldsig#sha1"/>
        <DigestValue>+I4YHzA0aNnEe4vn2uODFhYkOfU=</DigestValue>
      </Reference>
      <Reference URI="/xl/drawings/drawing11.xml?ContentType=application/vnd.openxmlformats-officedocument.drawing+xml">
        <DigestMethod Algorithm="http://www.w3.org/2000/09/xmldsig#sha1"/>
        <DigestValue>A31n56+INaZhZPHZbmD6qWl/1TI=</DigestValue>
      </Reference>
      <Reference URI="/xl/worksheets/sheet4.xml?ContentType=application/vnd.openxmlformats-officedocument.spreadsheetml.worksheet+xml">
        <DigestMethod Algorithm="http://www.w3.org/2000/09/xmldsig#sha1"/>
        <DigestValue>rQzx/2N+gWPrVWuFRmbmZcTwrLw=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tGxpVqDBJ+gggMPAnDHtbwSZOqo=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JRR9z9cNt/pv5sgGyCJ5rPJ+s3Y=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WW9mb9mY+Pt3LH7Zs04FPJBpe+8=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jTI+Ihp69qGZP8h9Uv8X2KMFdB0=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S1yNbwXBtIh7WSmczh93NIQp/TE=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AUlhsDG4S4Blm+QAq8m+1JEAnv0=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V/SVH0utVLzj+WoGm9ENw6p6Gw4=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L4w/Gl3ILNFu/LdSlI3ICfWpKo4=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Yy+SgFxV2VFDUT2lGcTfLYA2voM=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oaCmfeKapJGl1MCH6wbBSSCG73U=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VLjKdxT5rCd/jZomNnyTCsBiGv8=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mBk40KCXWQRXI4Sn1b4H4r6XPFg=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cDtVRw0rBClDFN7iKM/7eOh58KE=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qL7jSsGheVCCeJsa+Hvzl7EEaNs=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2020-08-14T16:45:57Z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2020-08-14T16:45:57Z</xd:SigningTime>
          <xd:SigningCertificate>
            <xd:Cert>
              <xd:CertDigest>
                <DigestMethod Algorithm="http://www.w3.org/2000/09/xmldsig#sha1"/>
                <DigestValue>oSXw5i0doNC2wfYz8ARhAh1Skl4=</DigestValue>
              </xd:CertDigest>
              <xd:IssuerSerial>
                <X509IssuerName>C=PY, O=DOCUMENTA S.A., CN=CA-DOCUMENTA S.A., SERIALNUMBER=RUC 80050172-1</X509IssuerName>
                <X509SerialNumber>169443630144648057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Acta Direcotrio</vt:lpstr>
      <vt:lpstr>Balance Gral.</vt:lpstr>
      <vt:lpstr>Notas a los Estados Contables</vt:lpstr>
      <vt:lpstr>Flujo Efectivo </vt:lpstr>
      <vt:lpstr>Estado Variacion PN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'Balance Gral.'!A_impresión_IM</vt:lpstr>
      <vt:lpstr>'Anexo A'!Área_de_impresión</vt:lpstr>
      <vt:lpstr>'Anexo C'!Área_de_impresión</vt:lpstr>
      <vt:lpstr>'Anexo E'!Área_de_impresión</vt:lpstr>
      <vt:lpstr>'Anexo H'!Área_de_impresión</vt:lpstr>
      <vt:lpstr>'Anexo I'!Área_de_impresión</vt:lpstr>
      <vt:lpstr>'Anexo J'!Área_de_impresión</vt:lpstr>
      <vt:lpstr>'Balance Gral.'!Área_de_impresión</vt:lpstr>
      <vt:lpstr>'Estado Variacion PN'!Área_de_impresión</vt:lpstr>
      <vt:lpstr>'Flujo Efectivo '!Área_de_impresión</vt:lpstr>
      <vt:lpstr>'Notas a los Estados Contables'!Área_de_impresión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2020-08-14T14:19:45Z</cp:lastPrinted>
  <dcterms:created xsi:type="dcterms:W3CDTF">2019-02-19T18:54:57Z</dcterms:created>
  <dcterms:modified xsi:type="dcterms:W3CDTF">2020-08-14T16:43:05Z</dcterms:modified>
</cp:coreProperties>
</file>