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drawings/drawing15.xml" ContentType="application/vnd.openxmlformats-officedocument.drawing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4115" windowHeight="3930" activeTab="0"/>
  </bookViews>
  <sheets>
    <sheet name="Acta Direcotrio" sheetId="1" r:id="rId1"/>
    <sheet name="Balance Gral." sheetId="2" r:id="rId2"/>
    <sheet name="Notas a los Estados Contables" sheetId="3" r:id="rId3"/>
    <sheet name="Flujo Efectivo " sheetId="4" r:id="rId4"/>
    <sheet name="Estado Variacion PN" sheetId="5" r:id="rId5"/>
    <sheet name="Anexo A " sheetId="6" r:id="rId6"/>
    <sheet name="Anexo B" sheetId="7" r:id="rId7"/>
    <sheet name="Anexo C" sheetId="8" r:id="rId8"/>
    <sheet name="Anexo D" sheetId="9" r:id="rId9"/>
    <sheet name="Anexo E" sheetId="10" r:id="rId10"/>
    <sheet name="Anexo F" sheetId="11" r:id="rId11"/>
    <sheet name="Anexo G" sheetId="12" r:id="rId12"/>
    <sheet name="Anexo H" sheetId="13" r:id="rId13"/>
    <sheet name="Anexo I" sheetId="14" r:id="rId14"/>
    <sheet name="Anexo J" sheetId="15" r:id="rId15"/>
    <sheet name="Hoja1" sheetId="16" r:id="rId16"/>
  </sheets>
  <externalReferences>
    <externalReference r:id="rId19"/>
  </externalReferences>
  <definedNames>
    <definedName name="A_impresión_IM" localSheetId="0">#REF!</definedName>
    <definedName name="A_impresión_IM" localSheetId="5">#REF!</definedName>
    <definedName name="A_impresión_IM" localSheetId="12">#REF!</definedName>
    <definedName name="A_impresión_IM" localSheetId="1">'Balance Gral.'!$A$51:$H$90</definedName>
    <definedName name="A_impresión_IM" localSheetId="4">#REF!</definedName>
    <definedName name="A_impresión_IM">#REF!</definedName>
    <definedName name="_xlnm.Print_Area" localSheetId="0">'Acta Direcotrio'!$A$1:$K$50</definedName>
    <definedName name="_xlnm.Print_Area" localSheetId="5">'Anexo A '!$A$1:$M$62</definedName>
    <definedName name="_xlnm.Print_Area" localSheetId="7">'Anexo C'!$A$1:$M$42</definedName>
    <definedName name="_xlnm.Print_Area" localSheetId="9">'Anexo E'!$A$1:$G$44</definedName>
    <definedName name="_xlnm.Print_Area" localSheetId="12">'Anexo H'!$A$1:$H$87</definedName>
    <definedName name="_xlnm.Print_Area" localSheetId="13">'Anexo I'!$A$1:$E$47</definedName>
    <definedName name="_xlnm.Print_Area" localSheetId="14">'Anexo J'!$A$1:$J$50</definedName>
    <definedName name="_xlnm.Print_Area" localSheetId="1">'Balance Gral.'!$A$1:$E$282</definedName>
    <definedName name="_xlnm.Print_Area" localSheetId="4">'Estado Variacion PN'!$A$1:$I$31</definedName>
    <definedName name="_xlnm.Print_Area" localSheetId="3">'Flujo Efectivo '!$A$1:$G$51</definedName>
    <definedName name="_xlnm.Print_Area" localSheetId="2">'Notas a los Estados Contables'!$A$1:$E$958</definedName>
  </definedNames>
  <calcPr fullCalcOnLoad="1"/>
</workbook>
</file>

<file path=xl/sharedStrings.xml><?xml version="1.0" encoding="utf-8"?>
<sst xmlns="http://schemas.openxmlformats.org/spreadsheetml/2006/main" count="1480" uniqueCount="1186">
  <si>
    <t xml:space="preserve">     Fondo Fijo - Planta San Antonio</t>
  </si>
  <si>
    <t xml:space="preserve">     Fondo Fijo – Artigas</t>
  </si>
  <si>
    <t xml:space="preserve">     Fondo Fijo - Oficina Central</t>
  </si>
  <si>
    <t xml:space="preserve">     Fondo Fijo -  EESS Von Polesky</t>
  </si>
  <si>
    <t>Total en Fondo Fijo (a)</t>
  </si>
  <si>
    <t xml:space="preserve">     Banco de la Nación Argentina</t>
  </si>
  <si>
    <t xml:space="preserve">     Banco Itau S.A.  – US$ Cta. Bonos</t>
  </si>
  <si>
    <t xml:space="preserve">     Banco Itau S.A.  – Gs.  Cta. Bonos </t>
  </si>
  <si>
    <t xml:space="preserve">     Banco Regional US$</t>
  </si>
  <si>
    <t xml:space="preserve">     BBVA US$</t>
  </si>
  <si>
    <t xml:space="preserve">     Banco Amambay S.A.</t>
  </si>
  <si>
    <t xml:space="preserve">     Bancop S.A.</t>
  </si>
  <si>
    <t>Total en Bancos (b)</t>
  </si>
  <si>
    <t>Total Recaudaciones a Depositar (c)</t>
  </si>
  <si>
    <t xml:space="preserve">Total Disponible (a) + (b) + (c) </t>
  </si>
  <si>
    <t xml:space="preserve">   </t>
  </si>
  <si>
    <t>Acaray Gas S.R.L.</t>
  </si>
  <si>
    <t>Yacyreta Gas S.R.L.</t>
  </si>
  <si>
    <t>Deudores Accionistas</t>
  </si>
  <si>
    <t>Clientes Varios</t>
  </si>
  <si>
    <t>Total Deudores por ventas</t>
  </si>
  <si>
    <t xml:space="preserve">Cheques Rechazados </t>
  </si>
  <si>
    <t>Cheques de cobro diferido</t>
  </si>
  <si>
    <t>Total Documentos a Cobrar</t>
  </si>
  <si>
    <t>Previsión Acum. Cheques Rechazados – Anexo E</t>
  </si>
  <si>
    <t xml:space="preserve">Y.P.F. Repsol </t>
  </si>
  <si>
    <t>Refinor S.A.</t>
  </si>
  <si>
    <t>Axion Argentina</t>
  </si>
  <si>
    <t>Y.P.F.B.</t>
  </si>
  <si>
    <t xml:space="preserve">Total Anticipos </t>
  </si>
  <si>
    <t>Gas Licuado de Petróleo</t>
  </si>
  <si>
    <t>Total GLP (a)</t>
  </si>
  <si>
    <t>Total Estaciones de Servicios (b)</t>
  </si>
  <si>
    <t>Envases para Gas Licuado de Petróleo</t>
  </si>
  <si>
    <t xml:space="preserve">    Garrafas Vacías</t>
  </si>
  <si>
    <t xml:space="preserve">    Generadores a Gas</t>
  </si>
  <si>
    <t xml:space="preserve">    Tanques para Uso Industrial</t>
  </si>
  <si>
    <t xml:space="preserve">    Calefones a Gas</t>
  </si>
  <si>
    <t>Total Envases (c)</t>
  </si>
  <si>
    <t xml:space="preserve">    Banco Regional</t>
  </si>
  <si>
    <t xml:space="preserve">    Total (a)</t>
  </si>
  <si>
    <r>
      <t xml:space="preserve">     </t>
    </r>
    <r>
      <rPr>
        <sz val="10"/>
        <color indexed="8"/>
        <rFont val="Book Antiqua"/>
        <family val="1"/>
      </rPr>
      <t xml:space="preserve">Intereses a Vencer – Gs. </t>
    </r>
  </si>
  <si>
    <r>
      <t xml:space="preserve">     </t>
    </r>
    <r>
      <rPr>
        <sz val="10"/>
        <color indexed="8"/>
        <rFont val="Book Antiqua"/>
        <family val="1"/>
      </rPr>
      <t>Intereses a Vencer – US$</t>
    </r>
  </si>
  <si>
    <t xml:space="preserve">     Total (b)</t>
  </si>
  <si>
    <t xml:space="preserve"> Total (d)</t>
  </si>
  <si>
    <t xml:space="preserve">  </t>
  </si>
  <si>
    <r>
      <t xml:space="preserve">     </t>
    </r>
    <r>
      <rPr>
        <sz val="10"/>
        <color indexed="8"/>
        <rFont val="Book Antiqua"/>
        <family val="1"/>
      </rPr>
      <t xml:space="preserve">Intereses a Pagar – Gs. </t>
    </r>
  </si>
  <si>
    <r>
      <t xml:space="preserve">     </t>
    </r>
    <r>
      <rPr>
        <sz val="10"/>
        <color indexed="8"/>
        <rFont val="Book Antiqua"/>
        <family val="1"/>
      </rPr>
      <t>Intereses a Pagar – US$</t>
    </r>
  </si>
  <si>
    <t>Varios</t>
  </si>
  <si>
    <t xml:space="preserve">    Impresos y Útiles</t>
  </si>
  <si>
    <t xml:space="preserve">    Insumos para garrafas</t>
  </si>
  <si>
    <t xml:space="preserve">    Repuestos</t>
  </si>
  <si>
    <t xml:space="preserve">    Materiales Varios</t>
  </si>
  <si>
    <t xml:space="preserve">    Lubricantes</t>
  </si>
  <si>
    <t>Total Varios</t>
  </si>
  <si>
    <t>Mejoras en propiedades de terceros</t>
  </si>
  <si>
    <t>Amortización Acumulada</t>
  </si>
  <si>
    <t>Valor neto Mejoras (a)</t>
  </si>
  <si>
    <t>Contratos Distribuidores</t>
  </si>
  <si>
    <t>Amortización Contratos</t>
  </si>
  <si>
    <t>Valor neto contratos (b)</t>
  </si>
  <si>
    <t>Mantenimiento Garrafas</t>
  </si>
  <si>
    <t>Amortización Mantenimiento</t>
  </si>
  <si>
    <t>Valor neto Mantenimiento (c)</t>
  </si>
  <si>
    <t>TOTAL CARGOS DIFERIDOS (a+b+c)</t>
  </si>
  <si>
    <t>YPF Argentina</t>
  </si>
  <si>
    <t>Total Proveedores del Exterior</t>
  </si>
  <si>
    <t>Regional</t>
  </si>
  <si>
    <t>Banco Itau S.A.</t>
  </si>
  <si>
    <t>Banco Continental S.A.</t>
  </si>
  <si>
    <t>Banco Regional S.A. – Gs.</t>
  </si>
  <si>
    <t>Proveedores Locales</t>
  </si>
  <si>
    <t>TLP S.A.</t>
  </si>
  <si>
    <t xml:space="preserve">Proveedores Varios </t>
  </si>
  <si>
    <t>Copetrol</t>
  </si>
  <si>
    <t>Total Proveedores Locales</t>
  </si>
  <si>
    <t>SERIES</t>
  </si>
  <si>
    <t>Corto plazo</t>
  </si>
  <si>
    <t>Largo Plazo</t>
  </si>
  <si>
    <t>TOTAL</t>
  </si>
  <si>
    <t>Serie 3</t>
  </si>
  <si>
    <t>Serie 4</t>
  </si>
  <si>
    <t>Serie 5</t>
  </si>
  <si>
    <t>Serie 6</t>
  </si>
  <si>
    <t>Serie 7</t>
  </si>
  <si>
    <t>Serie 8</t>
  </si>
  <si>
    <t>Serie 9</t>
  </si>
  <si>
    <t>Serie 10</t>
  </si>
  <si>
    <t>Serie 14</t>
  </si>
  <si>
    <t>Serie 15</t>
  </si>
  <si>
    <t>Serie 16</t>
  </si>
  <si>
    <t>Serie 17</t>
  </si>
  <si>
    <t>Serie 2</t>
  </si>
  <si>
    <t>Sueldos y Jornales</t>
  </si>
  <si>
    <t>Vacaciones</t>
  </si>
  <si>
    <t xml:space="preserve">Aporte Obrero y Patronal </t>
  </si>
  <si>
    <t>Provisión Varias</t>
  </si>
  <si>
    <t xml:space="preserve">Secciones </t>
  </si>
  <si>
    <t>Equipos Electrónicos</t>
  </si>
  <si>
    <t>Rodados</t>
  </si>
  <si>
    <t>Incendios</t>
  </si>
  <si>
    <t>Valores</t>
  </si>
  <si>
    <t>Vida colectivo</t>
  </si>
  <si>
    <t>Barcaza</t>
  </si>
  <si>
    <t>Total Cuentas de Orden Deudoras y Acreedoras</t>
  </si>
  <si>
    <t>Entidad Financiera</t>
  </si>
  <si>
    <t>Banco Continental  S.A.E.C.A</t>
  </si>
  <si>
    <t>Banco Amambay S.A.</t>
  </si>
  <si>
    <t>Tipo de Garantía</t>
  </si>
  <si>
    <t>Nelson Gonzalez</t>
  </si>
  <si>
    <t>Hipotecaria</t>
  </si>
  <si>
    <t>De las Nieves S.A.C.I.</t>
  </si>
  <si>
    <t>Berestovoy S.R.L.</t>
  </si>
  <si>
    <t>Seguro de caución</t>
  </si>
  <si>
    <t>Bortolini y Cia. S.A.</t>
  </si>
  <si>
    <t>Milcíades Vera López</t>
  </si>
  <si>
    <t>Ricardo Scavenius</t>
  </si>
  <si>
    <t>Sabino Sosa</t>
  </si>
  <si>
    <t>Miguel Angel Acosta</t>
  </si>
  <si>
    <t>Ysapy Paraguay S.A.</t>
  </si>
  <si>
    <t>Primitivo Vera</t>
  </si>
  <si>
    <t>Cliente</t>
  </si>
  <si>
    <t>David Palacios</t>
  </si>
  <si>
    <t>EESS Corona Independencia</t>
  </si>
  <si>
    <t>Guavira Poty (Nelpar S.A.)</t>
  </si>
  <si>
    <t>Jose Hrycan</t>
  </si>
  <si>
    <t>De Las Nieves SACI</t>
  </si>
  <si>
    <t xml:space="preserve">Olga de Villalba </t>
  </si>
  <si>
    <t>RR Transportes</t>
  </si>
  <si>
    <t>Andrés Jara Benítez</t>
  </si>
  <si>
    <t>Sergio Sánchez</t>
  </si>
  <si>
    <t>Graciela López Torres</t>
  </si>
  <si>
    <t xml:space="preserve">Varios </t>
  </si>
  <si>
    <t>Previsión
 Acumulada</t>
  </si>
  <si>
    <t>Débitos (A)</t>
  </si>
  <si>
    <t>Créditos (B)</t>
  </si>
  <si>
    <t>Totales</t>
  </si>
  <si>
    <t>Notas a los Estados Contables</t>
  </si>
  <si>
    <t xml:space="preserve">Las modificaciones del Estatuto Social han sido las siguientes: </t>
  </si>
  <si>
    <r>
      <t>Gas Corona Sociedad Anónima</t>
    </r>
    <r>
      <rPr>
        <sz val="12"/>
        <color indexed="8"/>
        <rFont val="Book Antiqua"/>
        <family val="1"/>
      </rPr>
      <t xml:space="preserve"> fue constituido por Escritura Pública Nº 71  </t>
    </r>
  </si>
  <si>
    <t xml:space="preserve">de fecha 4 de agosto de 1971, pasada ante el Escribano Don José Livio </t>
  </si>
  <si>
    <t xml:space="preserve">Lezcano. Sus Estatutos Sociales fueron aprobados y reconocida su Personería </t>
  </si>
  <si>
    <t xml:space="preserve">Jurídica por Decreto del Poder Ejecutivo de la Nación Nº 22.810 de fecha 10 </t>
  </si>
  <si>
    <t xml:space="preserve">de noviembre  de 1971 e inscripto en el Registro Público de Comercio bajo el </t>
  </si>
  <si>
    <t>Nº 549, página 137 y siguientes, de fecha 25 de noviembre de 1971.</t>
  </si>
  <si>
    <r>
      <t>1.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Book Antiqua"/>
        <family val="1"/>
      </rPr>
      <t>El Ente.</t>
    </r>
  </si>
  <si>
    <r>
      <t xml:space="preserve">Primera Modificación de los Estatutos Sociales: </t>
    </r>
    <r>
      <rPr>
        <sz val="12"/>
        <color indexed="8"/>
        <rFont val="Book Antiqua"/>
        <family val="1"/>
      </rPr>
      <t xml:space="preserve">Por aumento de capital, </t>
    </r>
  </si>
  <si>
    <t xml:space="preserve"> 1975 e inscripta en el Registro Público de Comercio, bajo el número 171, de </t>
  </si>
  <si>
    <t>según Decreto del Poder Ejecutivo de la Nación Nº 14.778 del 9 de mayo de</t>
  </si>
  <si>
    <t xml:space="preserve">fecha 25 de Mayo de 1975, conforme en la Escritura Pública Nº 69 </t>
  </si>
  <si>
    <t xml:space="preserve">protocolizada ante el Escribano Gervasio Recalde, en fecha 18 de marzo de </t>
  </si>
  <si>
    <t xml:space="preserve">1975. </t>
  </si>
  <si>
    <r>
      <t>Segunda Modificación de los Estatutos Sociales:</t>
    </r>
    <r>
      <rPr>
        <sz val="12"/>
        <color indexed="8"/>
        <rFont val="Book Antiqua"/>
        <family val="1"/>
      </rPr>
      <t xml:space="preserve"> Por aumento de Capital, </t>
    </r>
  </si>
  <si>
    <t xml:space="preserve">Escritura Pública Nº 14 de fecha 4 de setiembre de 1986, autorizada por el </t>
  </si>
  <si>
    <t xml:space="preserve">Escribano Público Octavio Godoy Cáceres aprobada por Decreto del Poder </t>
  </si>
  <si>
    <t xml:space="preserve">Ejecutivo Nº 18.996 de fecha 29 de diciembre de1986 e inscripta en el Registro </t>
  </si>
  <si>
    <t xml:space="preserve">Público de Comercio, bajo el Nº 114, de fecha 4 de setiembre de 1986. </t>
  </si>
  <si>
    <r>
      <t xml:space="preserve">Tercera Modificación de los Estatutos Sociales: </t>
    </r>
    <r>
      <rPr>
        <sz val="12"/>
        <color indexed="8"/>
        <rFont val="Book Antiqua"/>
        <family val="1"/>
      </rPr>
      <t xml:space="preserve">Por Escritura Pública Nº 295 </t>
    </r>
  </si>
  <si>
    <t xml:space="preserve">de fecha 3 de octubre de 1996 autorizada por la Escribana Pública Carmen </t>
  </si>
  <si>
    <t xml:space="preserve">Estigarribia de Fassanello. Inscripta en el Registro de Personas Jurídicas y </t>
  </si>
  <si>
    <t xml:space="preserve">Asociaciones, bajo el Nº 648 y en el folio 6948, Serie B, en fecha 21 de </t>
  </si>
  <si>
    <t xml:space="preserve">noviembre de 1996, y en Registro Público de Comercio con el Nº 896 – Serie </t>
  </si>
  <si>
    <t xml:space="preserve">C – Folio 8240 del 25 de Noviembre de 1996. </t>
  </si>
  <si>
    <r>
      <t xml:space="preserve">Cuarta Modificación de los Estatutos Sociales: </t>
    </r>
    <r>
      <rPr>
        <sz val="12"/>
        <color indexed="8"/>
        <rFont val="Book Antiqua"/>
        <family val="1"/>
      </rPr>
      <t xml:space="preserve">Escritura de Aumento de </t>
    </r>
  </si>
  <si>
    <t xml:space="preserve">Capital Social de la firma Gas Corona S.A. por Escritura Pública Nº 19 del 10 </t>
  </si>
  <si>
    <t xml:space="preserve">de setiembre de 2003 ante la Escribana Carmen Estigarribia de Fassanello e </t>
  </si>
  <si>
    <t xml:space="preserve">inscripto en el Registro de Personas Jurídicas y Asociaciones con el Nº 537 – </t>
  </si>
  <si>
    <t xml:space="preserve">Folio 5492 y siguientes -  Serie D del 4 de noviembre de 2003 y en el Registro </t>
  </si>
  <si>
    <t xml:space="preserve">Público de Comercio con el Nº 435 – Folio 435 – Folio 4356 y siguientes Serie </t>
  </si>
  <si>
    <t xml:space="preserve">C el 6 de noviembre de 2003. </t>
  </si>
  <si>
    <r>
      <t xml:space="preserve">Quinta Modificación de los Estatutos Sociales: </t>
    </r>
    <r>
      <rPr>
        <sz val="12"/>
        <color indexed="8"/>
        <rFont val="Book Antiqua"/>
        <family val="1"/>
      </rPr>
      <t xml:space="preserve">Escritura de Aumento de </t>
    </r>
  </si>
  <si>
    <t>Capital y transformación de la firma Gas Corona S.A, en Emisora de Capital</t>
  </si>
  <si>
    <t xml:space="preserve">Abierto por Escritura Pública Nº 10 de fecha 27 de mayo de 2005 ante la </t>
  </si>
  <si>
    <t xml:space="preserve">Escribana Carmen Estigarribia de Fassanello e inscripto en el Registro de </t>
  </si>
  <si>
    <t xml:space="preserve">Personas Jurídicas y Asociaciones con el Nº 225 – Folio 2995 y siguientes – </t>
  </si>
  <si>
    <t xml:space="preserve">Serie A el 26 de julio de 2005 y en el Registro Público de Comercio con el Nº </t>
  </si>
  <si>
    <t xml:space="preserve">241 – Folio 3552 y siguientes – Serie A el 26 de julio de  2005. </t>
  </si>
  <si>
    <t xml:space="preserve">Capital Social de la firma Gas Corona S.A.E.C.A. por Escritura Pública Nº 84 </t>
  </si>
  <si>
    <t xml:space="preserve">del 14 de junio de 2007 ante la Escribana Carmen Estigarribia de Fassanello e </t>
  </si>
  <si>
    <t xml:space="preserve">inscripto en el Registro de Personas Jurídicas y Asociaciones con el Nº 283 – </t>
  </si>
  <si>
    <t>Folio 3239 y siguientes -  Serie A del 4 de setiembre de 2007 y en el Registro</t>
  </si>
  <si>
    <t>Público de Comercio con el Nº 544 - Folio 5648 y siguientes Serie A del 4 de</t>
  </si>
  <si>
    <t xml:space="preserve">setiembre de 2007. Escritura de Emisión de Acciones dentro del Capital </t>
  </si>
  <si>
    <t xml:space="preserve">Social de la firma Gas Corona S.A.E.C.A. por Escritura Pública Nº 85 del 14 </t>
  </si>
  <si>
    <t xml:space="preserve">de junio de 2007 ante la Escribana Carmen Estigarribia de Fassanello e </t>
  </si>
  <si>
    <t xml:space="preserve">inscripto en el Registro Público de Comercio con el Nº 325 - Folio 5233 y </t>
  </si>
  <si>
    <t xml:space="preserve">siguientes Serie C del 6 de setiembre de 2007. </t>
  </si>
  <si>
    <r>
      <t xml:space="preserve">Séptima Modificación de los Estatutos Sociales: </t>
    </r>
    <r>
      <rPr>
        <sz val="12"/>
        <color indexed="8"/>
        <rFont val="Book Antiqua"/>
        <family val="1"/>
      </rPr>
      <t>Escritura de Aumento de</t>
    </r>
  </si>
  <si>
    <t xml:space="preserve">Capital Social y Emisión de Acciones dentro del Capital Social de la firma </t>
  </si>
  <si>
    <t xml:space="preserve">Gas Corona S.A.E.C.A. por Escritura Pública Nº 138 del 21 de agosto de 2008 </t>
  </si>
  <si>
    <t xml:space="preserve">ante la Escribana Carmen Paredes Cabrera e inscripto en el Registro de </t>
  </si>
  <si>
    <t xml:space="preserve">Personas Jurídicas y Asociaciones con el Nº 653– Folio 6355 y siguientes -  </t>
  </si>
  <si>
    <t xml:space="preserve">Serie C del 25 de setiembre de 2008 y en el Registro Público de Comercio con </t>
  </si>
  <si>
    <t xml:space="preserve">el Nº 734 - Folio 6612 y siguientes Serie E del 25 de setiembre de 2008. </t>
  </si>
  <si>
    <r>
      <t xml:space="preserve">Protocolización Acta de Asamblea: </t>
    </r>
    <r>
      <rPr>
        <sz val="12"/>
        <color indexed="8"/>
        <rFont val="Book Antiqua"/>
        <family val="1"/>
      </rPr>
      <t xml:space="preserve">Escritura de Protocolización por </t>
    </r>
  </si>
  <si>
    <t xml:space="preserve">integración del  Capital Social  de la firma Gas Corona S.A.E.C.A. por </t>
  </si>
  <si>
    <t>Escritura Pública Nº 19 del 16 de marzo de 2010 ante la Escribana Carmen</t>
  </si>
  <si>
    <t xml:space="preserve">Paredes Cabrera e inscripto en el Registro de Personas Jurídicas y </t>
  </si>
  <si>
    <t xml:space="preserve">Asociaciones con el Nº 69 – Folio 776 y siguientes -  Serie G del 07 de abril de </t>
  </si>
  <si>
    <t xml:space="preserve">2010 y en el Registro Público de Comercio con el Nº 191 - Folio 2204 y </t>
  </si>
  <si>
    <t xml:space="preserve">siguientes - Serie F del 7 de abril de 2010. </t>
  </si>
  <si>
    <r>
      <t xml:space="preserve">Octava Modificación de los Estatutos Sociales: </t>
    </r>
    <r>
      <rPr>
        <sz val="12"/>
        <color indexed="8"/>
        <rFont val="Book Antiqua"/>
        <family val="1"/>
      </rPr>
      <t xml:space="preserve">Escritura de Aumento de </t>
    </r>
  </si>
  <si>
    <t xml:space="preserve">Gas Corona S.A.E.C.A. por Escritura Pública Nº 195 del 22 de julio de 2010 </t>
  </si>
  <si>
    <t xml:space="preserve">Personas Jurídicas y Asociaciones con el Nº 423 – Folio 5203 y siguientes -  </t>
  </si>
  <si>
    <t xml:space="preserve">Serie B del 1 de setiembre de 2010 y en el Registro Público de Comercio con </t>
  </si>
  <si>
    <t xml:space="preserve">el Nº 456 - Folio 4004 y siguientes - Serie C del 1 de setiembre de 2010. </t>
  </si>
  <si>
    <t xml:space="preserve">integración el Capital Social de la firma Gas Corona S.A.E.C.A. por Escritura </t>
  </si>
  <si>
    <t xml:space="preserve">Pública Nº 83 del 31 de agosto de 2011 ante la Escribana Carmen Paredes </t>
  </si>
  <si>
    <t>Cabrera e inscripto en el Registro Público de Comercio Sección Contratos</t>
  </si>
  <si>
    <t>bajo el Nº 407- Folio 4340 y siguientes - Serie H del 12 de septiembre de 2011.</t>
  </si>
  <si>
    <r>
      <t xml:space="preserve">Novena  Modificación de los Estatutos Sociales: </t>
    </r>
    <r>
      <rPr>
        <sz val="12"/>
        <color indexed="8"/>
        <rFont val="Book Antiqua"/>
        <family val="1"/>
      </rPr>
      <t xml:space="preserve">Escritura de Aumento de </t>
    </r>
  </si>
  <si>
    <t xml:space="preserve">Gas Corona S.A.E.C.A. por Escritura Pública Nº 17 del 05 de octubre de 2012 </t>
  </si>
  <si>
    <t xml:space="preserve">ante la Escribana Myrian Garcete de Enciso Cuquejo e inscripto en el Registro </t>
  </si>
  <si>
    <t xml:space="preserve">Público de Comercio Sección Contratos bajo el Nº 1546- Folio 14406 y </t>
  </si>
  <si>
    <t>siguientes – Serie A del 19 de noviembre de 2012.</t>
  </si>
  <si>
    <t xml:space="preserve">Pública Nº 19, folio 31 y sgtes.  del 16 de agosto de 2013 ante la Escribana </t>
  </si>
  <si>
    <t xml:space="preserve">Myrian Garcete de Enciso e inscripto en el Registro Público de Comercio </t>
  </si>
  <si>
    <t xml:space="preserve">Sección Contratos bajo el Nº 157- Folio 1838 y siguientes - Serie E del 02 de </t>
  </si>
  <si>
    <t>septiembre de 2013.</t>
  </si>
  <si>
    <r>
      <t xml:space="preserve">Decima  Modificación de los Estatutos Sociales: </t>
    </r>
    <r>
      <rPr>
        <sz val="12"/>
        <color indexed="8"/>
        <rFont val="Book Antiqua"/>
        <family val="1"/>
      </rPr>
      <t xml:space="preserve">Escritura de Aumento de </t>
    </r>
  </si>
  <si>
    <t xml:space="preserve">Gas Corona S.A.E.C.A. por Escritura Pública Nº 19 del 03 de noviembre de </t>
  </si>
  <si>
    <t xml:space="preserve">2014 ante la Escribana Myrian Garcete de Enciso Cuquejo e inscripto en el </t>
  </si>
  <si>
    <t>Registro Público de Comercio en la Serie C,  bajo el Nº 560- Folio 6394 y</t>
  </si>
  <si>
    <t xml:space="preserve">siguientes y en el Registro Público de Contratos bajo el Nro. 336, Serie E – </t>
  </si>
  <si>
    <t>Folio 3351 de fecha 17 de julio de 2014.</t>
  </si>
  <si>
    <t xml:space="preserve">Pública Nº 05, folio 07 y sgtes.  del 01 de julio de 2015 ante la Escribana </t>
  </si>
  <si>
    <t xml:space="preserve">Myrian Garcete de Enciso e inscripto en el Registro Público de Comercio, </t>
  </si>
  <si>
    <t xml:space="preserve">Matricula Nro. 724,  bajo el Nº 01 Folio 01-07 y siguientes – Serie Comercial </t>
  </si>
  <si>
    <t>del 02 de julio de 2015.</t>
  </si>
  <si>
    <r>
      <t xml:space="preserve">Decima  Primera Modificación de los Estatutos Sociales: </t>
    </r>
    <r>
      <rPr>
        <sz val="12"/>
        <color indexed="8"/>
        <rFont val="Book Antiqua"/>
        <family val="1"/>
      </rPr>
      <t xml:space="preserve">Escritura de </t>
    </r>
  </si>
  <si>
    <t>Aumento de Capital Social y Emisión de Acciones dentro del Capital Socia</t>
  </si>
  <si>
    <t xml:space="preserve">de la firma Gas Corona S.A.E.C.A. por Escritura Pública Nº 3 del 06 de mayo </t>
  </si>
  <si>
    <t xml:space="preserve">de 2016 ante la Escribana Myrian Garcete de Enciso Cuquejo e inscripto en el </t>
  </si>
  <si>
    <t xml:space="preserve">Registro Público de Comercio Sección Personas Jurídicas y Asociaciones,  en </t>
  </si>
  <si>
    <t xml:space="preserve">la Serie C,  bajo el Nº 1 Folio 6394 y siguientes y en el Registro Público de </t>
  </si>
  <si>
    <t xml:space="preserve">Contratos bajo el Nro. 336, Serie Folio 1 de fecha 15 de junio de 2016. Y en la </t>
  </si>
  <si>
    <t xml:space="preserve">Dirección de los Registros Públicos Sección Comercio en la Serie C, bajo el </t>
  </si>
  <si>
    <t>Nro. 02, folio 08-17, de fecha 15/06/2016.</t>
  </si>
  <si>
    <r>
      <t xml:space="preserve">Decima  Segunda Modificación de los Estatutos Sociales: </t>
    </r>
    <r>
      <rPr>
        <sz val="12"/>
        <color indexed="8"/>
        <rFont val="Book Antiqua"/>
        <family val="1"/>
      </rPr>
      <t xml:space="preserve">Escritura de </t>
    </r>
  </si>
  <si>
    <t xml:space="preserve">Aumento de Capital Social y Emisión de Acciones dentro del Capital Social </t>
  </si>
  <si>
    <t xml:space="preserve">de la firma Gas Corona S.A.E.C.A. por Escritura Pública Nº 7 del 15 de junio </t>
  </si>
  <si>
    <t xml:space="preserve">de 2017 ante la Escribana Myrian Garcete de Enciso Cuquejo e inscripto en el </t>
  </si>
  <si>
    <t>Registro Público de Comercio Sección Personas Jurídicas y Asociaciones,  en</t>
  </si>
  <si>
    <t>la Serie Comercial,  bajo el Nº 2,  Folio 13  en fecha 23/08/2017 y en la</t>
  </si>
  <si>
    <t xml:space="preserve">Dirección Gral. Registro Público; Sección Comercio bajo el Nro. 03,  Folio 18 </t>
  </si>
  <si>
    <t xml:space="preserve">de fecha 29 de setiembre de 2017. </t>
  </si>
  <si>
    <t xml:space="preserve">Pública Nº 13, folio 36 y sgtes.  del 04 de junio de 2018 ante la Escribana </t>
  </si>
  <si>
    <t xml:space="preserve">Matricula Nro. 724,  bajo el Nº 4 Folio 28-36 y siguientes – Serie Comercial del </t>
  </si>
  <si>
    <t>15  de octubre de 2018.</t>
  </si>
  <si>
    <t xml:space="preserve">El objetivo de la sociedad comprende todas la actividades lícitas a las que </t>
  </si>
  <si>
    <t xml:space="preserve">podrá dedicarse por cuenta propia, de terceros o asociados a terceros, y en </t>
  </si>
  <si>
    <t>especial al fraccionamiento y comercialización de los productos derivados</t>
  </si>
  <si>
    <t xml:space="preserve">del petróleo, la importación, comercialización, promoción y venta de toda </t>
  </si>
  <si>
    <t xml:space="preserve">clase de mercaderías, productos y elementos para cocinas a Gas y demás </t>
  </si>
  <si>
    <t xml:space="preserve">derivados; la importación de productos para el hogar. Podrá asimismo, </t>
  </si>
  <si>
    <t xml:space="preserve">comprar, vender, fraccionar, importar, exportar y envasar toda clase de </t>
  </si>
  <si>
    <t xml:space="preserve">productos, artículos y mercaderías, adquirir, establecer y exportar toda clase </t>
  </si>
  <si>
    <t xml:space="preserve">de empresas agrícolas, industriales, ganaderas y de cualquier otro tipo. </t>
  </si>
  <si>
    <t xml:space="preserve">Podrá también descontar, comprar y vender letras, pagarés, cheques, giros y </t>
  </si>
  <si>
    <t xml:space="preserve">otros documentos negociables, comprar y vender cédulas hipotecarias y </t>
  </si>
  <si>
    <t xml:space="preserve">cualquier otra clase de papeles negociables o títulos valores de oferta pública </t>
  </si>
  <si>
    <t xml:space="preserve">o privada. </t>
  </si>
  <si>
    <t xml:space="preserve">La sociedad podrá emitir acciones obligaciones u otros títulos valores y </t>
  </si>
  <si>
    <t xml:space="preserve">podrán ser negociables en oferta pública a través del Mercado de Valores de </t>
  </si>
  <si>
    <t xml:space="preserve">conformidad a las leyes que regulan este mercado. La sociedad podrá actuar </t>
  </si>
  <si>
    <t xml:space="preserve">por cuenta propia, de terceros o asociada con otras personas o sociedades </t>
  </si>
  <si>
    <t xml:space="preserve">participando en su capital. La Sociedad queda autorizada con plena </t>
  </si>
  <si>
    <t xml:space="preserve">capacidad jurídica para entender y desarrollar Cualquier tipo de actividades </t>
  </si>
  <si>
    <t xml:space="preserve">comerciales, industriales, inmobiliarias, empresariales o cualquier otra </t>
  </si>
  <si>
    <t xml:space="preserve">actividad lícita sin más limitaciones que las previstas en las leyes respectivas </t>
  </si>
  <si>
    <t xml:space="preserve">y este estatuto. </t>
  </si>
  <si>
    <t xml:space="preserve">La Sociedad tendrá una duración de cincuenta (50) años contados a partir del </t>
  </si>
  <si>
    <t xml:space="preserve">día en que la modificación de los Estatutos Sociales sea registrada en los </t>
  </si>
  <si>
    <t xml:space="preserve">correspondientes Registros Públicos, pudiendo ser prorrogado su término o </t>
  </si>
  <si>
    <t xml:space="preserve">anticiparse su disolución por resolución de la Asamblea General de </t>
  </si>
  <si>
    <t>Accionistas.</t>
  </si>
  <si>
    <t xml:space="preserve">En fecha 30 de agosto de 2005, según Resolución Nº 877/05, la Comisión </t>
  </si>
  <si>
    <t xml:space="preserve">Nacional de Valores resuelve, calificar a Gas Corona Sociedad Anónima </t>
  </si>
  <si>
    <t xml:space="preserve">como Sociedad Emisora de Capital Abierto, y en consecuencia autorizarla </t>
  </si>
  <si>
    <t xml:space="preserve">para operar en el mercado de valores e inscribirla en los Registros que al </t>
  </si>
  <si>
    <t xml:space="preserve">efecto lleva la Comisión, llevando la nomenclatura de S.A.E.C.A. </t>
  </si>
  <si>
    <t xml:space="preserve">La Sociedad adopta sus políticas de contabilidad siguiendo los lineamientos </t>
  </si>
  <si>
    <t xml:space="preserve">generales de la práctica contable utilizados habitualmente en la República del </t>
  </si>
  <si>
    <t>Paraguay.</t>
  </si>
  <si>
    <r>
      <t>a)</t>
    </r>
    <r>
      <rPr>
        <b/>
        <sz val="7"/>
        <color indexed="8"/>
        <rFont val="Times New Roman"/>
        <family val="1"/>
      </rPr>
      <t xml:space="preserve">  </t>
    </r>
    <r>
      <rPr>
        <b/>
        <sz val="14"/>
        <color indexed="8"/>
        <rFont val="Book Antiqua"/>
        <family val="1"/>
      </rPr>
      <t>Moneda de Cuenta.</t>
    </r>
  </si>
  <si>
    <t xml:space="preserve">Los presentes estados contables, han sido preparados en base a la </t>
  </si>
  <si>
    <t>moneda oficial del Paraguay, el guaraní.</t>
  </si>
  <si>
    <t xml:space="preserve">Los estados contables han sido preparados en base a cifras históricas, </t>
  </si>
  <si>
    <t xml:space="preserve">sin considerar el efecto que las variaciones en el poder adquisitivo de la </t>
  </si>
  <si>
    <t xml:space="preserve">moneda local pudieran tener sobre los rubros no monetarios que los </t>
  </si>
  <si>
    <t xml:space="preserve">componen, debido a que la corrección monetaria no es un principio de </t>
  </si>
  <si>
    <t xml:space="preserve">contabilidad de aceptación generalizada ni una norma vigente en el </t>
  </si>
  <si>
    <t xml:space="preserve">Paraguay. Constituye una excepción al criterio descrito, el ajuste por </t>
  </si>
  <si>
    <t xml:space="preserve">diferencia de cambio y el revalúo obligatorio de los bienes del activo fijo </t>
  </si>
  <si>
    <t xml:space="preserve">Los activos y pasivos en moneda extranjera se valúan al tipo de cambio </t>
  </si>
  <si>
    <t xml:space="preserve">comprador y vendedor respectivamente, vigentes a la fecha de cierre. </t>
  </si>
  <si>
    <t xml:space="preserve">Las diferencias netas de cambio devengadas por fluctuaciones en los </t>
  </si>
  <si>
    <t xml:space="preserve">tipos de cambio entre las fechas de concertación de las operaciones y su </t>
  </si>
  <si>
    <t xml:space="preserve">liquidación o valuación al cierre del período se imputan a la cuenta </t>
  </si>
  <si>
    <t>Diferencias de Cambio del Estado de Resultados.</t>
  </si>
  <si>
    <t>Para el reconocimiento de las ganancias y pérdidas se ha aplicado el</t>
  </si>
  <si>
    <t>principio de lo devengado.</t>
  </si>
  <si>
    <t xml:space="preserve">suministrados por la Sub Secretaría de Estado de Tributación. </t>
  </si>
  <si>
    <t xml:space="preserve">Las depreciaciones son computadas a partir del año siguiente de la </t>
  </si>
  <si>
    <t xml:space="preserve">incorporación con cargo a resultados del ejercicio, utilizando el sistema </t>
  </si>
  <si>
    <t xml:space="preserve">tributarias y que se consideran adecuadas para extinguir el valor bruto </t>
  </si>
  <si>
    <t xml:space="preserve">de los bienes al fin de su vida útil. El costo, la reevaluación y la </t>
  </si>
  <si>
    <t xml:space="preserve">depreciación acumulada de los bienes vendidos o retirados, son </t>
  </si>
  <si>
    <t xml:space="preserve">eliminados de las cuentas del activo, y la ganancia o pérdida es aplicada </t>
  </si>
  <si>
    <t>a resultados. Los activos intangibles (licencias de software) son</t>
  </si>
  <si>
    <t>Los inventarios de GLP  y Combustibles están valuados a precio</t>
  </si>
  <si>
    <t xml:space="preserve">promedio ponderado, calculado a partir del precio de adquisición de </t>
  </si>
  <si>
    <t>cada partida que ingresa al inventario de existencias.</t>
  </si>
  <si>
    <t xml:space="preserve">La empresa constituye previsiones para deudores de dudoso cobro a los </t>
  </si>
  <si>
    <t xml:space="preserve">efectos de regularizar aquellos créditos que, a entender de la Dirección, </t>
  </si>
  <si>
    <t>presentan riesgos de su total recuperación.</t>
  </si>
  <si>
    <t xml:space="preserve">La Dirección estima que la aplicación de la siguiente escala de </t>
  </si>
  <si>
    <t xml:space="preserve">previsiones es suficiente para exponer el valor neto probable de </t>
  </si>
  <si>
    <t>realización de los créditos de antigua data:</t>
  </si>
  <si>
    <t>Rubro contable</t>
  </si>
  <si>
    <t>Días de Atrasos</t>
  </si>
  <si>
    <t>Previsión (%)</t>
  </si>
  <si>
    <t>Mayor a 180</t>
  </si>
  <si>
    <t>Clientes en Gestión de Cobro</t>
  </si>
  <si>
    <t>Mayor a 360</t>
  </si>
  <si>
    <t>Cheques Rechazados</t>
  </si>
  <si>
    <t xml:space="preserve">Comprende, en guaraníes: </t>
  </si>
  <si>
    <r>
      <t>3.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Book Antiqua"/>
        <family val="1"/>
      </rPr>
      <t>Disponibilidades.</t>
    </r>
  </si>
  <si>
    <t xml:space="preserve">     Fondo Fijo -  Choferes</t>
  </si>
  <si>
    <t xml:space="preserve">     Fondo Fijo – Viajes Internacional</t>
  </si>
  <si>
    <t xml:space="preserve">     Banco Continental</t>
  </si>
  <si>
    <t xml:space="preserve">     Banco Itau S.A. – Gs</t>
  </si>
  <si>
    <t xml:space="preserve">     Banco Sudameris S.A.</t>
  </si>
  <si>
    <t xml:space="preserve">     Banco Continental Salarios</t>
  </si>
  <si>
    <t xml:space="preserve">Este rubro está compuesto por facturas pendientes de cobro y se compone, en </t>
  </si>
  <si>
    <t>guaraníes:</t>
  </si>
  <si>
    <r>
      <t>4.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Book Antiqua"/>
        <family val="1"/>
      </rPr>
      <t>Deudores por Ventas</t>
    </r>
  </si>
  <si>
    <r>
      <t>5.</t>
    </r>
    <r>
      <rPr>
        <b/>
        <sz val="7"/>
        <color indexed="8"/>
        <rFont val="Times New Roman"/>
        <family val="1"/>
      </rPr>
      <t xml:space="preserve">     </t>
    </r>
    <r>
      <rPr>
        <b/>
        <sz val="14"/>
        <color indexed="8"/>
        <rFont val="Book Antiqua"/>
        <family val="1"/>
      </rPr>
      <t>Documentos a cobrar</t>
    </r>
  </si>
  <si>
    <t>Este rubro comprende los cheques recibidos de clientes (Estaciones de Servicios)</t>
  </si>
  <si>
    <t>distribuidos por todo el país. Su composición es la siguiente:</t>
  </si>
  <si>
    <t>6.  Anticipo a Proveedores</t>
  </si>
  <si>
    <t xml:space="preserve">Este rubro incluye sumas de dinero anticipadas a proveedores Locales y del </t>
  </si>
  <si>
    <t>Exterior,  y Préstamos al Personal, según detalle:</t>
  </si>
  <si>
    <t>Surtidores Wayner</t>
  </si>
  <si>
    <t>7.  Existencias</t>
  </si>
  <si>
    <t>Este rubro comprende; en guaraníes:</t>
  </si>
  <si>
    <t xml:space="preserve">    </t>
  </si>
  <si>
    <t>Importación en Curso</t>
  </si>
  <si>
    <t xml:space="preserve">    Gas Licuado de Petróleo</t>
  </si>
  <si>
    <t>Total Importación en Curso (d)</t>
  </si>
  <si>
    <t xml:space="preserve">Repuestos Varios </t>
  </si>
  <si>
    <t xml:space="preserve">    Repuestos Varios en Deposito</t>
  </si>
  <si>
    <t>Total Existencia (a+b+c+d+e)</t>
  </si>
  <si>
    <t>Lubricantes y Agua destilada</t>
  </si>
  <si>
    <t xml:space="preserve">Estación de Servicios Artigas </t>
  </si>
  <si>
    <t>Estación de Servicios Von Polesky</t>
  </si>
  <si>
    <t>Estación de Servicios Pai Pérez</t>
  </si>
  <si>
    <t xml:space="preserve">Insumos p/Garrafas </t>
  </si>
  <si>
    <t>Importado GLP</t>
  </si>
  <si>
    <t>Total Repuestos (e)</t>
  </si>
  <si>
    <t>Estaciones de Servicios</t>
  </si>
  <si>
    <t>8. Intereses a Vencer y a Pagar</t>
  </si>
  <si>
    <t>Total Interés Vencer L.P.(c+d)</t>
  </si>
  <si>
    <t>Intereses a Vencer Financieros a L.P.</t>
  </si>
  <si>
    <t>Intereses a Pagar  Financieros a C.P.</t>
  </si>
  <si>
    <t>Total Intereses a Pagar C.P. (a+b)</t>
  </si>
  <si>
    <t>Interes a Pagar Bonos Bursátiles L.P.</t>
  </si>
  <si>
    <t>Interes a Pagar Largo Plazo</t>
  </si>
  <si>
    <t>Intereses a Pagar Financieros a L.P.</t>
  </si>
  <si>
    <r>
      <t xml:space="preserve"> </t>
    </r>
    <r>
      <rPr>
        <b/>
        <sz val="12"/>
        <color indexed="8"/>
        <rFont val="Book Antiqua"/>
        <family val="1"/>
      </rPr>
      <t>Total Interés a Pagar L.P.(c+d)</t>
    </r>
  </si>
  <si>
    <t>9. Gastos Pagados por Adelantado. Varios</t>
  </si>
  <si>
    <r>
      <t>10.</t>
    </r>
    <r>
      <rPr>
        <b/>
        <sz val="7"/>
        <color indexed="8"/>
        <rFont val="Times New Roman"/>
        <family val="1"/>
      </rPr>
      <t>    </t>
    </r>
    <r>
      <rPr>
        <b/>
        <sz val="14"/>
        <color indexed="8"/>
        <rFont val="Book Antiqua"/>
        <family val="1"/>
      </rPr>
      <t>Cargos Diferidos</t>
    </r>
  </si>
  <si>
    <t xml:space="preserve">Comprenden todas las mejoras o inversiones realizadas en propiedades de terceros </t>
  </si>
  <si>
    <t xml:space="preserve">(distribuidores de gas licuado de petróleo y estaciones de servicios). Estas </t>
  </si>
  <si>
    <t xml:space="preserve">inversiones son amortizadas de manera lineal y uniforme en función del plazo de  </t>
  </si>
  <si>
    <t>vigencia de los contratos firmados con los distribuidores.</t>
  </si>
  <si>
    <t xml:space="preserve">De igual manera, este rubro comprende los mantenimientos realizados a los </t>
  </si>
  <si>
    <t xml:space="preserve">envases (garrafas). La Dirección estima que los repuestos aplicados y los </t>
  </si>
  <si>
    <t xml:space="preserve">mantenimientos periódicos agregan una vida útil de 5 (cinco) años a los envases, </t>
  </si>
  <si>
    <t xml:space="preserve">por lo que estos cargos son amortizados en ese plazo, a partir del año siguiente del </t>
  </si>
  <si>
    <t xml:space="preserve">alta contable. El Mantenimiento de  Garrafas consiste en; llevar las garrafas a una </t>
  </si>
  <si>
    <t xml:space="preserve">Empresa Habilitada por Entidades Estatales para la Rehabilitación del envase cada </t>
  </si>
  <si>
    <t xml:space="preserve">5 años a partir de la fecha de su habilitación toda garrafa será re inspeccionada y </t>
  </si>
  <si>
    <t xml:space="preserve">remarcada para continuar en servicio. Esta rehabilitación consiste en arenado, </t>
  </si>
  <si>
    <t>prueba hidráulica y en planta la realización de la pintura.</t>
  </si>
  <si>
    <t xml:space="preserve">Según las NIC. Los Cargos Diferidos dependen de su recuperabilidad y su </t>
  </si>
  <si>
    <t xml:space="preserve">materialidad. Los Cargos Diferidos pueden ser mejoras, remodelación, arreglos, </t>
  </si>
  <si>
    <t xml:space="preserve">reacondicionamientos y todo esto conlleva a invertir tiempo, recursos, mano de </t>
  </si>
  <si>
    <t xml:space="preserve">obra, dinero, etc. O sea estas inversiones no me permiten llevar a gastos por que se </t>
  </si>
  <si>
    <t>obtendrá una recuperabilidad de eso. (Beneficio futuro)</t>
  </si>
  <si>
    <t xml:space="preserve">Condición del Activo: Recurso controlado, proveniente de eventos pasados de los </t>
  </si>
  <si>
    <t>cuales se espera recibir un beneficio futuro. (NIC 1)</t>
  </si>
  <si>
    <t xml:space="preserve">En conclusión, Gas Corona realiza Inversiones en propiedad de terceros, </t>
  </si>
  <si>
    <t xml:space="preserve">rehabilitación y pintura de las garrafas ya que estas son instrumentos directos para </t>
  </si>
  <si>
    <t>comercialización de  nuestro producto.</t>
  </si>
  <si>
    <t xml:space="preserve">Es decir que el fraccionamiento y la venta de GLP  dependen del </t>
  </si>
  <si>
    <t xml:space="preserve">acondicionamiento técnico de los envases. </t>
  </si>
  <si>
    <t xml:space="preserve">Al respecto, cabe señalar, que teniendo en cuenta la condición del Activo, solo </t>
  </si>
  <si>
    <t xml:space="preserve">resta decir que la Rehabilitación y pintura son recursos controlados de hechos </t>
  </si>
  <si>
    <t xml:space="preserve">pasados y que  genera un beneficio futuro ya que es el instrumento de venta del </t>
  </si>
  <si>
    <t xml:space="preserve">Gas Licuado de Petróleo Fraccionado. Este rubro está compuesto de la siguiente </t>
  </si>
  <si>
    <t>manera:</t>
  </si>
  <si>
    <t>SITUACION</t>
  </si>
  <si>
    <t>Monto (en G.)</t>
  </si>
  <si>
    <t xml:space="preserve">Previsiones </t>
  </si>
  <si>
    <t>En Gs.</t>
  </si>
  <si>
    <t>A. Cartera no Vencida</t>
  </si>
  <si>
    <t>Normal</t>
  </si>
  <si>
    <t>En Gestion de Cobro</t>
  </si>
  <si>
    <t>En Gestion de Cobro Judicial</t>
  </si>
  <si>
    <t>B. Total cartera vencida</t>
  </si>
  <si>
    <t xml:space="preserve">Observaciones </t>
  </si>
  <si>
    <t>Criterios de Calificacion utilizadas</t>
  </si>
  <si>
    <t>de    1   a     90   días de atraso</t>
  </si>
  <si>
    <t>En Gestión de Cobro</t>
  </si>
  <si>
    <t>de    91  a    180   días de atraso</t>
  </si>
  <si>
    <t>En Gestión de Cobro Judicial</t>
  </si>
  <si>
    <t>de    181  días de atraso en adelante</t>
  </si>
  <si>
    <t>% Prev.
s/Cartera</t>
  </si>
  <si>
    <t>12.   Proveedores del Exterior</t>
  </si>
  <si>
    <t>Tradefin S.A.</t>
  </si>
  <si>
    <t>13.  Obligaciones en el Sistema Fianciero</t>
  </si>
  <si>
    <t xml:space="preserve">El saldo de las obligaciones bancarias de corto plazo (Préstamos Amortizables y </t>
  </si>
  <si>
    <t xml:space="preserve">Sudameris Bank </t>
  </si>
  <si>
    <t>Total Préstamos (a)</t>
  </si>
  <si>
    <t>Cheques Diferidos a pagar</t>
  </si>
  <si>
    <t>Banco BBVA</t>
  </si>
  <si>
    <t>Banco BBVA USD</t>
  </si>
  <si>
    <t xml:space="preserve">Banco Continental S.A.                                                                                </t>
  </si>
  <si>
    <t>Total Cheques diferidos a Pagar (b)</t>
  </si>
  <si>
    <t xml:space="preserve">Sobregiros en Cta. Cte. </t>
  </si>
  <si>
    <t>BBVA</t>
  </si>
  <si>
    <t>BBVA USD</t>
  </si>
  <si>
    <t>Banco Sudameris</t>
  </si>
  <si>
    <t>Total Sobregiros en Cta. Cte. ©</t>
  </si>
  <si>
    <t>Total Obligaciones Financieras (a+b+c)</t>
  </si>
  <si>
    <t>GNB Bank</t>
  </si>
  <si>
    <t>14.  Cheques emitidos no cobrados</t>
  </si>
  <si>
    <t xml:space="preserve">Este rubro agrupa los cheques girados contra las cuentas corrientes de la firma y </t>
  </si>
  <si>
    <t>la siguiente:</t>
  </si>
  <si>
    <t xml:space="preserve">Este rubro agrupa los pasivos comerciales de la firma. La composición del saldo al </t>
  </si>
  <si>
    <t xml:space="preserve">Axion Energy Paraguay S.A. </t>
  </si>
  <si>
    <t>Monte Alegre S.A.</t>
  </si>
  <si>
    <t>Yacyreta S.A.</t>
  </si>
  <si>
    <t>Gastotal</t>
  </si>
  <si>
    <r>
      <t>15.</t>
    </r>
    <r>
      <rPr>
        <b/>
        <sz val="7"/>
        <color indexed="8"/>
        <rFont val="Times New Roman"/>
        <family val="1"/>
      </rPr>
      <t xml:space="preserve">    </t>
    </r>
    <r>
      <rPr>
        <b/>
        <sz val="14"/>
        <color indexed="8"/>
        <rFont val="Book Antiqua"/>
        <family val="1"/>
      </rPr>
      <t xml:space="preserve">Proveedores Locales </t>
    </r>
  </si>
  <si>
    <r>
      <t>16.</t>
    </r>
    <r>
      <rPr>
        <b/>
        <sz val="7"/>
        <color indexed="8"/>
        <rFont val="Times New Roman"/>
        <family val="1"/>
      </rPr>
      <t xml:space="preserve">    </t>
    </r>
    <r>
      <rPr>
        <b/>
        <sz val="14"/>
        <color indexed="8"/>
        <rFont val="Book Antiqua"/>
        <family val="1"/>
      </rPr>
      <t>Bonos Bursátiles</t>
    </r>
  </si>
  <si>
    <t>Provisiones y Previsiones Varias</t>
  </si>
  <si>
    <t>17. Provisiones y Previsiones Varias</t>
  </si>
  <si>
    <t xml:space="preserve">Este rubro agrupa otros pasivos, cuya incidencia cierta  e incierta sobre los estados </t>
  </si>
  <si>
    <t xml:space="preserve">contables es estimada por la Dirección, por lo que se procede a provisionarlos y </t>
  </si>
  <si>
    <t>Aguinaldo</t>
  </si>
  <si>
    <t>Total Provisiones</t>
  </si>
  <si>
    <t>Previsiones  Varias</t>
  </si>
  <si>
    <t>Previsiones por Demanda</t>
  </si>
  <si>
    <t>Total Previsiones</t>
  </si>
  <si>
    <r>
      <t>18.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Book Antiqua"/>
        <family val="1"/>
      </rPr>
      <t>Pólizas de Seguros</t>
    </r>
  </si>
  <si>
    <t xml:space="preserve">Este rubro agrupa el valor asegurado de los activos productivos de la empresa. Las </t>
  </si>
  <si>
    <t>pólizas han sido contratadas con empresas aseguradoras del mercado local. La</t>
  </si>
  <si>
    <t>Incendio Muelle</t>
  </si>
  <si>
    <t xml:space="preserve">Responsabilidad civil </t>
  </si>
  <si>
    <t xml:space="preserve">Total </t>
  </si>
  <si>
    <r>
      <t>19.</t>
    </r>
    <r>
      <rPr>
        <b/>
        <sz val="7"/>
        <color indexed="8"/>
        <rFont val="Times New Roman"/>
        <family val="1"/>
      </rPr>
      <t>   </t>
    </r>
    <r>
      <rPr>
        <b/>
        <sz val="14"/>
        <color indexed="8"/>
        <rFont val="Book Antiqua"/>
        <family val="1"/>
      </rPr>
      <t>Cheques Descontados</t>
    </r>
  </si>
  <si>
    <t xml:space="preserve">Este rubro agrupa los cheques diferidos de clientes los cuales son descontados en el </t>
  </si>
  <si>
    <t>sistema financiero antes de su fecha de cobro. Se compone de la siguiente manera:</t>
  </si>
  <si>
    <t>Banco Regional S.A.E.C.A.</t>
  </si>
  <si>
    <t>Itau S.A.</t>
  </si>
  <si>
    <t>Financiera Solar S.A.</t>
  </si>
  <si>
    <r>
      <t>20.</t>
    </r>
    <r>
      <rPr>
        <b/>
        <sz val="7"/>
        <color indexed="8"/>
        <rFont val="Times New Roman"/>
        <family val="1"/>
      </rPr>
      <t>  </t>
    </r>
    <r>
      <rPr>
        <b/>
        <sz val="14"/>
        <color indexed="8"/>
        <rFont val="Book Antiqua"/>
        <family val="1"/>
      </rPr>
      <t>Garantías sobre Créditos Concedidos</t>
    </r>
  </si>
  <si>
    <t xml:space="preserve">Este rubro agrupa las garantías reales otorgadas por clientes, las cuales respaldan </t>
  </si>
  <si>
    <t xml:space="preserve">los créditos comerciales que fueron otorgados a los mismos y que se encuentran </t>
  </si>
  <si>
    <t>Purificación Morel</t>
  </si>
  <si>
    <t>Marcio Pereira</t>
  </si>
  <si>
    <t xml:space="preserve">Total Cuentas de Orden Deudoras y Acreedoras </t>
  </si>
  <si>
    <r>
      <t>21.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4"/>
        <color indexed="8"/>
        <rFont val="Book Antiqua"/>
        <family val="1"/>
      </rPr>
      <t>Tasaciones de Inmuebles</t>
    </r>
  </si>
  <si>
    <t xml:space="preserve">En fecha 01/09/2015, la Sociedad contrató los servicios profesionales del Señor Arq. Juan Angel </t>
  </si>
  <si>
    <t xml:space="preserve">Nuñez Scarpellini, Tasador con Matrícula Nº 828, a los efectos de realizar un avalúo de los </t>
  </si>
  <si>
    <t xml:space="preserve">terrenos de propiedad de GAS CORONA SAECA, con Nº de Cta. Cte. Catastral. 15-0006-01 </t>
  </si>
  <si>
    <t xml:space="preserve">jurisdicción de la ciudad de Asunción, y Nº de Cta. Cte. Catastral. 27-0319-02, jurisdicción de la </t>
  </si>
  <si>
    <t xml:space="preserve">ciudad de San Antonio. La tasación incluyó el avalúo del terreno, las construcciones y todas las </t>
  </si>
  <si>
    <t xml:space="preserve">mejoras realizadas en dichos inmuebles. De la comparación entre el valor contable de cada </t>
  </si>
  <si>
    <t xml:space="preserve">inmueble y el valor de tasación de las mismas, se evidencia que el valor de tasación es muy </t>
  </si>
  <si>
    <t xml:space="preserve">superior al valor contable, producto de la plusvalía por efecto de una mayor tasa de apreciación </t>
  </si>
  <si>
    <t xml:space="preserve">del valor de mercado de los inmuebles, frente al incremento acumulado el IPC, coeficiente </t>
  </si>
  <si>
    <t>utilizado por la Administración para la actualización anual de los valores de los activos fijos.</t>
  </si>
  <si>
    <t xml:space="preserve">De esta forma, en esta cuenta de orden, se revela el incremento del valor económico de estos </t>
  </si>
  <si>
    <t xml:space="preserve">terrenos, no contemplados en las tasas anuales de revaluación.  En el siguiente cuadro se </t>
  </si>
  <si>
    <t>exponen comparativamente los valores resultantes:</t>
  </si>
  <si>
    <t>INMUEBLES</t>
  </si>
  <si>
    <t>VALOR DE TASACIÓN</t>
  </si>
  <si>
    <t>VALOR LIBRO</t>
  </si>
  <si>
    <t>VALOR DE ACTUALIZACIÓN</t>
  </si>
  <si>
    <t>Cta. Cte. Catastral. 15-0006-01 jurisdicción de la ciudad de Asunción</t>
  </si>
  <si>
    <t>Cta. Cte. Catastral. 27-0319-02 jurisdicción de la ciudad de San Antonio</t>
  </si>
  <si>
    <t>TOTALES</t>
  </si>
  <si>
    <t> 21.210.725.333</t>
  </si>
  <si>
    <t>Cta. Cte. Catastral 12-0071-01 y 12-0071-13, juridiccion de Asuncion</t>
  </si>
  <si>
    <t xml:space="preserve">La diferencia del avalúo se expone en esta cuenta de orden al sólo efecto informativo y no fue </t>
  </si>
  <si>
    <t xml:space="preserve">societario, en atención a lo establecido en la NIC 17, párrafo 46, que dice: “Si se revalúa un </t>
  </si>
  <si>
    <t xml:space="preserve">determinado elemento perteneciente a la Propiedad, planta y equipo, deben también ser </t>
  </si>
  <si>
    <t>revaluados todos los activos que pertenezcan a la misma clase de activos.”</t>
  </si>
  <si>
    <r>
      <t xml:space="preserve">incrementado en el rubro de bienes de uso, debido a que la avaluación de los inmuebles </t>
    </r>
    <r>
      <rPr>
        <b/>
        <u val="single"/>
        <sz val="10"/>
        <color indexed="8"/>
        <rFont val="Book Antiqua"/>
        <family val="1"/>
      </rPr>
      <t xml:space="preserve">fue </t>
    </r>
  </si>
  <si>
    <r>
      <t>parcial y se limitó a estos dos inmuebles</t>
    </r>
    <r>
      <rPr>
        <sz val="10"/>
        <color indexed="8"/>
        <rFont val="Book Antiqua"/>
        <family val="1"/>
      </rPr>
      <t xml:space="preserve">, excluyendo otros que forman parte del patrimonio </t>
    </r>
  </si>
  <si>
    <r>
      <t>22.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4"/>
        <color indexed="8"/>
        <rFont val="Book Antiqua"/>
        <family val="1"/>
      </rPr>
      <t xml:space="preserve">Deudores en Gestión de Cobro </t>
    </r>
  </si>
  <si>
    <t xml:space="preserve">El rubro Deudores en Gestión de Cobro incluye créditos de los años 2006, 2007, </t>
  </si>
  <si>
    <t xml:space="preserve">La Dirección ha estimado conveniente constituir la previsión que regularice el </t>
  </si>
  <si>
    <t xml:space="preserve">valor de los  créditos en gestión judicial. </t>
  </si>
  <si>
    <t xml:space="preserve">En gestión judicial </t>
  </si>
  <si>
    <t>En gestión judicial</t>
  </si>
  <si>
    <t>Importe
 crédito</t>
  </si>
  <si>
    <t>Previsión 
Acumulada</t>
  </si>
  <si>
    <t>(Bienes embargados)</t>
  </si>
  <si>
    <t>(Conv. de acreedores)</t>
  </si>
  <si>
    <t>23.  Litigios Judiciales en Curso</t>
  </si>
  <si>
    <t xml:space="preserve">cuyos resultados (favorables o desfavorables) no pueden ser determinados con una </t>
  </si>
  <si>
    <t xml:space="preserve">certeza razonable, de acuerdo al criterio profesional y al leal entender de los </t>
  </si>
  <si>
    <t xml:space="preserve">asesores jurídicos de la Sociedad. </t>
  </si>
  <si>
    <t>Por tal motivo, ante la imposibilidad de evaluar la probabilidad de un resultado, y</t>
  </si>
  <si>
    <t xml:space="preserve">por lo tanto, de una estimación monetaria del importe total de la pérdida o del </t>
  </si>
  <si>
    <t xml:space="preserve">pasivo contingente, la Dirección ha considerado pertinente registrar los importes </t>
  </si>
  <si>
    <t xml:space="preserve">reclamados en cuentas de orden, a modo informativo.  </t>
  </si>
  <si>
    <t xml:space="preserve">A continuación el detalle de los casos más significativos (en términos monetarios): </t>
  </si>
  <si>
    <t>Contraparte o demandante</t>
  </si>
  <si>
    <t>Situación procesal al 31.03.2018</t>
  </si>
  <si>
    <t xml:space="preserve">Olga Villalba de Martínez </t>
  </si>
  <si>
    <t>Peritaje contable en trámite</t>
  </si>
  <si>
    <t>Derlis Valdez Miranda</t>
  </si>
  <si>
    <t>Recurso de apelación en trámite</t>
  </si>
  <si>
    <r>
      <t>24.</t>
    </r>
    <r>
      <rPr>
        <b/>
        <sz val="7"/>
        <color indexed="8"/>
        <rFont val="Times New Roman"/>
        <family val="1"/>
      </rPr>
      <t xml:space="preserve">    </t>
    </r>
    <r>
      <rPr>
        <b/>
        <sz val="14"/>
        <color indexed="8"/>
        <rFont val="Book Antiqua"/>
        <family val="1"/>
      </rPr>
      <t>Nómina accionaria de Irundymi S.A.</t>
    </r>
  </si>
  <si>
    <t>La composición accionaria de Irundymi S.A., accionista mayoritario de Gas Corona</t>
  </si>
  <si>
    <t>Accionistas</t>
  </si>
  <si>
    <t>C.I.</t>
  </si>
  <si>
    <t>Luisa Isabel Schaerer de Pallarés</t>
  </si>
  <si>
    <t>Maria Luisa  Pallarés</t>
  </si>
  <si>
    <t>María del Rocio Pallarés</t>
  </si>
  <si>
    <t>María Ester Pallarés</t>
  </si>
  <si>
    <t>Veronica Pallares</t>
  </si>
  <si>
    <t>María Celeste Pallarés</t>
  </si>
  <si>
    <t>Maria Jazmín Pallares</t>
  </si>
  <si>
    <t>Eduardo Pallares</t>
  </si>
  <si>
    <t>3.5%</t>
  </si>
  <si>
    <t>Participación 
accionaria</t>
  </si>
  <si>
    <t>25. Partes relacionadas</t>
  </si>
  <si>
    <t xml:space="preserve">Gas Corona S.A.E.C.A. realiza actividades de compra-venta de combustibles </t>
  </si>
  <si>
    <t xml:space="preserve">derivados del petróleo y servicios de flete nacional e internacional con 3 (tres) </t>
  </si>
  <si>
    <t xml:space="preserve">partes vinculadas: Acaray Gas S.R.L., Yacyreta Gas S.R.L. y Transoil Paraguay S.A. </t>
  </si>
  <si>
    <t xml:space="preserve">La vinculación se debe a que existen apoderados o directores comunes entre estas </t>
  </si>
  <si>
    <t xml:space="preserve">empresas e Irundymi S.A. (accionista mayoritario de Gas Corona S.A.E.C.A.). </t>
  </si>
  <si>
    <t>es el siguiente:</t>
  </si>
  <si>
    <t>Empresas</t>
  </si>
  <si>
    <t>Saldo a favor
 de Gas Corona
 SAECA (A-B)</t>
  </si>
  <si>
    <r>
      <t>26.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4"/>
        <color indexed="8"/>
        <rFont val="Book Antiqua"/>
        <family val="1"/>
      </rPr>
      <t>Restricciones al derecho de propiedad.</t>
    </r>
  </si>
  <si>
    <t xml:space="preserve">No existen restricciones sobre los bienes de la empresa al cierre del presente </t>
  </si>
  <si>
    <t>ejercicio anual, ni se ha otorgado garantía alguna sobre los mismos</t>
  </si>
  <si>
    <t>Sra. Luisa I. Schaerer de Pallarés</t>
  </si>
  <si>
    <t>Lic. María Celeste Pallarés Viveros</t>
  </si>
  <si>
    <t xml:space="preserve">     Presidente</t>
  </si>
  <si>
    <t xml:space="preserve">                Vicepresidente</t>
  </si>
  <si>
    <t>Dr. Raúl Fernando Vargas</t>
  </si>
  <si>
    <t xml:space="preserve">              Síndico</t>
  </si>
  <si>
    <t xml:space="preserve">        Contadora</t>
  </si>
  <si>
    <t xml:space="preserve">BALANCE GENERAL </t>
  </si>
  <si>
    <t>(Expresado en guaraníes)</t>
  </si>
  <si>
    <t>A C T I V O</t>
  </si>
  <si>
    <t>Dic/05</t>
  </si>
  <si>
    <t>Dic/04</t>
  </si>
  <si>
    <t>Variación</t>
  </si>
  <si>
    <t>ACTIVO CORRIENTE</t>
  </si>
  <si>
    <t>DISPONIBLE</t>
  </si>
  <si>
    <r>
      <t xml:space="preserve">   Caja y Bancos </t>
    </r>
    <r>
      <rPr>
        <b/>
        <sz val="12"/>
        <rFont val="Times New Roman"/>
        <family val="1"/>
      </rPr>
      <t>- Nota 3</t>
    </r>
  </si>
  <si>
    <t>REALIZABLES</t>
  </si>
  <si>
    <r>
      <t xml:space="preserve">   Deudores por Venta</t>
    </r>
    <r>
      <rPr>
        <b/>
        <sz val="12"/>
        <rFont val="Times New Roman"/>
        <family val="1"/>
      </rPr>
      <t xml:space="preserve"> - Nota 4 y Nota 11</t>
    </r>
  </si>
  <si>
    <r>
      <t xml:space="preserve">   Deudores en Gestión de Cobro - </t>
    </r>
    <r>
      <rPr>
        <b/>
        <sz val="12"/>
        <rFont val="Times New Roman"/>
        <family val="1"/>
      </rPr>
      <t>Nota 22</t>
    </r>
  </si>
  <si>
    <t xml:space="preserve">   Deudores Varios</t>
  </si>
  <si>
    <t xml:space="preserve">   Impuesto al Valor Agregado</t>
  </si>
  <si>
    <t xml:space="preserve">   Reteciones Computables</t>
  </si>
  <si>
    <r>
      <t xml:space="preserve">   Documentos a Cobrar - </t>
    </r>
    <r>
      <rPr>
        <b/>
        <sz val="12"/>
        <rFont val="Times New Roman"/>
        <family val="1"/>
      </rPr>
      <t>Nota 5</t>
    </r>
  </si>
  <si>
    <r>
      <t xml:space="preserve">   Anticipo a Proveedores  - </t>
    </r>
    <r>
      <rPr>
        <b/>
        <sz val="12"/>
        <rFont val="Times New Roman"/>
        <family val="1"/>
      </rPr>
      <t>Nota 6</t>
    </r>
  </si>
  <si>
    <t xml:space="preserve">   Anticipo Impuesto a la Renta</t>
  </si>
  <si>
    <t>EXISTENCIAS - Nota 2. f), Nota 7 y Anexo F</t>
  </si>
  <si>
    <t xml:space="preserve">   Gas Licuado de Petróleo </t>
  </si>
  <si>
    <t xml:space="preserve">   Envases para Gas Licuado</t>
  </si>
  <si>
    <t xml:space="preserve">   Importaciones en Curso</t>
  </si>
  <si>
    <t xml:space="preserve">   Repuestos Varios</t>
  </si>
  <si>
    <t xml:space="preserve">   Estaciones de Servicios</t>
  </si>
  <si>
    <t>GASTOS PAGADOS POR ADELANTADO</t>
  </si>
  <si>
    <t xml:space="preserve">   Seguros</t>
  </si>
  <si>
    <r>
      <t xml:space="preserve">   Intereses a Vencer -</t>
    </r>
    <r>
      <rPr>
        <b/>
        <sz val="12"/>
        <rFont val="Times New Roman"/>
        <family val="1"/>
      </rPr>
      <t>Nota 8</t>
    </r>
  </si>
  <si>
    <t xml:space="preserve">   Provisiones Varias</t>
  </si>
  <si>
    <r>
      <t xml:space="preserve">   Varios </t>
    </r>
    <r>
      <rPr>
        <b/>
        <sz val="12"/>
        <rFont val="Times New Roman"/>
        <family val="1"/>
      </rPr>
      <t>- Nota 9</t>
    </r>
  </si>
  <si>
    <t>Total Activo Corriente</t>
  </si>
  <si>
    <t>Sra. Luisa I. Schaerer de Pallares</t>
  </si>
  <si>
    <t>Sra. Maria Celeste Pallares Viveros</t>
  </si>
  <si>
    <t>Presidente</t>
  </si>
  <si>
    <t xml:space="preserve">Vicepresidente </t>
  </si>
  <si>
    <t>Dr. Raul Fernando Vargas</t>
  </si>
  <si>
    <t>C.P. Gloria Elizabeth Flecha</t>
  </si>
  <si>
    <t>Síndico</t>
  </si>
  <si>
    <t xml:space="preserve">Contadora </t>
  </si>
  <si>
    <t>ACTIVO NO CORRIENTE</t>
  </si>
  <si>
    <t>BIENES DE USO - Nota 2.e) y Anexo A</t>
  </si>
  <si>
    <t xml:space="preserve">   Bienes en Operación</t>
  </si>
  <si>
    <t xml:space="preserve">   Depreciaciones Acumuladas</t>
  </si>
  <si>
    <t>Cargos Diferidos - Nota 10</t>
  </si>
  <si>
    <t xml:space="preserve">   Mejoras en Propiedad de Terceros</t>
  </si>
  <si>
    <t xml:space="preserve">   Contratos</t>
  </si>
  <si>
    <t xml:space="preserve">   Mantenimiento de Garrafas</t>
  </si>
  <si>
    <t>Intereses  y Seguros a Vencer a Largo Plazo</t>
  </si>
  <si>
    <r>
      <t xml:space="preserve">   Intereses a Vencer Bonos Gs. L.P.</t>
    </r>
    <r>
      <rPr>
        <b/>
        <sz val="12"/>
        <rFont val="Times New Roman"/>
        <family val="1"/>
      </rPr>
      <t xml:space="preserve"> Nota 8</t>
    </r>
  </si>
  <si>
    <r>
      <t xml:space="preserve">   Intereses a Vencer Bonos USD L.P.  </t>
    </r>
    <r>
      <rPr>
        <b/>
        <sz val="12"/>
        <rFont val="Times New Roman"/>
        <family val="1"/>
      </rPr>
      <t>Nota 8</t>
    </r>
  </si>
  <si>
    <t>Total Activo No Corriente</t>
  </si>
  <si>
    <t>TOTAL ACTIVO</t>
  </si>
  <si>
    <t>P A S I V O</t>
  </si>
  <si>
    <t>PASIVO CORRIENTE</t>
  </si>
  <si>
    <t>EXIGIBLES</t>
  </si>
  <si>
    <t xml:space="preserve">   Documentos a Pagar</t>
  </si>
  <si>
    <r>
      <t xml:space="preserve">   Intereses a Pagar - </t>
    </r>
    <r>
      <rPr>
        <b/>
        <sz val="12"/>
        <rFont val="Times New Roman"/>
        <family val="1"/>
      </rPr>
      <t>Nota 8</t>
    </r>
  </si>
  <si>
    <t>Total Pasivo Corriente</t>
  </si>
  <si>
    <t>PASIVO NO CORRIENTE</t>
  </si>
  <si>
    <t>ACREEDORES VARIOS</t>
  </si>
  <si>
    <t xml:space="preserve">   Documentos a Pagar </t>
  </si>
  <si>
    <t>Total Pasivo no Corriente</t>
  </si>
  <si>
    <t>TOTAL PASIVO</t>
  </si>
  <si>
    <t xml:space="preserve">VicePresidente </t>
  </si>
  <si>
    <t>PATRIMONIO NETO</t>
  </si>
  <si>
    <t>CAPITAL SOCIAL</t>
  </si>
  <si>
    <t xml:space="preserve">   Capital Integrado</t>
  </si>
  <si>
    <t>RESERVAS</t>
  </si>
  <si>
    <t xml:space="preserve">   Reserva Legal</t>
  </si>
  <si>
    <t>RESULTADOS</t>
  </si>
  <si>
    <t xml:space="preserve">   Del Ejercicio</t>
  </si>
  <si>
    <t>TOTAL PATRIMONIO NETO</t>
  </si>
  <si>
    <t>TOTAL PASIVO Y PATRIMONIO NETO</t>
  </si>
  <si>
    <t>CUENTAS DE ORDEN</t>
  </si>
  <si>
    <r>
      <t xml:space="preserve">   Pólizas de Seguros </t>
    </r>
    <r>
      <rPr>
        <b/>
        <sz val="12"/>
        <rFont val="Book Antiqua"/>
        <family val="1"/>
      </rPr>
      <t>(Nota 18)</t>
    </r>
  </si>
  <si>
    <r>
      <t xml:space="preserve">   Cheques Descontados </t>
    </r>
    <r>
      <rPr>
        <b/>
        <sz val="12"/>
        <rFont val="Book Antiqua"/>
        <family val="1"/>
      </rPr>
      <t>(Nota 19)</t>
    </r>
  </si>
  <si>
    <t xml:space="preserve">   Litigios Judiciales en Curso</t>
  </si>
  <si>
    <r>
      <t xml:space="preserve">   Garantías sobre Créditos Otorgados </t>
    </r>
    <r>
      <rPr>
        <b/>
        <sz val="12"/>
        <rFont val="Book Antiqua"/>
        <family val="1"/>
      </rPr>
      <t>(Nota 20)</t>
    </r>
  </si>
  <si>
    <r>
      <t xml:space="preserve">   Tasaciones Inmuebles </t>
    </r>
    <r>
      <rPr>
        <b/>
        <sz val="12"/>
        <rFont val="Book Antiqua"/>
        <family val="1"/>
      </rPr>
      <t>Nota 21</t>
    </r>
  </si>
  <si>
    <t>Las Notas que se adjuntan forman parte integrante de estos Estados Contables</t>
  </si>
  <si>
    <t xml:space="preserve">Vice- Presidente </t>
  </si>
  <si>
    <t>ESTADO DE RESULTADOS</t>
  </si>
  <si>
    <t>POR EL PERIODO COMPRENDIDO ENTRE</t>
  </si>
  <si>
    <t>VENTAS</t>
  </si>
  <si>
    <t xml:space="preserve">   Ventas GLP</t>
  </si>
  <si>
    <t xml:space="preserve">   Ventas Combustibles Liquidos y afines </t>
  </si>
  <si>
    <t>Menos</t>
  </si>
  <si>
    <t xml:space="preserve">   Devoluciones y Descuentos - GLP</t>
  </si>
  <si>
    <t xml:space="preserve">   Devoluciones y Descuentos - Combustible</t>
  </si>
  <si>
    <t>Ventas Netas</t>
  </si>
  <si>
    <t xml:space="preserve">   Costos de Mercaderías Vendidas GLP</t>
  </si>
  <si>
    <t xml:space="preserve">   Costos de Mercaderías Vendidas Combustible</t>
  </si>
  <si>
    <t>RESULTADO BRUTO</t>
  </si>
  <si>
    <t>Más</t>
  </si>
  <si>
    <t>OTROS INGRESOS NO OPERATIVOS</t>
  </si>
  <si>
    <t xml:space="preserve">   Intereses Ganados</t>
  </si>
  <si>
    <t xml:space="preserve">   Ventas de Envases</t>
  </si>
  <si>
    <t xml:space="preserve">   Ventas de Repuestos y Materiales Varios</t>
  </si>
  <si>
    <t xml:space="preserve">   Ventas de Servicios</t>
  </si>
  <si>
    <t xml:space="preserve">   Ventas de Bienes de Uso</t>
  </si>
  <si>
    <t xml:space="preserve">   Otros Ingresos</t>
  </si>
  <si>
    <t xml:space="preserve">   Diferencia de cambio</t>
  </si>
  <si>
    <t>GASTOS DE EXPLOTACIÓN</t>
  </si>
  <si>
    <t xml:space="preserve">   Gastos de Fraccionamiento GLP</t>
  </si>
  <si>
    <t xml:space="preserve">   Gastos de Distribución GLP y Combustible</t>
  </si>
  <si>
    <t xml:space="preserve">   Gastos Administrativos</t>
  </si>
  <si>
    <t xml:space="preserve">   Gastos Financieros</t>
  </si>
  <si>
    <t xml:space="preserve">   Gastos Estaciones de Servicios</t>
  </si>
  <si>
    <t>RESULTADO ANTES DE IMPUESTO</t>
  </si>
  <si>
    <t xml:space="preserve">   Impuesto a la Renta</t>
  </si>
  <si>
    <t xml:space="preserve">RESULTADO ANTES DE RESERVA LEGAL </t>
  </si>
  <si>
    <t xml:space="preserve">  Reserva Legal </t>
  </si>
  <si>
    <t xml:space="preserve">GANANCIA (PÉRDIDA) LÍQUIDA DEL EJERCICIO </t>
  </si>
  <si>
    <t xml:space="preserve">                C.P. Gloria Elizabeth Flecha</t>
  </si>
  <si>
    <t>ESTADO DE FLUJO DE EFECTIVO (SEGÚN MÉTODO DIRECTO)</t>
  </si>
  <si>
    <t>POR EL PERIODO COMPRENDIDO ENTRE EL</t>
  </si>
  <si>
    <t>(Expresado en Guaranies)</t>
  </si>
  <si>
    <t>Dividendos Pagados</t>
  </si>
  <si>
    <t xml:space="preserve">Sra. Luisa Isabel  Schaerer de Pallarés </t>
  </si>
  <si>
    <t>Sra. María Celeste Pallarés Viveros</t>
  </si>
  <si>
    <t xml:space="preserve">       Vicepresidente </t>
  </si>
  <si>
    <t xml:space="preserve">C.P. Gloria Elizabeth Flecha </t>
  </si>
  <si>
    <t>Síndico Titular</t>
  </si>
  <si>
    <t>Contadora</t>
  </si>
  <si>
    <t>ESTADO DE VARIACIÓN DEL PATRIMONIO NETO</t>
  </si>
  <si>
    <r>
      <rPr>
        <b/>
        <sz val="14"/>
        <rFont val="Times New Roman"/>
        <family val="1"/>
      </rPr>
      <t>(Expresado en guaraníes)</t>
    </r>
  </si>
  <si>
    <t>CAPITAL</t>
  </si>
  <si>
    <t>Concepto</t>
  </si>
  <si>
    <t>Anticipo para</t>
  </si>
  <si>
    <t>Del</t>
  </si>
  <si>
    <t>Integrado</t>
  </si>
  <si>
    <t>Aumento de Capital</t>
  </si>
  <si>
    <t>Generales</t>
  </si>
  <si>
    <t>Legal</t>
  </si>
  <si>
    <t>Revalúo</t>
  </si>
  <si>
    <t>Acumulado</t>
  </si>
  <si>
    <t>Ejercicio</t>
  </si>
  <si>
    <t>Transferencia utilidades</t>
  </si>
  <si>
    <r>
      <rPr>
        <sz val="10"/>
        <rFont val="Times New Roman"/>
        <family val="1"/>
      </rPr>
      <t>a Resultados Acumulados</t>
    </r>
  </si>
  <si>
    <t>Capitalización Reserva de Revalúo</t>
  </si>
  <si>
    <t>Capitalización de Resultados</t>
  </si>
  <si>
    <t>Distribución de Dividendos</t>
  </si>
  <si>
    <t xml:space="preserve">Reserva del Ejercicio </t>
  </si>
  <si>
    <t>Resultado del Ejercicio</t>
  </si>
  <si>
    <r>
      <rPr>
        <sz val="12"/>
        <rFont val="Times New Roman"/>
        <family val="1"/>
      </rPr>
      <t>Las Notas que se adjuntan forman parte integrante de estos estados contables</t>
    </r>
  </si>
  <si>
    <t xml:space="preserve">Sra. Luisa I. Schaerer de Pallarés </t>
  </si>
  <si>
    <t xml:space="preserve">Lic. María Celeste Pallarés Viveros </t>
  </si>
  <si>
    <t xml:space="preserve">Lic. Gloria Elizabeth Flecha </t>
  </si>
  <si>
    <r>
      <rPr>
        <b/>
        <sz val="10"/>
        <rFont val="Times New Roman"/>
        <family val="1"/>
      </rPr>
      <t xml:space="preserve">          Presidente</t>
    </r>
  </si>
  <si>
    <r>
      <rPr>
        <b/>
        <sz val="10"/>
        <rFont val="Times New Roman"/>
        <family val="1"/>
      </rPr>
      <t>Síndico</t>
    </r>
  </si>
  <si>
    <t>ANEXO B</t>
  </si>
  <si>
    <t>BALANCE GENERAL</t>
  </si>
  <si>
    <t>ACTIVOS INTANGIBLES</t>
  </si>
  <si>
    <t>VALORES DE ORIGEN</t>
  </si>
  <si>
    <t>AMORTIZACIONES</t>
  </si>
  <si>
    <t>Al Inicio</t>
  </si>
  <si>
    <t>Al Cierre</t>
  </si>
  <si>
    <t xml:space="preserve">Acumulados </t>
  </si>
  <si>
    <t>CUENTAS</t>
  </si>
  <si>
    <t xml:space="preserve">del </t>
  </si>
  <si>
    <t xml:space="preserve">al Inicio </t>
  </si>
  <si>
    <t xml:space="preserve">al Cierre </t>
  </si>
  <si>
    <t>Neto</t>
  </si>
  <si>
    <t>Periodo</t>
  </si>
  <si>
    <t>Aumentos</t>
  </si>
  <si>
    <t>Disminución</t>
  </si>
  <si>
    <t>del Periodo</t>
  </si>
  <si>
    <t>Bajas</t>
  </si>
  <si>
    <t>Resultante</t>
  </si>
  <si>
    <t>Implementación Software</t>
  </si>
  <si>
    <t>Totales Ejercicio Actual</t>
  </si>
  <si>
    <t>Totales Ejercicio Anterior</t>
  </si>
  <si>
    <t xml:space="preserve">          Presidente</t>
  </si>
  <si>
    <t xml:space="preserve">         Vicepresidente </t>
  </si>
  <si>
    <t xml:space="preserve">           Síndico</t>
  </si>
  <si>
    <t>ANEXO C</t>
  </si>
  <si>
    <t>INVERSIONES, ACCIONES, DEBENTURES Y OTROS TÍTULOS EMITIDOS EN SERIE</t>
  </si>
  <si>
    <t>PARTICIPACIÓN EN OTRAS SOCIEDADES</t>
  </si>
  <si>
    <t>Denominación y Características</t>
  </si>
  <si>
    <t>Valor</t>
  </si>
  <si>
    <t xml:space="preserve">Valor </t>
  </si>
  <si>
    <t>Información sobre el Emisor</t>
  </si>
  <si>
    <t xml:space="preserve">de los Valores </t>
  </si>
  <si>
    <t xml:space="preserve">Nominal </t>
  </si>
  <si>
    <t>Patrimonial</t>
  </si>
  <si>
    <t>de</t>
  </si>
  <si>
    <t xml:space="preserve">de </t>
  </si>
  <si>
    <t>% de</t>
  </si>
  <si>
    <t>Actividad</t>
  </si>
  <si>
    <t>Según Ultimo Balance</t>
  </si>
  <si>
    <t>Emisor</t>
  </si>
  <si>
    <t>Clase</t>
  </si>
  <si>
    <t>Unitario</t>
  </si>
  <si>
    <t>Cantidad</t>
  </si>
  <si>
    <t>Total</t>
  </si>
  <si>
    <t>Proporcional</t>
  </si>
  <si>
    <t>Libros</t>
  </si>
  <si>
    <t>Cotización</t>
  </si>
  <si>
    <t>Participación</t>
  </si>
  <si>
    <t>Principal</t>
  </si>
  <si>
    <t>Capital</t>
  </si>
  <si>
    <t>Resultado</t>
  </si>
  <si>
    <t>Patrimonio Neto</t>
  </si>
  <si>
    <t xml:space="preserve">Inversiones </t>
  </si>
  <si>
    <t>Temporarias</t>
  </si>
  <si>
    <t>Permanentes</t>
  </si>
  <si>
    <t>ANEXO A</t>
  </si>
  <si>
    <t>BIENES DE USO</t>
  </si>
  <si>
    <t xml:space="preserve"> </t>
  </si>
  <si>
    <t>Al inicio</t>
  </si>
  <si>
    <t>Altas y transf.</t>
  </si>
  <si>
    <t>Bajas del</t>
  </si>
  <si>
    <t>Al cierre</t>
  </si>
  <si>
    <t>Acumuladas al</t>
  </si>
  <si>
    <t xml:space="preserve">Altas </t>
  </si>
  <si>
    <t>del periodo</t>
  </si>
  <si>
    <t>periodo</t>
  </si>
  <si>
    <t>inicio del periodo</t>
  </si>
  <si>
    <t>Ajustes</t>
  </si>
  <si>
    <t>cierre del periodo</t>
  </si>
  <si>
    <t>Inmuebles</t>
  </si>
  <si>
    <t>Edificios y Mejoras</t>
  </si>
  <si>
    <t>Maquinarias y Equipos</t>
  </si>
  <si>
    <t>Maquinas de Oficinas</t>
  </si>
  <si>
    <t>Tanques para Gas Licuado de Petróleo</t>
  </si>
  <si>
    <t>Instalaciones</t>
  </si>
  <si>
    <t>Muebles y Útiles de Oficina</t>
  </si>
  <si>
    <t>Muebles y Bancos de Trabajos</t>
  </si>
  <si>
    <t>Herramientas</t>
  </si>
  <si>
    <t>Equipos de Seguridad y Protección</t>
  </si>
  <si>
    <t>Equipos de Comunicación</t>
  </si>
  <si>
    <t>Embarcacion</t>
  </si>
  <si>
    <t>Equipos de Informática</t>
  </si>
  <si>
    <t xml:space="preserve">Implementación Software </t>
  </si>
  <si>
    <t>Equipos de Jardinería</t>
  </si>
  <si>
    <t>Maq. y Eq. Estaciones de Servicios</t>
  </si>
  <si>
    <t>Obras y Proyectos en Ejecucion</t>
  </si>
  <si>
    <t>Barcaza (*)</t>
  </si>
  <si>
    <t xml:space="preserve">Total Ejercicio actual </t>
  </si>
  <si>
    <t>Total Ejercicio anterior</t>
  </si>
  <si>
    <t>ANEXO D</t>
  </si>
  <si>
    <t>OTRAS INVERSIONES</t>
  </si>
  <si>
    <t xml:space="preserve"> de</t>
  </si>
  <si>
    <t>Registrado</t>
  </si>
  <si>
    <t>Cuentas</t>
  </si>
  <si>
    <t>Costo</t>
  </si>
  <si>
    <t>Amortización</t>
  </si>
  <si>
    <t>Año Actual</t>
  </si>
  <si>
    <t>Año Anterior</t>
  </si>
  <si>
    <r>
      <t xml:space="preserve">Corrientes </t>
    </r>
    <r>
      <rPr>
        <b/>
        <sz val="10"/>
        <rFont val="Times New Roman"/>
        <family val="1"/>
      </rPr>
      <t>(*)</t>
    </r>
  </si>
  <si>
    <t>Sub Total</t>
  </si>
  <si>
    <t>No Corrientes</t>
  </si>
  <si>
    <t>Totales Ejercicio</t>
  </si>
  <si>
    <t>ANEXO E</t>
  </si>
  <si>
    <t>PREVISIONES</t>
  </si>
  <si>
    <t xml:space="preserve">Saldo al </t>
  </si>
  <si>
    <t>Saldo al</t>
  </si>
  <si>
    <t>Inicio del</t>
  </si>
  <si>
    <t>Cierre del</t>
  </si>
  <si>
    <t>RUBRO</t>
  </si>
  <si>
    <t>Constitución</t>
  </si>
  <si>
    <t>Desafestación</t>
  </si>
  <si>
    <t>Aplicación</t>
  </si>
  <si>
    <t>Ejerc. Actual</t>
  </si>
  <si>
    <t>Ejerc. Anterior</t>
  </si>
  <si>
    <t xml:space="preserve">Deducidas </t>
  </si>
  <si>
    <r>
      <t xml:space="preserve">del Activo </t>
    </r>
    <r>
      <rPr>
        <b/>
        <sz val="10"/>
        <rFont val="Times New Roman"/>
        <family val="1"/>
      </rPr>
      <t>(*)</t>
    </r>
  </si>
  <si>
    <t xml:space="preserve">Incluidas en </t>
  </si>
  <si>
    <r>
      <t xml:space="preserve">el Pasivo </t>
    </r>
    <r>
      <rPr>
        <b/>
        <sz val="10"/>
        <rFont val="Times New Roman"/>
        <family val="1"/>
      </rPr>
      <t>(**)</t>
    </r>
  </si>
  <si>
    <r>
      <t>(*)</t>
    </r>
    <r>
      <rPr>
        <sz val="12"/>
        <rFont val="Times New Roman"/>
        <family val="1"/>
      </rPr>
      <t xml:space="preserve">  Corresponde a previsiones para créditos incobrables</t>
    </r>
  </si>
  <si>
    <t>ANEXO F</t>
  </si>
  <si>
    <t>COSTO DE MERCADERÍAS O PRODUCTOS VENDIDOS</t>
  </si>
  <si>
    <t>O SERVICIOS PRESTADOS</t>
  </si>
  <si>
    <t>DETALLE</t>
  </si>
  <si>
    <t>Actual</t>
  </si>
  <si>
    <t>Anterior</t>
  </si>
  <si>
    <t>I.   COSTO DE MERCADERÍAS O</t>
  </si>
  <si>
    <t xml:space="preserve">     PRODUCTOS VENDIDOS</t>
  </si>
  <si>
    <t>Existencias al comienzo del periodo</t>
  </si>
  <si>
    <t>Mercaderías GLP</t>
  </si>
  <si>
    <t>Mercaderías  Combustible</t>
  </si>
  <si>
    <t>Importaciones en Curso</t>
  </si>
  <si>
    <t>Envases para GLP</t>
  </si>
  <si>
    <t>Repuestos Varios</t>
  </si>
  <si>
    <t>Compras y Costos de Producción del</t>
  </si>
  <si>
    <t>a) Compras</t>
  </si>
  <si>
    <t>b) Costos de Producción</t>
  </si>
  <si>
    <t>Diferencia de Inventario</t>
  </si>
  <si>
    <t>Resultado por Tenencia</t>
  </si>
  <si>
    <t>Existencias al cierre del periodo</t>
  </si>
  <si>
    <t>Mercaderías Combustible</t>
  </si>
  <si>
    <t xml:space="preserve">Importaciones en Curso </t>
  </si>
  <si>
    <t xml:space="preserve">II.  COSTOS DE SERVICIOS </t>
  </si>
  <si>
    <t xml:space="preserve">     PRESTADOS SEGÚN ANEXO H</t>
  </si>
  <si>
    <t xml:space="preserve">     COSTO DE MERCADERÍAS O</t>
  </si>
  <si>
    <t xml:space="preserve">     PRODUCTOS VENDIDOS Y</t>
  </si>
  <si>
    <t xml:space="preserve">     SERVICIOS PRESTADOS</t>
  </si>
  <si>
    <t>ANEXO G</t>
  </si>
  <si>
    <t>ACTIVOS Y PASIVOS EN MONEDA EXTRANJERA</t>
  </si>
  <si>
    <t>Moneda Extranjera</t>
  </si>
  <si>
    <t>Moneda Local</t>
  </si>
  <si>
    <t xml:space="preserve">Monto </t>
  </si>
  <si>
    <t xml:space="preserve">Cambio </t>
  </si>
  <si>
    <t>Monto</t>
  </si>
  <si>
    <t>Vigente</t>
  </si>
  <si>
    <t>ACTIVO</t>
  </si>
  <si>
    <t>Activos Corrientes</t>
  </si>
  <si>
    <t>Caja</t>
  </si>
  <si>
    <t>US$ Americano</t>
  </si>
  <si>
    <t>Bancos</t>
  </si>
  <si>
    <t>Clientes</t>
  </si>
  <si>
    <t>Adelanto a Proveedores</t>
  </si>
  <si>
    <t>Intereses a Vencer (Bonos Bursátiles)</t>
  </si>
  <si>
    <t>Sub Totales</t>
  </si>
  <si>
    <t>Activos No Corrientes</t>
  </si>
  <si>
    <t>Interes a Vencer Bonos USD</t>
  </si>
  <si>
    <t>PASIVO</t>
  </si>
  <si>
    <t>Pasivos Corrientes</t>
  </si>
  <si>
    <t>Proveedores del Exterior</t>
  </si>
  <si>
    <t xml:space="preserve">Proveedores Locales </t>
  </si>
  <si>
    <t>Cheques Emitidos no cobrados</t>
  </si>
  <si>
    <t>Bonos Bursátiles (Capital)</t>
  </si>
  <si>
    <t>Bonos Bursátiles (Intereses)</t>
  </si>
  <si>
    <t>Documentos a Pagar</t>
  </si>
  <si>
    <t>Pasivos No Corrientes</t>
  </si>
  <si>
    <t>ANEXO H</t>
  </si>
  <si>
    <t>(Expresado guaraníes)</t>
  </si>
  <si>
    <t>INFORMACIÓN REQUERIDA SOBRE COSTOS Y GASTOS</t>
  </si>
  <si>
    <t>R U B R O S</t>
  </si>
  <si>
    <t>Gastos de  Fraccionamiento GLP</t>
  </si>
  <si>
    <t>Gastos de Distribución</t>
  </si>
  <si>
    <t>Gastos Administrativos</t>
  </si>
  <si>
    <t>Gastos Financieros</t>
  </si>
  <si>
    <t>Sueldos, Jornales y Cargas sociales</t>
  </si>
  <si>
    <t>Aporte Patronal IPS</t>
  </si>
  <si>
    <t xml:space="preserve">Uniformes </t>
  </si>
  <si>
    <t>Fletes Varios</t>
  </si>
  <si>
    <t>Combustibles y Lubricantes</t>
  </si>
  <si>
    <t>Mantenimiento y Repuestos</t>
  </si>
  <si>
    <t>Mantenimiento Planta</t>
  </si>
  <si>
    <t>Gastos de Transportes</t>
  </si>
  <si>
    <t>Seguros</t>
  </si>
  <si>
    <t>Impuestos, Tasas y Patentes</t>
  </si>
  <si>
    <t>Depreciación del Ejercicio</t>
  </si>
  <si>
    <t>Servicio de Grua y Cubiertas Recapada</t>
  </si>
  <si>
    <t>Agua, Luz, Teléfono, Internet</t>
  </si>
  <si>
    <t>Suministro e Insumos</t>
  </si>
  <si>
    <t>Hielo</t>
  </si>
  <si>
    <t>Gastos Tecnicos</t>
  </si>
  <si>
    <t>Amortizaciones del Ejercicio</t>
  </si>
  <si>
    <t>Gastos Varios</t>
  </si>
  <si>
    <t>Transporte de Caudales</t>
  </si>
  <si>
    <t xml:space="preserve">Remuneración Personal Superior </t>
  </si>
  <si>
    <t>Honorarios y Comisiones</t>
  </si>
  <si>
    <t>Gastos no Deducibles</t>
  </si>
  <si>
    <t>Impresos y Útiles</t>
  </si>
  <si>
    <t>Gastos de Asamblea</t>
  </si>
  <si>
    <t>Encuadernaciones</t>
  </si>
  <si>
    <t>Pasajes, Estadías y Viáticos</t>
  </si>
  <si>
    <t>Enseres</t>
  </si>
  <si>
    <t>Publicidad y propaganda</t>
  </si>
  <si>
    <t>Gastos Soporte Informatico software</t>
  </si>
  <si>
    <t>Servicio de monitoreo GPS</t>
  </si>
  <si>
    <t>Donación</t>
  </si>
  <si>
    <t>Licencia Ambiental</t>
  </si>
  <si>
    <t>Capacitación del personal</t>
  </si>
  <si>
    <t>Servicio de Vigilancia</t>
  </si>
  <si>
    <t>Verificacion Tecnica</t>
  </si>
  <si>
    <t>Conservacion y Limpieza</t>
  </si>
  <si>
    <t>Materiales de Limpieza</t>
  </si>
  <si>
    <t>Materiales de Ferreteria/Electricos</t>
  </si>
  <si>
    <t xml:space="preserve">Refrigerio Produccion/Suministros </t>
  </si>
  <si>
    <t xml:space="preserve">Gastos Judiciales </t>
  </si>
  <si>
    <t>Precintos</t>
  </si>
  <si>
    <t>Seguridad Ocupacional</t>
  </si>
  <si>
    <t>Transporte del Personal</t>
  </si>
  <si>
    <t>Gastos de Agenciamiento de GLP</t>
  </si>
  <si>
    <t>Lavados Movil</t>
  </si>
  <si>
    <t>Eventos , Regalos Colabor. y Clientes</t>
  </si>
  <si>
    <t>Servicio Desague Residual</t>
  </si>
  <si>
    <t>Costo Ventas Varias</t>
  </si>
  <si>
    <t>Ayuda Escolar</t>
  </si>
  <si>
    <t>Gastos Tarjetas Bancard</t>
  </si>
  <si>
    <t>Previsión para cuentas incobrables</t>
  </si>
  <si>
    <t>Aporte CADIPAC</t>
  </si>
  <si>
    <t>Lecturas J Fleischaman</t>
  </si>
  <si>
    <t>Gastos CNV y Bolsa de Valores</t>
  </si>
  <si>
    <t>Compra de Diarios</t>
  </si>
  <si>
    <t>Gastos de Cafeteria</t>
  </si>
  <si>
    <t xml:space="preserve">Comisiones Descuento Cheques </t>
  </si>
  <si>
    <t>Gastos de Barcaza</t>
  </si>
  <si>
    <t>Gastos Financieros Varios</t>
  </si>
  <si>
    <t>Intereses Pagados Varios</t>
  </si>
  <si>
    <t>Intereses Bonos Bursátiles</t>
  </si>
  <si>
    <t>Gastos Varios en el Exterior</t>
  </si>
  <si>
    <t xml:space="preserve">Alquileres Varios </t>
  </si>
  <si>
    <t>Diferencia de Cambio</t>
  </si>
  <si>
    <t>Servicio Odontologico al Personal</t>
  </si>
  <si>
    <t>Gastos Varios Taller Transoil-Corona</t>
  </si>
  <si>
    <t>T O T A L E S</t>
  </si>
  <si>
    <t>Ejercicio Anterior</t>
  </si>
  <si>
    <t xml:space="preserve">Sra. Luisa Isabel Schaerer de Pallarés </t>
  </si>
  <si>
    <t xml:space="preserve">                        Presidente</t>
  </si>
  <si>
    <t xml:space="preserve">                                      Síndico</t>
  </si>
  <si>
    <t>ANEXO I</t>
  </si>
  <si>
    <t>DATOS ESTADÍSTICOS</t>
  </si>
  <si>
    <t>Acumulado al Fin del Periodo</t>
  </si>
  <si>
    <t>INDICADORES OPERATIVOS</t>
  </si>
  <si>
    <t xml:space="preserve">   Ejercicio Actual</t>
  </si>
  <si>
    <t>Volumen de Ventas Gas (en kilos)</t>
  </si>
  <si>
    <t>Volumen de Ventas Gas (en miles guaraníes)</t>
  </si>
  <si>
    <t>Volumen de Ventas Combustibles (en litros)</t>
  </si>
  <si>
    <t>Volumen de Ventas Combustibles (en miles de guaraníes)</t>
  </si>
  <si>
    <t>Cantidad de Empleados y Obreros</t>
  </si>
  <si>
    <t>Consumo de Energía (en guaraníes)</t>
  </si>
  <si>
    <t>Cantidad de Sucursales</t>
  </si>
  <si>
    <t>(Otros)</t>
  </si>
  <si>
    <r>
      <t>Nota:</t>
    </r>
    <r>
      <rPr>
        <sz val="10"/>
        <rFont val="Times New Roman"/>
        <family val="1"/>
      </rPr>
      <t xml:space="preserve">   El volumen de operaciones podrá consignarse en unidades físicas, en unidades equivalentes o en algún índice que resulte apropiado para indicar el nivel de la actividad. </t>
    </r>
  </si>
  <si>
    <t>Vicepresidente</t>
  </si>
  <si>
    <t>ANEXO J</t>
  </si>
  <si>
    <t>ÍNDICES ECONÓMICOS – FINANCIEROS</t>
  </si>
  <si>
    <t>INDICES</t>
  </si>
  <si>
    <t>Liquidez (1)</t>
  </si>
  <si>
    <t>Endeudamiento (2)</t>
  </si>
  <si>
    <t>Rentabilidad (3)</t>
  </si>
  <si>
    <t>Resultado Antes</t>
  </si>
  <si>
    <t>Del Impuesto a</t>
  </si>
  <si>
    <t>1)</t>
  </si>
  <si>
    <t>Activo Corriente</t>
  </si>
  <si>
    <t>2)</t>
  </si>
  <si>
    <t>Total del Pasivo</t>
  </si>
  <si>
    <t>3)</t>
  </si>
  <si>
    <t>la Renta</t>
  </si>
  <si>
    <t>Pasivo Corriente</t>
  </si>
  <si>
    <t>Excluido el Resultado</t>
  </si>
  <si>
    <t>Del Periodo</t>
  </si>
  <si>
    <r>
      <t xml:space="preserve">    </t>
    </r>
    <r>
      <rPr>
        <b/>
        <sz val="10"/>
        <rFont val="Times New Roman"/>
        <family val="1"/>
      </rPr>
      <t>Síndico</t>
    </r>
  </si>
  <si>
    <t xml:space="preserve">C. P. Gloria Elizabeth Flecha </t>
  </si>
  <si>
    <t>C.P.  Gloria Elizabeth Flecha</t>
  </si>
  <si>
    <t>Orden del Día</t>
  </si>
  <si>
    <r>
      <t>1.</t>
    </r>
    <r>
      <rPr>
        <sz val="7"/>
        <color indexed="8"/>
        <rFont val="Times New Roman"/>
        <family val="1"/>
      </rPr>
      <t xml:space="preserve">      </t>
    </r>
    <r>
      <rPr>
        <sz val="11"/>
        <color indexed="8"/>
        <rFont val="Book Antiqua"/>
        <family val="1"/>
      </rPr>
      <t>Consideración del Acta de Directorio de la sesión anterior.</t>
    </r>
  </si>
  <si>
    <t xml:space="preserve">Desarrollo y Resoluciones </t>
  </si>
  <si>
    <t xml:space="preserve">lectura al Acta de la sesión anterior, cuyo texto es aprobado por unanimidad. </t>
  </si>
  <si>
    <t>1. Como primer punto del orden del día, la Sra. Luisa I. Schaerer de Pallarés da</t>
  </si>
  <si>
    <t xml:space="preserve">2.  Seguidamente la Lic. Gloria Elizabeth Flecha, contadora de la firma, presenta y </t>
  </si>
  <si>
    <t xml:space="preserve">consideración los informes presentados. </t>
  </si>
  <si>
    <t xml:space="preserve">Seguidamente, los miembros del Directorio aprueban por unanimidad los Estados </t>
  </si>
  <si>
    <t xml:space="preserve">Contables Trimestrales que serán presentados a la Comisión Nacional de Valores y </t>
  </si>
  <si>
    <t xml:space="preserve">a la Bolsa de Valores y Productos de Asunción S.A. según las exigencias expuestas </t>
  </si>
  <si>
    <t xml:space="preserve">en las  disposiciones del Mercado de Capitales. </t>
  </si>
  <si>
    <t xml:space="preserve">    Lic. María Celeste Pallarés Viveros</t>
  </si>
  <si>
    <t xml:space="preserve">       Dr. Raúl Fernando Vargas</t>
  </si>
  <si>
    <t xml:space="preserve">   Acreedores Varios</t>
  </si>
  <si>
    <t xml:space="preserve">   Dividendos a Pagar</t>
  </si>
  <si>
    <t xml:space="preserve">   Dirección de Grandes Contribuyentes</t>
  </si>
  <si>
    <t xml:space="preserve">   Obligaciones Bancarias</t>
  </si>
  <si>
    <t xml:space="preserve">El Capital Social se fija en la suma de Gs. 50.000.000.000 (Guaraníes Cincuenta </t>
  </si>
  <si>
    <t>mil millones) y estará dividida en cincuenta   series de Gs. 1.000.000.000</t>
  </si>
  <si>
    <t>(Guaraníes un mil millones) cada serie. Cada serie estará compuesta</t>
  </si>
  <si>
    <t>Estación Servicios SA y Planta</t>
  </si>
  <si>
    <t xml:space="preserve">    Uniformes</t>
  </si>
  <si>
    <t xml:space="preserve">    Seguridad Ocupacional</t>
  </si>
  <si>
    <t>Banco Continental  S.A.E.C.A.</t>
  </si>
  <si>
    <t>Transgas</t>
  </si>
  <si>
    <t>Anticipo Proveedores Locales</t>
  </si>
  <si>
    <t xml:space="preserve">Total de Cheques Emitidos
 No Cobrados </t>
  </si>
  <si>
    <t xml:space="preserve">d) Reconocimiento de ingresos y Egresos </t>
  </si>
  <si>
    <t>e) Valuación de los Bienes de Usos</t>
  </si>
  <si>
    <t>f) Valuación de Existencias</t>
  </si>
  <si>
    <t>g) Previsión  por Incobrables</t>
  </si>
  <si>
    <t xml:space="preserve">     Fondo Fijo -  ESSS Pai Pérez</t>
  </si>
  <si>
    <t>Interés a Vencer Corto Plazo</t>
  </si>
  <si>
    <t>Interés Vencer Financieros  C.P.</t>
  </si>
  <si>
    <t>Interés Vencer  Bonos Bursátiles C.P.</t>
  </si>
  <si>
    <t>Total Interés a Vencer C.P. (a+b)</t>
  </si>
  <si>
    <t>Interés a Vencer Largo Plazo</t>
  </si>
  <si>
    <t>Interés Vencer Bonos Bursátiles L.P.</t>
  </si>
  <si>
    <t>Interés a Pagar Corto Plazo</t>
  </si>
  <si>
    <t>Interés a Pagar  Bonos Bursátiles C.P.</t>
  </si>
  <si>
    <t>de 100 (cien) acciones, de Gs. 10.000.000 (Guaraníes diez millones).</t>
  </si>
  <si>
    <r>
      <t xml:space="preserve">   Previsión Gestión de Cobro </t>
    </r>
    <r>
      <rPr>
        <b/>
        <sz val="12"/>
        <rFont val="Times New Roman"/>
        <family val="1"/>
      </rPr>
      <t>Nota 2.g) Nota 22 ; 11 y Anexo E</t>
    </r>
  </si>
  <si>
    <r>
      <t xml:space="preserve">   Previsión Documentos a  Cobrar - </t>
    </r>
    <r>
      <rPr>
        <b/>
        <sz val="12"/>
        <rFont val="Times New Roman"/>
        <family val="1"/>
      </rPr>
      <t>Nota 5 y Anexo E</t>
    </r>
  </si>
  <si>
    <r>
      <t xml:space="preserve">   Proveedores del Exterior</t>
    </r>
    <r>
      <rPr>
        <b/>
        <sz val="12"/>
        <rFont val="Times New Roman"/>
        <family val="1"/>
      </rPr>
      <t xml:space="preserve"> - Nota 12 y Anexo G</t>
    </r>
  </si>
  <si>
    <r>
      <t xml:space="preserve">   Obligaciones Bancarias</t>
    </r>
    <r>
      <rPr>
        <b/>
        <sz val="12"/>
        <rFont val="Times New Roman"/>
        <family val="1"/>
      </rPr>
      <t xml:space="preserve"> - Nota 13</t>
    </r>
  </si>
  <si>
    <r>
      <t xml:space="preserve">   Cheques emitidos no cobrados en Bancos - </t>
    </r>
    <r>
      <rPr>
        <b/>
        <sz val="12"/>
        <rFont val="Times New Roman"/>
        <family val="1"/>
      </rPr>
      <t>Nota 14</t>
    </r>
  </si>
  <si>
    <r>
      <t xml:space="preserve">   Proveedores Locales - </t>
    </r>
    <r>
      <rPr>
        <b/>
        <sz val="12"/>
        <rFont val="Times New Roman"/>
        <family val="1"/>
      </rPr>
      <t>Nota 15 y Anexo G</t>
    </r>
  </si>
  <si>
    <r>
      <t xml:space="preserve">   Bonos Bursátiles - </t>
    </r>
    <r>
      <rPr>
        <b/>
        <sz val="12"/>
        <rFont val="Times New Roman"/>
        <family val="1"/>
      </rPr>
      <t>Nota 16</t>
    </r>
  </si>
  <si>
    <t>C.P. Gloria Elizabeth Flecha, para el tratar los siguientes puntos:</t>
  </si>
  <si>
    <t>Padre Américo Ferreira, el Directorio de Gas Corona S. A. E. C. A. integrado  por  su</t>
  </si>
  <si>
    <r>
      <t xml:space="preserve">Decima  Tercera Modificación de los Estatutos Sociales: </t>
    </r>
    <r>
      <rPr>
        <sz val="12"/>
        <color indexed="8"/>
        <rFont val="Book Antiqua"/>
        <family val="1"/>
      </rPr>
      <t xml:space="preserve">Escritura de </t>
    </r>
  </si>
  <si>
    <t xml:space="preserve">de la firma Gas Corona S.A.E.C.A. por Escritura Pública Nº 20 del 04 de junio </t>
  </si>
  <si>
    <t xml:space="preserve">de 2019 ante la Escribana Myrian Garcete de Enciso Cuquejo e inscripto en el </t>
  </si>
  <si>
    <t>la  Serie  Comercial,  bajo el Nº 3,  Folio 26  en fecha  12/08/2019  y  en  la</t>
  </si>
  <si>
    <t xml:space="preserve">Dirección Gral. Registro Público; Sección Comercio bajo el Nro. 5,  Folio 37 </t>
  </si>
  <si>
    <t xml:space="preserve">de fecha 12 de agosto de 2019. </t>
  </si>
  <si>
    <t xml:space="preserve">     Banco Regional - Gs.</t>
  </si>
  <si>
    <t xml:space="preserve">     Banco Rio S.A.</t>
  </si>
  <si>
    <t>TGS S.A.</t>
  </si>
  <si>
    <t>Petrosur S.A.</t>
  </si>
  <si>
    <t>San Juan del Parana, Itapua- Inmueble 
3447, Nro. de padron 1562</t>
  </si>
  <si>
    <t>Cheques Diferidos a Pagar</t>
  </si>
  <si>
    <t>Obligaciones Bancarias</t>
  </si>
  <si>
    <t xml:space="preserve">Liquidez General </t>
  </si>
  <si>
    <t>Nivel de endeudamiento sobre patrimonio</t>
  </si>
  <si>
    <t>Rendimiento sobre PN</t>
  </si>
  <si>
    <t xml:space="preserve">  Interes  a Vencer  Banco L.P.</t>
  </si>
  <si>
    <t xml:space="preserve">   Reserva Revaluo</t>
  </si>
  <si>
    <r>
      <t xml:space="preserve">   Provisiones  Varias - </t>
    </r>
    <r>
      <rPr>
        <b/>
        <sz val="12"/>
        <rFont val="Times New Roman"/>
        <family val="1"/>
      </rPr>
      <t>Nota 17</t>
    </r>
  </si>
  <si>
    <t>2. Consideración de los Estados Contables Básicos correspondientes al Cuarto</t>
  </si>
  <si>
    <t xml:space="preserve">expone los Estados Contables Trimestrales correspondientes al 31 de diciembre de </t>
  </si>
  <si>
    <t xml:space="preserve">Presidente :  Señora  Luisa  Isabel  Schaerer  de  Pallarés,  Vicepresidente:  Lic.  María </t>
  </si>
  <si>
    <t xml:space="preserve">                Presidente</t>
  </si>
  <si>
    <t xml:space="preserve">Celeste Pallares Viveros, Síndico  Titular: Dr.  Raúl  Fernando Vargas y la Contadora </t>
  </si>
  <si>
    <t xml:space="preserve">     Banco GNB Bank</t>
  </si>
  <si>
    <t xml:space="preserve">     Banco BBVA Gs.</t>
  </si>
  <si>
    <t xml:space="preserve">     Banco Rio S.A. Cta. Cte.</t>
  </si>
  <si>
    <t xml:space="preserve">     Efectivo Gs.</t>
  </si>
  <si>
    <t xml:space="preserve">     Cheques Gs.</t>
  </si>
  <si>
    <t xml:space="preserve">     Efectivo US$</t>
  </si>
  <si>
    <r>
      <t xml:space="preserve">   Previsión Deudores por Ventas </t>
    </r>
    <r>
      <rPr>
        <b/>
        <sz val="12"/>
        <rFont val="Times New Roman"/>
        <family val="1"/>
      </rPr>
      <t>Nota 2.g) Nota 11 y Anexo E</t>
    </r>
  </si>
  <si>
    <t xml:space="preserve">    Maquinarias y Equipos</t>
  </si>
  <si>
    <t xml:space="preserve">    Surtidores</t>
  </si>
  <si>
    <t xml:space="preserve">El saldo de las obligaciones comerciales con proveedores del exterior al 31 de </t>
  </si>
  <si>
    <t>Préstamos en el Sistema Financiero - CORTO PLAZO</t>
  </si>
  <si>
    <t>Préstamos en el Sistema Financiero - LARGO PLAZO</t>
  </si>
  <si>
    <t xml:space="preserve">Banco Regional </t>
  </si>
  <si>
    <t>Total Prestamos largo plazo</t>
  </si>
  <si>
    <t>Banco Rio S.A.E.C.A.</t>
  </si>
  <si>
    <t>Puma Energy Paraguay S.A.</t>
  </si>
  <si>
    <t>previsionar los. La composición del saldo al 31 de diciembre de 2019 es la siguiente:</t>
  </si>
  <si>
    <t xml:space="preserve">2008 y 2009 inclusive que presentan atrasos en la cobranza, cuyo detalle al 31 de </t>
  </si>
  <si>
    <t>El valor neto de las transacciones entre partes relacionadas al 31 de diciembre de 2019</t>
  </si>
  <si>
    <r>
      <t xml:space="preserve">   Previsiones Varias - </t>
    </r>
    <r>
      <rPr>
        <b/>
        <sz val="12"/>
        <rFont val="Times New Roman"/>
        <family val="1"/>
      </rPr>
      <t>Anexo E</t>
    </r>
  </si>
  <si>
    <t>Importacion en Curso</t>
  </si>
  <si>
    <r>
      <t>2.</t>
    </r>
    <r>
      <rPr>
        <b/>
        <sz val="7"/>
        <color indexed="8"/>
        <rFont val="Times New Roman"/>
        <family val="1"/>
      </rPr>
      <t>   </t>
    </r>
    <r>
      <rPr>
        <b/>
        <sz val="14"/>
        <color indexed="8"/>
        <rFont val="Book Antiqua"/>
        <family val="1"/>
      </rPr>
      <t>Políticas de Contabilidad.</t>
    </r>
  </si>
  <si>
    <r>
      <t>b)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Book Antiqua"/>
        <family val="1"/>
      </rPr>
      <t>Efectos de la Inflación.</t>
    </r>
  </si>
  <si>
    <r>
      <t>c)</t>
    </r>
    <r>
      <rPr>
        <b/>
        <sz val="7"/>
        <color indexed="8"/>
        <rFont val="Times New Roman"/>
        <family val="1"/>
      </rPr>
      <t> </t>
    </r>
    <r>
      <rPr>
        <b/>
        <sz val="14"/>
        <color indexed="8"/>
        <rFont val="Book Antiqua"/>
        <family val="1"/>
      </rPr>
      <t>Moneda Extranjera.</t>
    </r>
  </si>
  <si>
    <r>
      <t xml:space="preserve">Sexta Modificación de los Estatutos Sociales: </t>
    </r>
    <r>
      <rPr>
        <sz val="11"/>
        <color indexed="8"/>
        <rFont val="Book Antiqua"/>
        <family val="1"/>
      </rPr>
      <t xml:space="preserve">Escritura de Aumento de </t>
    </r>
  </si>
  <si>
    <t xml:space="preserve">En  la  ciudad  de  San  Antonio,  a  los  25  días  del  mes  febrero   del  2021,  siendo </t>
  </si>
  <si>
    <t xml:space="preserve">las 09:00 horas, se reúne en su local social, sito en Avenida San  Antonio  y  Avenida </t>
  </si>
  <si>
    <t>Trimestre del Ejercicio Anual 2020</t>
  </si>
  <si>
    <t>2020. Tras un breve intercambio de opiniones, comentarios y consultas se ponen a</t>
  </si>
  <si>
    <t>Sin otros puntos que considerar, se levanta la sesión siendo las 11:00 hs.</t>
  </si>
  <si>
    <t>AL 31 DE DICIEMBRE  DE 2020 Y 2019</t>
  </si>
  <si>
    <t>EL 1° DE ENERO Y EL 31 DE DICIEMBRE DE 2020 Y 2019</t>
  </si>
  <si>
    <t>ACTA DE DIRECTORIO Nº 471/21</t>
  </si>
  <si>
    <t xml:space="preserve">  Al 31 de diciembre de 2020</t>
  </si>
  <si>
    <t xml:space="preserve">Al 31 de diciembre de 2020, los activos en dólares estadounidenses  </t>
  </si>
  <si>
    <t xml:space="preserve">fueron valuados a Gs. 6891,96 por cada dólar, mientras que los pasivos </t>
  </si>
  <si>
    <t>fueron valuados a Gs. 6941,65 por cada dólar.</t>
  </si>
  <si>
    <t xml:space="preserve">De acuerdo a la última modificación de los Estatutos Sociales, el Capital </t>
  </si>
  <si>
    <t>suscripto ha sido aumentado a Gs. 50.000.000.000 (Guaraníes cicuenta</t>
  </si>
  <si>
    <t>mil millones) y el Capital integrado a Gs. 49.200.000.000 (Guaraníes cuarenta</t>
  </si>
  <si>
    <t>y nueve  mil discientos millones), que se encuentra de Tramites de protocolizacion</t>
  </si>
  <si>
    <t>11. Composicion de la Cartera de Creditos 31/12/2020 (ANEXO D)</t>
  </si>
  <si>
    <t>diciembre de 2020 se compone como sigue:</t>
  </si>
  <si>
    <t xml:space="preserve">cheques diferidos a pagar) al 31 de diciembre de 2020 se compone como sigue, en </t>
  </si>
  <si>
    <t xml:space="preserve">que aún no han sido cobrados en bancos. La composición al 31 de diciembre de 2020 es </t>
  </si>
  <si>
    <t>31 de diciembre de 2020 es la siguiente:</t>
  </si>
  <si>
    <t>inclusive. La composición al 31 de diciembre de 2020.</t>
  </si>
  <si>
    <t>EMISION GLOBAL  G2 BONOS</t>
  </si>
  <si>
    <t>EMISION GLOBAL  G3 BONOS</t>
  </si>
  <si>
    <t>Serie 1</t>
  </si>
  <si>
    <t>composición del saldo al 31 de diciembre de 2020 es la siguiente:</t>
  </si>
  <si>
    <t>vigentes al 31 de diciembre de 2020. La composición es la siguiente:</t>
  </si>
  <si>
    <t>diciembre de 2020 es el siguiente:</t>
  </si>
  <si>
    <t>Situación al 31.12.2020</t>
  </si>
  <si>
    <t xml:space="preserve">Al 31 de diciembre de 2020, Gas Corona S.A.E.C.A. registra sendos litigios judiciales </t>
  </si>
  <si>
    <t>S.A.E.C.A., al 31 de diciembre de 2020 es la siguiente:</t>
  </si>
  <si>
    <t xml:space="preserve">Los bienes son revaluados anualmente de acuerdo a las reglamentaciones </t>
  </si>
  <si>
    <t xml:space="preserve">emitidas por la SET, considerando los coeficientes de actualización </t>
  </si>
  <si>
    <t xml:space="preserve">proveido por la SET a tasas que están dentro de los límites permitidos por las leyes </t>
  </si>
  <si>
    <t>amortizados a en 4 años, a partir del año siguiente de la incorporacion al activo</t>
  </si>
  <si>
    <t>en virtud a lo que establece las lesgislaciones emitidas por la SET.</t>
  </si>
  <si>
    <t>(-) TOTAL PREVISIONES AL 31/12/2020</t>
  </si>
  <si>
    <t>TOTAL DE LA CARTERA DE CREDITO AL 31/12/2020 (A+B)</t>
  </si>
  <si>
    <t>TOTAL NETO CARTERA DE CREDITOS AL 31/12/2020</t>
  </si>
  <si>
    <t xml:space="preserve">Transol </t>
  </si>
  <si>
    <t>Standart Global</t>
  </si>
  <si>
    <t>Makeen</t>
  </si>
  <si>
    <t>Banco Itau S.A. Bonos Gs.</t>
  </si>
  <si>
    <t>Los nuevos  títulos de deuda fueron emitidos y colocados durante los ejercicios, 2020</t>
  </si>
  <si>
    <t xml:space="preserve">Los capitales presentan vencimientos entre julio   de 2021  hasta julio  de 2025, </t>
  </si>
  <si>
    <t>Banco  Rio</t>
  </si>
  <si>
    <t>Banco Atlas</t>
  </si>
  <si>
    <t>Padron 22767;22618;22744;23317; Luque</t>
  </si>
  <si>
    <t>AL 31 DE DICIEMBRE DE 2020 Y 2019</t>
  </si>
  <si>
    <t>Saldo al 31 de diciembre de 2019</t>
  </si>
  <si>
    <t>Saldo al 31 de Diciembre de 2020</t>
  </si>
  <si>
    <t>AL 31 DE DICIEMBRE DE 2020</t>
  </si>
  <si>
    <t>AL 31 DE  DICIEMBRE DE 2020</t>
  </si>
  <si>
    <t>AL 30 DE DICIEMBRE DE 2020</t>
  </si>
  <si>
    <t>Flujo de Efectivo de Actividades Operativas</t>
  </si>
  <si>
    <t>Cobranzas Efectuada a Clientes</t>
  </si>
  <si>
    <t>Pago efectuados a Proveedores y Empleados</t>
  </si>
  <si>
    <t>Efectivo generado por las Operaciones</t>
  </si>
  <si>
    <t>Intereses Pagados</t>
  </si>
  <si>
    <t>Otros Ingresos y (Egresos) Neto</t>
  </si>
  <si>
    <t>Pago de Impuesto a la Renta</t>
  </si>
  <si>
    <t>Flujo  Neto de Efectivo de Actividades Operativas</t>
  </si>
  <si>
    <t>Flujo de Efectivo de Actividades de Inversión</t>
  </si>
  <si>
    <t>Adquisiocion de Bienes de Uso</t>
  </si>
  <si>
    <t>Venta de Bienes de Uso</t>
  </si>
  <si>
    <t>Intereses Cobrados sobre Inversiones</t>
  </si>
  <si>
    <t>Adquisiocion de Inversiones</t>
  </si>
  <si>
    <t>Flujo Neto de Efectivo de  Actividades de Inversión</t>
  </si>
  <si>
    <t>Flujo de Efectivo de Actividades de Financiacion</t>
  </si>
  <si>
    <t>(Disminución) Incremento de Préstamos</t>
  </si>
  <si>
    <t>Aportes de Capital recibidos</t>
  </si>
  <si>
    <t>Flujo Neto de efectivo de Actividades de Financiamiento</t>
  </si>
  <si>
    <t>(Disminución) Incremento neto de Efectivos</t>
  </si>
  <si>
    <t>Efecto estimado de la Diferencia  de Cambio sobre el Saldo de efectivo</t>
  </si>
  <si>
    <t>Efectivo al principio del año</t>
  </si>
  <si>
    <t>Efectivo al final del año</t>
  </si>
  <si>
    <t>1º DE ENERO Y EL 31 DE DICIEMBRE DE 2020</t>
  </si>
  <si>
    <t xml:space="preserve">                             Lic. María Celeste Pallarés Viveros </t>
  </si>
  <si>
    <t xml:space="preserve">                                                Vice- Presidente </t>
  </si>
  <si>
    <t xml:space="preserve">                Vicepresidente </t>
  </si>
  <si>
    <t xml:space="preserve">                  Contadora </t>
  </si>
  <si>
    <t xml:space="preserve">               Síndico</t>
  </si>
  <si>
    <t xml:space="preserve">               Contadora </t>
  </si>
  <si>
    <t xml:space="preserve">             Síndico</t>
  </si>
  <si>
    <t xml:space="preserve">                    Presidente</t>
  </si>
  <si>
    <t xml:space="preserve">             Vice- Presidente </t>
  </si>
  <si>
    <t xml:space="preserve">                                        Contadora                                 28</t>
  </si>
  <si>
    <t xml:space="preserve">                                     Contadora                       29</t>
  </si>
</sst>
</file>

<file path=xl/styles.xml><?xml version="1.0" encoding="utf-8"?>
<styleSheet xmlns="http://schemas.openxmlformats.org/spreadsheetml/2006/main">
  <numFmts count="29">
    <numFmt numFmtId="5" formatCode="&quot;₲&quot;\ #,##0;&quot;₲&quot;\ \-#,##0"/>
    <numFmt numFmtId="6" formatCode="&quot;₲&quot;\ #,##0;[Red]&quot;₲&quot;\ \-#,##0"/>
    <numFmt numFmtId="7" formatCode="&quot;₲&quot;\ #,##0.00;&quot;₲&quot;\ \-#,##0.00"/>
    <numFmt numFmtId="8" formatCode="&quot;₲&quot;\ #,##0.00;[Red]&quot;₲&quot;\ \-#,##0.00"/>
    <numFmt numFmtId="42" formatCode="_ &quot;₲&quot;\ * #,##0_ ;_ &quot;₲&quot;\ * \-#,##0_ ;_ &quot;₲&quot;\ * &quot;-&quot;_ ;_ @_ "/>
    <numFmt numFmtId="41" formatCode="_ * #,##0_ ;_ * \-#,##0_ ;_ * &quot;-&quot;_ ;_ @_ "/>
    <numFmt numFmtId="44" formatCode="_ &quot;₲&quot;\ * #,##0.00_ ;_ &quot;₲&quot;\ * \-#,##0.00_ ;_ &quot;₲&quot;\ * &quot;-&quot;??_ ;_ @_ "/>
    <numFmt numFmtId="43" formatCode="_ * #,##0.00_ ;_ * \-#,##0.00_ ;_ * &quot;-&quot;??_ ;_ @_ "/>
    <numFmt numFmtId="164" formatCode="_-* #,##0.00_-;\-* #,##0.00_-;_-* \-??_-;_-@_-"/>
    <numFmt numFmtId="165" formatCode="General_)"/>
    <numFmt numFmtId="166" formatCode="#,##0\ _$;\-#,##0\ _$"/>
    <numFmt numFmtId="167" formatCode="#,##0\ ;\(#,##0\)"/>
    <numFmt numFmtId="168" formatCode="_-* #,##0.00\ _G_-;\-* #,##0.00\ _G_-;_-* &quot;-&quot;??\ _G_-;_-@_-"/>
    <numFmt numFmtId="169" formatCode="_-* #,##0\ _G_-;\-* #,##0\ _G_-;_-* &quot;-&quot;??\ _G_-;_-@_-"/>
    <numFmt numFmtId="170" formatCode="#,##0.00\ ;\(#,##0.00\)"/>
    <numFmt numFmtId="171" formatCode="_-* #,##0.00_-;\-* #,##0.00_-;_-* &quot;-&quot;??_-;_-@_-"/>
    <numFmt numFmtId="172" formatCode="_(* #,##0_);_(* \(#,##0\);_(* &quot;-&quot;_);_(@_)"/>
    <numFmt numFmtId="173" formatCode="_(* #,##0.00_);_(* \(#,##0.00\);_(* &quot;-&quot;??_);_(@_)"/>
    <numFmt numFmtId="174" formatCode="_-* #,##0_-;\-* #,##0_-;_-* \-??_-;_-@_-"/>
    <numFmt numFmtId="175" formatCode="_(* #,##0_);_(* \(#,##0\);_(* \-??_);_(@_)"/>
    <numFmt numFmtId="176" formatCode="d&quot; de &quot;mmm&quot; de &quot;yy"/>
    <numFmt numFmtId="177" formatCode="_-* #,##0.00\ &quot;G&quot;_-;\-* #,##0.00\ &quot;G&quot;_-;_-* &quot;-&quot;??\ &quot;G&quot;_-;_-@_-"/>
    <numFmt numFmtId="178" formatCode="#,##0;[Red]#,##0"/>
    <numFmt numFmtId="179" formatCode="#,##0\ ;\-#,##0\ ;&quot; -&quot;#\ ;@\ "/>
    <numFmt numFmtId="180" formatCode="_-* #,##0.00000_-;\-* #,##0.00000_-;_-* \-??_-;_-@_-"/>
    <numFmt numFmtId="181" formatCode="_-* #,##0\ _G_-;\-* #,##0\ _G_-;_-* &quot;-&quot;\ _G_-;_-@_-"/>
    <numFmt numFmtId="182" formatCode="_-* #,##0.00\ _€_-;\-* #,##0.00\ _€_-;_-* &quot;-&quot;??\ _€_-;_-@_-"/>
    <numFmt numFmtId="183" formatCode="#,##0_ ;[Red]\-#,##0\ "/>
    <numFmt numFmtId="184" formatCode="_ * #,##0.00_ ;_ * \-#,##0.00_ ;_ * &quot;-&quot;_ ;_ @_ "/>
  </numFmts>
  <fonts count="17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color indexed="8"/>
      <name val="Book Antiqua"/>
      <family val="1"/>
    </font>
    <font>
      <b/>
      <sz val="10"/>
      <color indexed="8"/>
      <name val="Book Antiqua"/>
      <family val="1"/>
    </font>
    <font>
      <sz val="10"/>
      <color indexed="10"/>
      <name val="Book Antiqua"/>
      <family val="1"/>
    </font>
    <font>
      <b/>
      <sz val="10"/>
      <color indexed="10"/>
      <name val="Book Antiqua"/>
      <family val="1"/>
    </font>
    <font>
      <sz val="11"/>
      <color indexed="9"/>
      <name val="Calibri"/>
      <family val="2"/>
    </font>
    <font>
      <b/>
      <sz val="14"/>
      <color indexed="9"/>
      <name val="Book Antiqua"/>
      <family val="1"/>
    </font>
    <font>
      <b/>
      <sz val="20"/>
      <color indexed="8"/>
      <name val="Calibri"/>
      <family val="2"/>
    </font>
    <font>
      <sz val="12"/>
      <color indexed="8"/>
      <name val="Book Antiqua"/>
      <family val="1"/>
    </font>
    <font>
      <b/>
      <u val="single"/>
      <sz val="10"/>
      <color indexed="8"/>
      <name val="Book Antiqua"/>
      <family val="1"/>
    </font>
    <font>
      <b/>
      <sz val="11"/>
      <color indexed="8"/>
      <name val="Book Antiqua"/>
      <family val="1"/>
    </font>
    <font>
      <sz val="9"/>
      <color indexed="8"/>
      <name val="Book Antiqua"/>
      <family val="1"/>
    </font>
    <font>
      <b/>
      <sz val="9"/>
      <color indexed="8"/>
      <name val="Book Antiqua"/>
      <family val="1"/>
    </font>
    <font>
      <b/>
      <sz val="12"/>
      <color indexed="8"/>
      <name val="Book Antiqua"/>
      <family val="1"/>
    </font>
    <font>
      <b/>
      <sz val="10"/>
      <name val="Book Antiqua"/>
      <family val="1"/>
    </font>
    <font>
      <b/>
      <sz val="24"/>
      <color indexed="8"/>
      <name val="Book Antiqua"/>
      <family val="1"/>
    </font>
    <font>
      <b/>
      <sz val="14"/>
      <color indexed="8"/>
      <name val="Book Antiqua"/>
      <family val="1"/>
    </font>
    <font>
      <b/>
      <sz val="7"/>
      <color indexed="8"/>
      <name val="Times New Roman"/>
      <family val="1"/>
    </font>
    <font>
      <b/>
      <u val="single"/>
      <sz val="11"/>
      <color indexed="8"/>
      <name val="Book Antiqua"/>
      <family val="1"/>
    </font>
    <font>
      <b/>
      <sz val="13"/>
      <color indexed="8"/>
      <name val="Book Antiqua"/>
      <family val="1"/>
    </font>
    <font>
      <b/>
      <u val="single"/>
      <sz val="9"/>
      <color indexed="8"/>
      <name val="Book Antiqua"/>
      <family val="1"/>
    </font>
    <font>
      <sz val="11"/>
      <color indexed="8"/>
      <name val="Book Antiqua"/>
      <family val="1"/>
    </font>
    <font>
      <sz val="10"/>
      <color indexed="8"/>
      <name val="Arial"/>
      <family val="2"/>
    </font>
    <font>
      <sz val="10"/>
      <name val="Arial"/>
      <family val="2"/>
    </font>
    <font>
      <b/>
      <sz val="16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Book Antiqua"/>
      <family val="1"/>
    </font>
    <font>
      <b/>
      <sz val="9"/>
      <name val="Book Antiqua"/>
      <family val="1"/>
    </font>
    <font>
      <b/>
      <sz val="14"/>
      <name val="Book Antiqua"/>
      <family val="1"/>
    </font>
    <font>
      <sz val="8"/>
      <color indexed="8"/>
      <name val="Book Antiqua"/>
      <family val="1"/>
    </font>
    <font>
      <u val="single"/>
      <sz val="10"/>
      <color indexed="8"/>
      <name val="Book Antiqua"/>
      <family val="1"/>
    </font>
    <font>
      <b/>
      <sz val="18"/>
      <color indexed="56"/>
      <name val="Cambria"/>
      <family val="2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2"/>
      <name val="Book Antiqua"/>
      <family val="1"/>
    </font>
    <font>
      <b/>
      <sz val="13"/>
      <name val="Book Antiqua"/>
      <family val="1"/>
    </font>
    <font>
      <b/>
      <sz val="11"/>
      <color indexed="9"/>
      <name val="Book Antiqua"/>
      <family val="1"/>
    </font>
    <font>
      <sz val="12"/>
      <name val="Courier"/>
      <family val="3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sz val="12"/>
      <name val="Book Antiqua"/>
      <family val="1"/>
    </font>
    <font>
      <sz val="12"/>
      <color indexed="10"/>
      <name val="Book Antiqua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2"/>
      <color indexed="8"/>
      <name val="Courier"/>
      <family val="3"/>
    </font>
    <font>
      <sz val="13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12"/>
      <color indexed="10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6"/>
      <name val="Courier"/>
      <family val="3"/>
    </font>
    <font>
      <b/>
      <sz val="12"/>
      <name val="Courier"/>
      <family val="3"/>
    </font>
    <font>
      <sz val="12"/>
      <color indexed="10"/>
      <name val="Courier"/>
      <family val="3"/>
    </font>
    <font>
      <sz val="11"/>
      <color indexed="8"/>
      <name val="Times New Roman"/>
      <family val="1"/>
    </font>
    <font>
      <sz val="10"/>
      <color indexed="9"/>
      <name val="Times New Roman"/>
      <family val="1"/>
    </font>
    <font>
      <sz val="10"/>
      <name val="Courier"/>
      <family val="3"/>
    </font>
    <font>
      <b/>
      <sz val="2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10"/>
      <color indexed="10"/>
      <name val="Times New Roman"/>
      <family val="1"/>
    </font>
    <font>
      <b/>
      <sz val="16"/>
      <color indexed="10"/>
      <name val="Times New Roman"/>
      <family val="1"/>
    </font>
    <font>
      <b/>
      <sz val="16"/>
      <color indexed="8"/>
      <name val="Times New Roman"/>
      <family val="1"/>
    </font>
    <font>
      <b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name val="Bitstream Vera Sans"/>
      <family val="2"/>
    </font>
    <font>
      <b/>
      <sz val="7"/>
      <color indexed="8"/>
      <name val="Book Antiqua"/>
      <family val="1"/>
    </font>
    <font>
      <sz val="12"/>
      <color indexed="9"/>
      <name val="Courier"/>
      <family val="3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Times New Roman"/>
      <family val="1"/>
    </font>
    <font>
      <b/>
      <sz val="12"/>
      <color indexed="8"/>
      <name val="Courier"/>
      <family val="3"/>
    </font>
    <font>
      <b/>
      <sz val="11"/>
      <color indexed="8"/>
      <name val="Times New Roman"/>
      <family val="1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Book Antiqua"/>
      <family val="1"/>
    </font>
    <font>
      <b/>
      <sz val="10"/>
      <color theme="1"/>
      <name val="Book Antiqua"/>
      <family val="1"/>
    </font>
    <font>
      <b/>
      <sz val="10"/>
      <color rgb="FFFF0000"/>
      <name val="Book Antiqua"/>
      <family val="1"/>
    </font>
    <font>
      <b/>
      <sz val="20"/>
      <color theme="1"/>
      <name val="Calibri"/>
      <family val="2"/>
    </font>
    <font>
      <sz val="12"/>
      <color theme="1"/>
      <name val="Book Antiqua"/>
      <family val="1"/>
    </font>
    <font>
      <b/>
      <sz val="11"/>
      <color theme="1"/>
      <name val="Book Antiqua"/>
      <family val="1"/>
    </font>
    <font>
      <b/>
      <u val="single"/>
      <sz val="10"/>
      <color theme="1"/>
      <name val="Book Antiqua"/>
      <family val="1"/>
    </font>
    <font>
      <b/>
      <sz val="14"/>
      <color theme="0"/>
      <name val="Book Antiqua"/>
      <family val="1"/>
    </font>
    <font>
      <b/>
      <sz val="9"/>
      <color theme="1"/>
      <name val="Book Antiqua"/>
      <family val="1"/>
    </font>
    <font>
      <sz val="9"/>
      <color theme="1"/>
      <name val="Book Antiqua"/>
      <family val="1"/>
    </font>
    <font>
      <sz val="10"/>
      <color rgb="FFFF0000"/>
      <name val="Book Antiqua"/>
      <family val="1"/>
    </font>
    <font>
      <sz val="10"/>
      <color theme="1"/>
      <name val="Times New Roman"/>
      <family val="1"/>
    </font>
    <font>
      <b/>
      <sz val="14"/>
      <color theme="1"/>
      <name val="Book Antiqua"/>
      <family val="1"/>
    </font>
    <font>
      <b/>
      <sz val="12"/>
      <color theme="1"/>
      <name val="Book Antiqua"/>
      <family val="1"/>
    </font>
    <font>
      <b/>
      <u val="single"/>
      <sz val="11"/>
      <color theme="1"/>
      <name val="Book Antiqua"/>
      <family val="1"/>
    </font>
    <font>
      <b/>
      <sz val="13"/>
      <color theme="1"/>
      <name val="Book Antiqua"/>
      <family val="1"/>
    </font>
    <font>
      <sz val="11"/>
      <color theme="1"/>
      <name val="Book Antiqua"/>
      <family val="1"/>
    </font>
    <font>
      <b/>
      <sz val="10"/>
      <color rgb="FF000000"/>
      <name val="Book Antiqua"/>
      <family val="1"/>
    </font>
    <font>
      <sz val="10"/>
      <color theme="1"/>
      <name val="Arial"/>
      <family val="2"/>
    </font>
    <font>
      <b/>
      <sz val="12"/>
      <color theme="1"/>
      <name val="Times New Roman"/>
      <family val="1"/>
    </font>
    <font>
      <sz val="8"/>
      <color rgb="FF000000"/>
      <name val="Book Antiqua"/>
      <family val="1"/>
    </font>
    <font>
      <sz val="9"/>
      <color rgb="FF000000"/>
      <name val="Book Antiqua"/>
      <family val="1"/>
    </font>
    <font>
      <b/>
      <sz val="9"/>
      <color rgb="FF000000"/>
      <name val="Book Antiqua"/>
      <family val="1"/>
    </font>
    <font>
      <b/>
      <sz val="14"/>
      <color rgb="FF000000"/>
      <name val="Book Antiqua"/>
      <family val="1"/>
    </font>
    <font>
      <sz val="12"/>
      <color rgb="FF000000"/>
      <name val="Book Antiqua"/>
      <family val="1"/>
    </font>
    <font>
      <sz val="11"/>
      <color rgb="FF000000"/>
      <name val="Book Antiqua"/>
      <family val="1"/>
    </font>
    <font>
      <b/>
      <u val="single"/>
      <sz val="10"/>
      <color rgb="FF000000"/>
      <name val="Book Antiqua"/>
      <family val="1"/>
    </font>
    <font>
      <sz val="10"/>
      <color rgb="FF000000"/>
      <name val="Book Antiqua"/>
      <family val="1"/>
    </font>
    <font>
      <u val="single"/>
      <sz val="10"/>
      <color rgb="FF000000"/>
      <name val="Book Antiqua"/>
      <family val="1"/>
    </font>
    <font>
      <sz val="10"/>
      <color theme="1"/>
      <name val="Calibri"/>
      <family val="2"/>
    </font>
    <font>
      <sz val="8"/>
      <color theme="1"/>
      <name val="Book Antiqua"/>
      <family val="1"/>
    </font>
    <font>
      <b/>
      <sz val="11"/>
      <color theme="0"/>
      <name val="Book Antiqua"/>
      <family val="1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Book Antiqua"/>
      <family val="1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sz val="12"/>
      <color theme="1"/>
      <name val="Courier"/>
      <family val="3"/>
    </font>
    <font>
      <sz val="13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sz val="12"/>
      <color rgb="FFFF0000"/>
      <name val="Times New Roman"/>
      <family val="1"/>
    </font>
    <font>
      <sz val="14"/>
      <color rgb="FFFF0000"/>
      <name val="Times New Roman"/>
      <family val="1"/>
    </font>
    <font>
      <sz val="12"/>
      <color rgb="FFFF0000"/>
      <name val="Courier"/>
      <family val="3"/>
    </font>
    <font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rgb="FFFF0000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Arial"/>
      <family val="2"/>
    </font>
    <font>
      <b/>
      <sz val="7"/>
      <color rgb="FF000000"/>
      <name val="Book Antiqua"/>
      <family val="1"/>
    </font>
    <font>
      <sz val="12"/>
      <color theme="0"/>
      <name val="Courier"/>
      <family val="3"/>
    </font>
    <font>
      <sz val="14"/>
      <color theme="1"/>
      <name val="Times New Roman"/>
      <family val="1"/>
    </font>
    <font>
      <b/>
      <u val="single"/>
      <sz val="9"/>
      <color theme="1"/>
      <name val="Book Antiqua"/>
      <family val="1"/>
    </font>
    <font>
      <b/>
      <sz val="12"/>
      <color theme="1"/>
      <name val="Courier"/>
      <family val="3"/>
    </font>
    <font>
      <b/>
      <sz val="24"/>
      <color theme="1"/>
      <name val="Book Antiqua"/>
      <family val="1"/>
    </font>
    <font>
      <b/>
      <sz val="16"/>
      <color theme="1"/>
      <name val="Times New Roman"/>
      <family val="1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4" tint="0.39998000860214233"/>
        <bgColor indexed="64"/>
      </patternFill>
    </fill>
  </fills>
  <borders count="10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rgb="FF000000"/>
      </bottom>
    </border>
    <border>
      <left/>
      <right/>
      <top style="thin"/>
      <bottom style="double"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medium"/>
    </border>
    <border>
      <left/>
      <right/>
      <top style="medium"/>
      <bottom style="double"/>
    </border>
    <border>
      <left/>
      <right/>
      <top/>
      <bottom style="double"/>
    </border>
    <border>
      <left/>
      <right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/>
      <top/>
      <bottom style="double"/>
    </border>
    <border>
      <left/>
      <right style="medium"/>
      <top style="medium"/>
      <bottom style="medium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/>
      <top/>
      <bottom style="medium"/>
    </border>
    <border>
      <left style="medium"/>
      <right/>
      <top style="thin"/>
      <bottom style="medium"/>
    </border>
    <border>
      <left style="medium"/>
      <right/>
      <top style="medium"/>
      <bottom/>
    </border>
    <border>
      <left style="thin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/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/>
      <top/>
      <bottom style="double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/>
    </border>
    <border>
      <left style="thin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/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/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/>
      <top/>
      <bottom/>
    </border>
    <border>
      <left style="medium">
        <color indexed="8"/>
      </left>
      <right style="thin">
        <color indexed="8"/>
      </right>
      <top/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/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/>
      <bottom style="double"/>
    </border>
    <border>
      <left style="medium"/>
      <right/>
      <top/>
      <bottom/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/>
      <top style="medium"/>
      <bottom style="medium"/>
    </border>
    <border>
      <left/>
      <right style="thin"/>
      <top style="thin"/>
      <bottom/>
    </border>
    <border>
      <left/>
      <right style="thin"/>
      <top/>
      <bottom style="medium"/>
    </border>
    <border>
      <left style="thin"/>
      <right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</borders>
  <cellStyleXfs count="11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04" fillId="14" borderId="0" applyNumberFormat="0" applyBorder="0" applyAlignment="0" applyProtection="0"/>
    <xf numFmtId="0" fontId="104" fillId="15" borderId="0" applyNumberFormat="0" applyBorder="0" applyAlignment="0" applyProtection="0"/>
    <xf numFmtId="0" fontId="104" fillId="16" borderId="0" applyNumberFormat="0" applyBorder="0" applyAlignment="0" applyProtection="0"/>
    <xf numFmtId="0" fontId="104" fillId="17" borderId="0" applyNumberFormat="0" applyBorder="0" applyAlignment="0" applyProtection="0"/>
    <xf numFmtId="0" fontId="104" fillId="18" borderId="0" applyNumberFormat="0" applyBorder="0" applyAlignment="0" applyProtection="0"/>
    <xf numFmtId="0" fontId="104" fillId="19" borderId="0" applyNumberFormat="0" applyBorder="0" applyAlignment="0" applyProtection="0"/>
    <xf numFmtId="0" fontId="105" fillId="20" borderId="0" applyNumberFormat="0" applyBorder="0" applyAlignment="0" applyProtection="0"/>
    <xf numFmtId="0" fontId="106" fillId="21" borderId="1" applyNumberFormat="0" applyAlignment="0" applyProtection="0"/>
    <xf numFmtId="0" fontId="107" fillId="22" borderId="2" applyNumberFormat="0" applyAlignment="0" applyProtection="0"/>
    <xf numFmtId="0" fontId="108" fillId="0" borderId="3" applyNumberFormat="0" applyFill="0" applyAlignment="0" applyProtection="0"/>
    <xf numFmtId="43" fontId="27" fillId="0" borderId="0" applyFont="0" applyFill="0" applyBorder="0" applyAlignment="0" applyProtection="0"/>
    <xf numFmtId="164" fontId="27" fillId="0" borderId="0" applyFont="0" applyFill="0" applyAlignment="0" applyProtection="0"/>
    <xf numFmtId="164" fontId="27" fillId="0" borderId="0" applyFont="0" applyFill="0" applyAlignment="0" applyProtection="0"/>
    <xf numFmtId="171" fontId="31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04" fillId="23" borderId="0" applyNumberFormat="0" applyBorder="0" applyAlignment="0" applyProtection="0"/>
    <xf numFmtId="0" fontId="104" fillId="24" borderId="0" applyNumberFormat="0" applyBorder="0" applyAlignment="0" applyProtection="0"/>
    <xf numFmtId="0" fontId="104" fillId="25" borderId="0" applyNumberFormat="0" applyBorder="0" applyAlignment="0" applyProtection="0"/>
    <xf numFmtId="0" fontId="104" fillId="26" borderId="0" applyNumberFormat="0" applyBorder="0" applyAlignment="0" applyProtection="0"/>
    <xf numFmtId="0" fontId="104" fillId="27" borderId="0" applyNumberFormat="0" applyBorder="0" applyAlignment="0" applyProtection="0"/>
    <xf numFmtId="0" fontId="104" fillId="28" borderId="0" applyNumberFormat="0" applyBorder="0" applyAlignment="0" applyProtection="0"/>
    <xf numFmtId="0" fontId="110" fillId="29" borderId="1" applyNumberFormat="0" applyAlignment="0" applyProtection="0"/>
    <xf numFmtId="0" fontId="1" fillId="0" borderId="0">
      <alignment/>
      <protection/>
    </xf>
    <xf numFmtId="0" fontId="11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27" fillId="0" borderId="0" applyFont="0" applyFill="0" applyBorder="0" applyAlignment="0" applyProtection="0"/>
    <xf numFmtId="181" fontId="27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64" fontId="27" fillId="0" borderId="0" applyFont="0" applyFill="0" applyAlignment="0" applyProtection="0"/>
    <xf numFmtId="43" fontId="1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82" fontId="27" fillId="0" borderId="0" applyFont="0" applyFill="0" applyBorder="0" applyAlignment="0" applyProtection="0"/>
    <xf numFmtId="168" fontId="83" fillId="0" borderId="0" applyFont="0" applyFill="0" applyBorder="0" applyAlignment="0" applyProtection="0"/>
    <xf numFmtId="168" fontId="43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173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27" fillId="0" borderId="0" applyFont="0" applyFill="0" applyBorder="0" applyAlignment="0" applyProtection="0"/>
    <xf numFmtId="0" fontId="112" fillId="31" borderId="0" applyNumberFormat="0" applyBorder="0" applyAlignment="0" applyProtection="0"/>
    <xf numFmtId="0" fontId="0" fillId="0" borderId="0">
      <alignment/>
      <protection/>
    </xf>
    <xf numFmtId="165" fontId="43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27" fillId="0" borderId="0" applyFont="0" applyFill="0" applyBorder="0" applyAlignment="0" applyProtection="0"/>
    <xf numFmtId="0" fontId="113" fillId="21" borderId="5" applyNumberFormat="0" applyAlignment="0" applyProtection="0"/>
    <xf numFmtId="0" fontId="114" fillId="0" borderId="0" applyNumberFormat="0" applyFill="0" applyBorder="0" applyAlignment="0" applyProtection="0"/>
    <xf numFmtId="0" fontId="115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117" fillId="0" borderId="6" applyNumberFormat="0" applyFill="0" applyAlignment="0" applyProtection="0"/>
    <xf numFmtId="0" fontId="118" fillId="0" borderId="7" applyNumberFormat="0" applyFill="0" applyAlignment="0" applyProtection="0"/>
    <xf numFmtId="0" fontId="109" fillId="0" borderId="8" applyNumberFormat="0" applyFill="0" applyAlignment="0" applyProtection="0"/>
    <xf numFmtId="0" fontId="116" fillId="0" borderId="0" applyNumberFormat="0" applyFill="0" applyBorder="0" applyAlignment="0" applyProtection="0"/>
    <xf numFmtId="0" fontId="119" fillId="0" borderId="9" applyNumberFormat="0" applyFill="0" applyAlignment="0" applyProtection="0"/>
  </cellStyleXfs>
  <cellXfs count="1025">
    <xf numFmtId="0" fontId="0" fillId="0" borderId="0" xfId="0" applyFont="1" applyAlignment="1">
      <alignment/>
    </xf>
    <xf numFmtId="3" fontId="120" fillId="0" borderId="0" xfId="0" applyNumberFormat="1" applyFont="1" applyAlignment="1">
      <alignment horizontal="right" vertical="center" wrapText="1"/>
    </xf>
    <xf numFmtId="0" fontId="121" fillId="0" borderId="0" xfId="0" applyFont="1" applyAlignment="1">
      <alignment horizontal="right" vertical="center" wrapText="1"/>
    </xf>
    <xf numFmtId="0" fontId="122" fillId="0" borderId="0" xfId="0" applyFont="1" applyAlignment="1">
      <alignment vertical="center" wrapText="1"/>
    </xf>
    <xf numFmtId="0" fontId="119" fillId="0" borderId="0" xfId="0" applyFont="1" applyAlignment="1">
      <alignment/>
    </xf>
    <xf numFmtId="0" fontId="121" fillId="0" borderId="0" xfId="0" applyFont="1" applyAlignment="1">
      <alignment horizontal="justify" vertical="center" wrapText="1"/>
    </xf>
    <xf numFmtId="0" fontId="121" fillId="0" borderId="0" xfId="0" applyFont="1" applyAlignment="1">
      <alignment horizontal="center" vertical="center" wrapText="1"/>
    </xf>
    <xf numFmtId="0" fontId="120" fillId="0" borderId="0" xfId="0" applyFont="1" applyAlignment="1">
      <alignment horizontal="justify" vertical="center" wrapText="1"/>
    </xf>
    <xf numFmtId="0" fontId="121" fillId="0" borderId="10" xfId="0" applyFont="1" applyBorder="1" applyAlignment="1">
      <alignment horizontal="center" vertical="center" wrapText="1"/>
    </xf>
    <xf numFmtId="0" fontId="121" fillId="0" borderId="0" xfId="0" applyFont="1" applyBorder="1" applyAlignment="1">
      <alignment horizontal="right" vertical="center" wrapText="1"/>
    </xf>
    <xf numFmtId="3" fontId="120" fillId="0" borderId="0" xfId="0" applyNumberFormat="1" applyFont="1" applyBorder="1" applyAlignment="1">
      <alignment horizontal="right" vertical="center" wrapText="1"/>
    </xf>
    <xf numFmtId="3" fontId="121" fillId="0" borderId="0" xfId="0" applyNumberFormat="1" applyFont="1" applyBorder="1" applyAlignment="1">
      <alignment horizontal="right" vertical="center" wrapText="1"/>
    </xf>
    <xf numFmtId="0" fontId="0" fillId="0" borderId="0" xfId="0" applyBorder="1" applyAlignment="1">
      <alignment/>
    </xf>
    <xf numFmtId="3" fontId="121" fillId="0" borderId="11" xfId="0" applyNumberFormat="1" applyFont="1" applyBorder="1" applyAlignment="1">
      <alignment horizontal="right" vertical="center" wrapText="1"/>
    </xf>
    <xf numFmtId="0" fontId="120" fillId="33" borderId="0" xfId="0" applyFont="1" applyFill="1" applyAlignment="1">
      <alignment horizontal="center" vertical="center" wrapText="1"/>
    </xf>
    <xf numFmtId="0" fontId="121" fillId="33" borderId="0" xfId="0" applyFont="1" applyFill="1" applyAlignment="1">
      <alignment horizontal="center" vertical="center" wrapText="1"/>
    </xf>
    <xf numFmtId="0" fontId="121" fillId="33" borderId="12" xfId="0" applyFont="1" applyFill="1" applyBorder="1" applyAlignment="1">
      <alignment horizontal="center" vertical="center" wrapText="1"/>
    </xf>
    <xf numFmtId="0" fontId="120" fillId="33" borderId="0" xfId="0" applyFont="1" applyFill="1" applyAlignment="1">
      <alignment vertical="center" wrapText="1"/>
    </xf>
    <xf numFmtId="0" fontId="120" fillId="33" borderId="0" xfId="0" applyFont="1" applyFill="1" applyAlignment="1">
      <alignment horizontal="right" vertical="center" wrapText="1"/>
    </xf>
    <xf numFmtId="3" fontId="120" fillId="33" borderId="0" xfId="0" applyNumberFormat="1" applyFont="1" applyFill="1" applyAlignment="1">
      <alignment horizontal="right" vertical="center" wrapText="1"/>
    </xf>
    <xf numFmtId="0" fontId="121" fillId="33" borderId="0" xfId="0" applyFont="1" applyFill="1" applyAlignment="1">
      <alignment vertical="center" wrapText="1"/>
    </xf>
    <xf numFmtId="3" fontId="121" fillId="33" borderId="0" xfId="0" applyNumberFormat="1" applyFont="1" applyFill="1" applyAlignment="1">
      <alignment horizontal="right" vertical="center" wrapText="1"/>
    </xf>
    <xf numFmtId="0" fontId="121" fillId="33" borderId="0" xfId="0" applyFont="1" applyFill="1" applyBorder="1" applyAlignment="1">
      <alignment horizontal="center" vertical="center" wrapText="1"/>
    </xf>
    <xf numFmtId="0" fontId="120" fillId="33" borderId="0" xfId="0" applyFont="1" applyFill="1" applyBorder="1" applyAlignment="1">
      <alignment horizontal="right" vertical="center" wrapText="1"/>
    </xf>
    <xf numFmtId="3" fontId="120" fillId="33" borderId="0" xfId="0" applyNumberFormat="1" applyFont="1" applyFill="1" applyBorder="1" applyAlignment="1">
      <alignment horizontal="right" vertical="center" wrapText="1"/>
    </xf>
    <xf numFmtId="0" fontId="120" fillId="33" borderId="13" xfId="0" applyFont="1" applyFill="1" applyBorder="1" applyAlignment="1">
      <alignment horizontal="right" vertical="center" wrapText="1"/>
    </xf>
    <xf numFmtId="0" fontId="120" fillId="0" borderId="0" xfId="0" applyFont="1" applyAlignment="1">
      <alignment vertical="center"/>
    </xf>
    <xf numFmtId="0" fontId="121" fillId="0" borderId="12" xfId="0" applyFont="1" applyBorder="1" applyAlignment="1">
      <alignment horizontal="center" vertical="center"/>
    </xf>
    <xf numFmtId="0" fontId="121" fillId="0" borderId="12" xfId="0" applyFont="1" applyBorder="1" applyAlignment="1">
      <alignment horizontal="center" vertical="center" wrapText="1"/>
    </xf>
    <xf numFmtId="0" fontId="120" fillId="0" borderId="0" xfId="0" applyFont="1" applyAlignment="1">
      <alignment vertical="center" wrapText="1"/>
    </xf>
    <xf numFmtId="3" fontId="120" fillId="0" borderId="0" xfId="0" applyNumberFormat="1" applyFont="1" applyAlignment="1">
      <alignment horizontal="right" vertical="center"/>
    </xf>
    <xf numFmtId="0" fontId="121" fillId="0" borderId="0" xfId="0" applyFont="1" applyAlignment="1">
      <alignment vertical="center"/>
    </xf>
    <xf numFmtId="3" fontId="121" fillId="0" borderId="0" xfId="0" applyNumberFormat="1" applyFont="1" applyAlignment="1">
      <alignment horizontal="right" vertical="center" wrapText="1"/>
    </xf>
    <xf numFmtId="3" fontId="121" fillId="0" borderId="13" xfId="0" applyNumberFormat="1" applyFont="1" applyBorder="1" applyAlignment="1">
      <alignment horizontal="right" vertical="center" wrapText="1"/>
    </xf>
    <xf numFmtId="0" fontId="123" fillId="0" borderId="0" xfId="0" applyFont="1" applyAlignment="1">
      <alignment/>
    </xf>
    <xf numFmtId="41" fontId="120" fillId="0" borderId="0" xfId="52" applyFont="1" applyAlignment="1">
      <alignment vertical="center"/>
    </xf>
    <xf numFmtId="41" fontId="120" fillId="0" borderId="0" xfId="52" applyFont="1" applyAlignment="1">
      <alignment horizontal="right" vertical="center"/>
    </xf>
    <xf numFmtId="41" fontId="121" fillId="0" borderId="11" xfId="52" applyFont="1" applyBorder="1" applyAlignment="1">
      <alignment horizontal="right" vertical="center"/>
    </xf>
    <xf numFmtId="41" fontId="121" fillId="0" borderId="11" xfId="52" applyFont="1" applyBorder="1" applyAlignment="1">
      <alignment horizontal="right" vertical="center" wrapText="1"/>
    </xf>
    <xf numFmtId="0" fontId="124" fillId="0" borderId="0" xfId="0" applyFont="1" applyAlignment="1">
      <alignment horizontal="justify" vertical="center"/>
    </xf>
    <xf numFmtId="0" fontId="121" fillId="0" borderId="10" xfId="0" applyFont="1" applyBorder="1" applyAlignment="1">
      <alignment vertical="center" wrapText="1"/>
    </xf>
    <xf numFmtId="3" fontId="120" fillId="0" borderId="12" xfId="0" applyNumberFormat="1" applyFont="1" applyBorder="1" applyAlignment="1">
      <alignment horizontal="right" vertical="center" wrapText="1"/>
    </xf>
    <xf numFmtId="0" fontId="121" fillId="0" borderId="0" xfId="0" applyFont="1" applyAlignment="1">
      <alignment vertical="center" wrapText="1"/>
    </xf>
    <xf numFmtId="0" fontId="121" fillId="0" borderId="12" xfId="0" applyFont="1" applyBorder="1" applyAlignment="1">
      <alignment vertical="center" wrapText="1"/>
    </xf>
    <xf numFmtId="0" fontId="120" fillId="0" borderId="13" xfId="0" applyFont="1" applyBorder="1" applyAlignment="1">
      <alignment horizontal="right" vertical="center" wrapText="1"/>
    </xf>
    <xf numFmtId="3" fontId="121" fillId="0" borderId="12" xfId="0" applyNumberFormat="1" applyFont="1" applyBorder="1" applyAlignment="1">
      <alignment horizontal="right" vertical="center" wrapText="1"/>
    </xf>
    <xf numFmtId="41" fontId="120" fillId="0" borderId="0" xfId="52" applyFont="1" applyAlignment="1">
      <alignment horizontal="right" vertical="center" wrapText="1"/>
    </xf>
    <xf numFmtId="0" fontId="121" fillId="0" borderId="13" xfId="0" applyFont="1" applyBorder="1" applyAlignment="1">
      <alignment horizontal="right" vertical="center" wrapText="1"/>
    </xf>
    <xf numFmtId="0" fontId="121" fillId="0" borderId="12" xfId="0" applyFont="1" applyBorder="1" applyAlignment="1">
      <alignment horizontal="right" vertical="center" wrapText="1"/>
    </xf>
    <xf numFmtId="0" fontId="125" fillId="0" borderId="0" xfId="0" applyFont="1" applyAlignment="1">
      <alignment vertical="center" wrapText="1"/>
    </xf>
    <xf numFmtId="0" fontId="126" fillId="0" borderId="0" xfId="0" applyFont="1" applyAlignment="1">
      <alignment vertical="center" wrapText="1"/>
    </xf>
    <xf numFmtId="3" fontId="121" fillId="0" borderId="14" xfId="0" applyNumberFormat="1" applyFont="1" applyBorder="1" applyAlignment="1">
      <alignment horizontal="right" vertical="center" wrapText="1"/>
    </xf>
    <xf numFmtId="0" fontId="121" fillId="0" borderId="13" xfId="0" applyFont="1" applyBorder="1" applyAlignment="1">
      <alignment vertical="center" wrapText="1"/>
    </xf>
    <xf numFmtId="3" fontId="121" fillId="0" borderId="15" xfId="0" applyNumberFormat="1" applyFont="1" applyBorder="1" applyAlignment="1">
      <alignment horizontal="right" vertical="center" wrapText="1"/>
    </xf>
    <xf numFmtId="3" fontId="121" fillId="0" borderId="16" xfId="0" applyNumberFormat="1" applyFont="1" applyBorder="1" applyAlignment="1">
      <alignment horizontal="right" vertical="center" wrapText="1"/>
    </xf>
    <xf numFmtId="0" fontId="123" fillId="0" borderId="0" xfId="0" applyFont="1" applyFill="1" applyAlignment="1">
      <alignment/>
    </xf>
    <xf numFmtId="0" fontId="127" fillId="0" borderId="0" xfId="0" applyFont="1" applyFill="1" applyAlignment="1">
      <alignment horizontal="justify" vertical="center"/>
    </xf>
    <xf numFmtId="0" fontId="104" fillId="0" borderId="0" xfId="0" applyFont="1" applyFill="1" applyAlignment="1">
      <alignment/>
    </xf>
    <xf numFmtId="0" fontId="0" fillId="0" borderId="0" xfId="0" applyFill="1" applyAlignment="1">
      <alignment/>
    </xf>
    <xf numFmtId="0" fontId="121" fillId="0" borderId="0" xfId="0" applyFont="1" applyBorder="1" applyAlignment="1">
      <alignment vertical="center" wrapText="1"/>
    </xf>
    <xf numFmtId="0" fontId="0" fillId="0" borderId="0" xfId="0" applyBorder="1" applyAlignment="1">
      <alignment vertical="top" wrapText="1"/>
    </xf>
    <xf numFmtId="3" fontId="121" fillId="0" borderId="17" xfId="0" applyNumberFormat="1" applyFont="1" applyBorder="1" applyAlignment="1">
      <alignment horizontal="right" vertical="center" wrapText="1"/>
    </xf>
    <xf numFmtId="0" fontId="120" fillId="0" borderId="0" xfId="0" applyFont="1" applyBorder="1" applyAlignment="1">
      <alignment vertical="center" wrapText="1"/>
    </xf>
    <xf numFmtId="41" fontId="120" fillId="0" borderId="0" xfId="52" applyFont="1" applyBorder="1" applyAlignment="1">
      <alignment vertical="center" wrapText="1"/>
    </xf>
    <xf numFmtId="41" fontId="120" fillId="0" borderId="0" xfId="52" applyFont="1" applyBorder="1" applyAlignment="1">
      <alignment horizontal="right" vertical="center" wrapText="1"/>
    </xf>
    <xf numFmtId="0" fontId="121" fillId="0" borderId="0" xfId="0" applyFont="1" applyBorder="1" applyAlignment="1">
      <alignment horizontal="center" vertical="center"/>
    </xf>
    <xf numFmtId="3" fontId="120" fillId="0" borderId="0" xfId="0" applyNumberFormat="1" applyFont="1" applyBorder="1" applyAlignment="1">
      <alignment horizontal="right" vertical="center"/>
    </xf>
    <xf numFmtId="0" fontId="121" fillId="0" borderId="12" xfId="0" applyFont="1" applyBorder="1" applyAlignment="1">
      <alignment vertical="center"/>
    </xf>
    <xf numFmtId="3" fontId="121" fillId="0" borderId="0" xfId="0" applyNumberFormat="1" applyFont="1" applyBorder="1" applyAlignment="1">
      <alignment horizontal="right" vertical="center"/>
    </xf>
    <xf numFmtId="0" fontId="126" fillId="0" borderId="0" xfId="0" applyFont="1" applyAlignment="1">
      <alignment vertical="center"/>
    </xf>
    <xf numFmtId="3" fontId="120" fillId="0" borderId="12" xfId="0" applyNumberFormat="1" applyFont="1" applyBorder="1" applyAlignment="1">
      <alignment horizontal="right" vertical="center"/>
    </xf>
    <xf numFmtId="0" fontId="120" fillId="0" borderId="12" xfId="0" applyFont="1" applyBorder="1" applyAlignment="1">
      <alignment vertical="center"/>
    </xf>
    <xf numFmtId="0" fontId="120" fillId="0" borderId="0" xfId="0" applyFont="1" applyAlignment="1">
      <alignment horizontal="center" vertical="center"/>
    </xf>
    <xf numFmtId="0" fontId="128" fillId="34" borderId="18" xfId="0" applyFont="1" applyFill="1" applyBorder="1" applyAlignment="1">
      <alignment horizontal="center" vertical="center"/>
    </xf>
    <xf numFmtId="0" fontId="129" fillId="0" borderId="19" xfId="0" applyFont="1" applyBorder="1" applyAlignment="1">
      <alignment vertical="center"/>
    </xf>
    <xf numFmtId="3" fontId="129" fillId="0" borderId="20" xfId="0" applyNumberFormat="1" applyFont="1" applyBorder="1" applyAlignment="1">
      <alignment horizontal="right" vertical="center"/>
    </xf>
    <xf numFmtId="0" fontId="129" fillId="0" borderId="21" xfId="0" applyFont="1" applyBorder="1" applyAlignment="1">
      <alignment vertical="center"/>
    </xf>
    <xf numFmtId="3" fontId="129" fillId="0" borderId="22" xfId="0" applyNumberFormat="1" applyFont="1" applyBorder="1" applyAlignment="1">
      <alignment horizontal="right" vertical="center"/>
    </xf>
    <xf numFmtId="0" fontId="128" fillId="0" borderId="0" xfId="0" applyFont="1" applyAlignment="1">
      <alignment vertical="center"/>
    </xf>
    <xf numFmtId="3" fontId="128" fillId="0" borderId="23" xfId="0" applyNumberFormat="1" applyFont="1" applyBorder="1" applyAlignment="1">
      <alignment horizontal="right" vertical="center"/>
    </xf>
    <xf numFmtId="0" fontId="128" fillId="0" borderId="18" xfId="0" applyFont="1" applyBorder="1" applyAlignment="1">
      <alignment horizontal="center" vertical="center"/>
    </xf>
    <xf numFmtId="0" fontId="128" fillId="0" borderId="24" xfId="0" applyFont="1" applyBorder="1" applyAlignment="1">
      <alignment horizontal="center" vertical="center"/>
    </xf>
    <xf numFmtId="0" fontId="128" fillId="0" borderId="24" xfId="0" applyFont="1" applyBorder="1" applyAlignment="1">
      <alignment horizontal="center" vertical="center" wrapText="1"/>
    </xf>
    <xf numFmtId="0" fontId="121" fillId="0" borderId="12" xfId="0" applyFont="1" applyBorder="1" applyAlignment="1">
      <alignment horizontal="center" vertical="center"/>
    </xf>
    <xf numFmtId="0" fontId="126" fillId="0" borderId="0" xfId="0" applyFont="1" applyBorder="1" applyAlignment="1">
      <alignment vertical="center" wrapText="1"/>
    </xf>
    <xf numFmtId="0" fontId="120" fillId="0" borderId="0" xfId="0" applyFont="1" applyAlignment="1">
      <alignment horizontal="right" vertical="center" wrapText="1"/>
    </xf>
    <xf numFmtId="0" fontId="120" fillId="0" borderId="0" xfId="0" applyFont="1" applyBorder="1" applyAlignment="1">
      <alignment horizontal="right" vertical="center" wrapText="1"/>
    </xf>
    <xf numFmtId="0" fontId="121" fillId="0" borderId="0" xfId="0" applyFont="1" applyAlignment="1">
      <alignment horizontal="center" vertical="center" wrapText="1"/>
    </xf>
    <xf numFmtId="0" fontId="122" fillId="0" borderId="0" xfId="0" applyFont="1" applyBorder="1" applyAlignment="1">
      <alignment horizontal="right" vertical="center" wrapText="1"/>
    </xf>
    <xf numFmtId="0" fontId="130" fillId="0" borderId="13" xfId="0" applyFont="1" applyBorder="1" applyAlignment="1">
      <alignment vertical="center" wrapText="1"/>
    </xf>
    <xf numFmtId="0" fontId="130" fillId="0" borderId="0" xfId="0" applyFont="1" applyBorder="1" applyAlignment="1">
      <alignment vertical="center" wrapText="1"/>
    </xf>
    <xf numFmtId="0" fontId="122" fillId="0" borderId="0" xfId="0" applyFont="1" applyAlignment="1">
      <alignment horizontal="right" vertical="center" wrapText="1"/>
    </xf>
    <xf numFmtId="0" fontId="131" fillId="0" borderId="0" xfId="0" applyFont="1" applyAlignment="1">
      <alignment vertical="center" wrapText="1"/>
    </xf>
    <xf numFmtId="0" fontId="130" fillId="0" borderId="0" xfId="0" applyFont="1" applyAlignment="1">
      <alignment vertical="center" wrapText="1"/>
    </xf>
    <xf numFmtId="0" fontId="121" fillId="0" borderId="0" xfId="0" applyFont="1" applyBorder="1" applyAlignment="1">
      <alignment horizontal="center" vertical="center" wrapText="1"/>
    </xf>
    <xf numFmtId="0" fontId="132" fillId="0" borderId="0" xfId="0" applyFont="1" applyAlignment="1">
      <alignment horizontal="justify" vertical="center"/>
    </xf>
    <xf numFmtId="0" fontId="133" fillId="0" borderId="0" xfId="0" applyFont="1" applyAlignment="1">
      <alignment/>
    </xf>
    <xf numFmtId="0" fontId="124" fillId="0" borderId="0" xfId="0" applyFont="1" applyAlignment="1">
      <alignment/>
    </xf>
    <xf numFmtId="0" fontId="124" fillId="0" borderId="0" xfId="0" applyFont="1" applyAlignment="1">
      <alignment/>
    </xf>
    <xf numFmtId="0" fontId="133" fillId="0" borderId="0" xfId="0" applyFont="1" applyAlignment="1">
      <alignment/>
    </xf>
    <xf numFmtId="0" fontId="12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32" fillId="0" borderId="0" xfId="0" applyFont="1" applyAlignment="1">
      <alignment horizontal="left" vertical="center"/>
    </xf>
    <xf numFmtId="0" fontId="132" fillId="0" borderId="0" xfId="0" applyFont="1" applyAlignment="1">
      <alignment vertical="center"/>
    </xf>
    <xf numFmtId="0" fontId="121" fillId="35" borderId="18" xfId="0" applyFont="1" applyFill="1" applyBorder="1" applyAlignment="1">
      <alignment horizontal="center" vertical="center" wrapText="1"/>
    </xf>
    <xf numFmtId="0" fontId="121" fillId="35" borderId="24" xfId="0" applyFont="1" applyFill="1" applyBorder="1" applyAlignment="1">
      <alignment horizontal="center" vertical="center" wrapText="1"/>
    </xf>
    <xf numFmtId="0" fontId="121" fillId="35" borderId="24" xfId="0" applyFont="1" applyFill="1" applyBorder="1" applyAlignment="1">
      <alignment horizontal="center" vertical="center"/>
    </xf>
    <xf numFmtId="0" fontId="120" fillId="0" borderId="21" xfId="0" applyFont="1" applyBorder="1" applyAlignment="1">
      <alignment vertical="center"/>
    </xf>
    <xf numFmtId="0" fontId="120" fillId="0" borderId="22" xfId="0" applyFont="1" applyBorder="1" applyAlignment="1">
      <alignment horizontal="center" vertical="center"/>
    </xf>
    <xf numFmtId="9" fontId="120" fillId="0" borderId="22" xfId="0" applyNumberFormat="1" applyFont="1" applyBorder="1" applyAlignment="1">
      <alignment horizontal="center" vertical="center"/>
    </xf>
    <xf numFmtId="0" fontId="132" fillId="0" borderId="0" xfId="0" applyFont="1" applyAlignment="1">
      <alignment horizontal="left" vertical="center"/>
    </xf>
    <xf numFmtId="0" fontId="132" fillId="0" borderId="0" xfId="0" applyFont="1" applyAlignment="1">
      <alignment/>
    </xf>
    <xf numFmtId="0" fontId="0" fillId="0" borderId="0" xfId="0" applyFill="1" applyBorder="1" applyAlignment="1">
      <alignment/>
    </xf>
    <xf numFmtId="0" fontId="119" fillId="0" borderId="0" xfId="0" applyFont="1" applyFill="1" applyBorder="1" applyAlignment="1">
      <alignment/>
    </xf>
    <xf numFmtId="0" fontId="121" fillId="0" borderId="0" xfId="0" applyFont="1" applyFill="1" applyBorder="1" applyAlignment="1">
      <alignment/>
    </xf>
    <xf numFmtId="3" fontId="121" fillId="0" borderId="0" xfId="0" applyNumberFormat="1" applyFont="1" applyFill="1" applyBorder="1" applyAlignment="1">
      <alignment/>
    </xf>
    <xf numFmtId="0" fontId="130" fillId="0" borderId="0" xfId="0" applyFont="1" applyAlignment="1">
      <alignment horizontal="right" vertical="center" wrapText="1"/>
    </xf>
    <xf numFmtId="0" fontId="120" fillId="0" borderId="13" xfId="0" applyFont="1" applyBorder="1" applyAlignment="1">
      <alignment vertical="center" wrapText="1"/>
    </xf>
    <xf numFmtId="41" fontId="121" fillId="0" borderId="14" xfId="52" applyFont="1" applyBorder="1" applyAlignment="1">
      <alignment horizontal="right" vertical="center" wrapText="1"/>
    </xf>
    <xf numFmtId="41" fontId="122" fillId="0" borderId="0" xfId="52" applyFont="1" applyAlignment="1">
      <alignment horizontal="right" vertical="center" wrapText="1"/>
    </xf>
    <xf numFmtId="41" fontId="120" fillId="0" borderId="12" xfId="52" applyFont="1" applyBorder="1" applyAlignment="1">
      <alignment horizontal="right" vertical="center" wrapText="1"/>
    </xf>
    <xf numFmtId="41" fontId="121" fillId="0" borderId="12" xfId="52" applyFont="1" applyBorder="1" applyAlignment="1">
      <alignment horizontal="right" vertical="center" wrapText="1"/>
    </xf>
    <xf numFmtId="41" fontId="121" fillId="0" borderId="16" xfId="52" applyFont="1" applyBorder="1" applyAlignment="1">
      <alignment horizontal="right" vertical="center" wrapText="1"/>
    </xf>
    <xf numFmtId="0" fontId="126" fillId="0" borderId="0" xfId="0" applyFont="1" applyBorder="1" applyAlignment="1">
      <alignment horizontal="center" vertical="center" wrapText="1"/>
    </xf>
    <xf numFmtId="0" fontId="107" fillId="0" borderId="0" xfId="0" applyFont="1" applyFill="1" applyAlignment="1">
      <alignment horizontal="center"/>
    </xf>
    <xf numFmtId="0" fontId="107" fillId="0" borderId="0" xfId="0" applyFont="1" applyFill="1" applyAlignment="1">
      <alignment/>
    </xf>
    <xf numFmtId="0" fontId="127" fillId="0" borderId="0" xfId="0" applyFont="1" applyFill="1" applyAlignment="1">
      <alignment horizontal="left" vertical="center"/>
    </xf>
    <xf numFmtId="41" fontId="120" fillId="0" borderId="0" xfId="52" applyFont="1" applyBorder="1" applyAlignment="1">
      <alignment horizontal="center" vertical="center" wrapText="1"/>
    </xf>
    <xf numFmtId="41" fontId="120" fillId="0" borderId="0" xfId="52" applyFont="1" applyBorder="1" applyAlignment="1">
      <alignment horizontal="right" vertical="center"/>
    </xf>
    <xf numFmtId="0" fontId="18" fillId="0" borderId="12" xfId="0" applyFont="1" applyFill="1" applyBorder="1" applyAlignment="1">
      <alignment horizontal="center" vertical="center" wrapText="1"/>
    </xf>
    <xf numFmtId="3" fontId="120" fillId="0" borderId="0" xfId="0" applyNumberFormat="1" applyFont="1" applyAlignment="1">
      <alignment vertical="center" wrapText="1"/>
    </xf>
    <xf numFmtId="0" fontId="120" fillId="0" borderId="0" xfId="0" applyFont="1" applyAlignment="1">
      <alignment horizontal="left" vertical="center" wrapText="1"/>
    </xf>
    <xf numFmtId="3" fontId="121" fillId="0" borderId="13" xfId="0" applyNumberFormat="1" applyFont="1" applyBorder="1" applyAlignment="1">
      <alignment vertical="center" wrapText="1"/>
    </xf>
    <xf numFmtId="0" fontId="133" fillId="0" borderId="0" xfId="0" applyFont="1" applyBorder="1" applyAlignment="1">
      <alignment vertical="center" wrapText="1"/>
    </xf>
    <xf numFmtId="0" fontId="0" fillId="0" borderId="0" xfId="0" applyAlignment="1">
      <alignment vertical="top" wrapText="1"/>
    </xf>
    <xf numFmtId="0" fontId="133" fillId="0" borderId="13" xfId="0" applyFont="1" applyBorder="1" applyAlignment="1">
      <alignment horizontal="right" vertical="center" wrapText="1"/>
    </xf>
    <xf numFmtId="0" fontId="133" fillId="0" borderId="0" xfId="0" applyFont="1" applyAlignment="1">
      <alignment vertical="center" wrapText="1"/>
    </xf>
    <xf numFmtId="3" fontId="133" fillId="0" borderId="13" xfId="0" applyNumberFormat="1" applyFont="1" applyBorder="1" applyAlignment="1">
      <alignment horizontal="right" vertical="center" wrapText="1"/>
    </xf>
    <xf numFmtId="0" fontId="134" fillId="0" borderId="0" xfId="0" applyFont="1" applyAlignment="1">
      <alignment vertical="center" wrapText="1"/>
    </xf>
    <xf numFmtId="3" fontId="126" fillId="0" borderId="0" xfId="0" applyNumberFormat="1" applyFont="1" applyAlignment="1">
      <alignment horizontal="right" vertical="center" wrapText="1"/>
    </xf>
    <xf numFmtId="3" fontId="133" fillId="0" borderId="13" xfId="0" applyNumberFormat="1" applyFont="1" applyBorder="1" applyAlignment="1">
      <alignment vertical="center" wrapText="1"/>
    </xf>
    <xf numFmtId="3" fontId="120" fillId="0" borderId="25" xfId="0" applyNumberFormat="1" applyFont="1" applyBorder="1" applyAlignment="1">
      <alignment horizontal="right" vertical="center" wrapText="1"/>
    </xf>
    <xf numFmtId="0" fontId="135" fillId="0" borderId="0" xfId="0" applyFont="1" applyBorder="1" applyAlignment="1">
      <alignment vertical="center" wrapText="1"/>
    </xf>
    <xf numFmtId="3" fontId="121" fillId="0" borderId="11" xfId="0" applyNumberFormat="1" applyFont="1" applyBorder="1" applyAlignment="1">
      <alignment vertical="center" wrapText="1"/>
    </xf>
    <xf numFmtId="3" fontId="125" fillId="0" borderId="11" xfId="0" applyNumberFormat="1" applyFont="1" applyBorder="1" applyAlignment="1">
      <alignment horizontal="right" vertical="center" wrapText="1"/>
    </xf>
    <xf numFmtId="0" fontId="136" fillId="0" borderId="0" xfId="0" applyFont="1" applyAlignment="1">
      <alignment/>
    </xf>
    <xf numFmtId="0" fontId="137" fillId="0" borderId="0" xfId="0" applyFont="1" applyBorder="1" applyAlignment="1">
      <alignment horizontal="center" vertical="center"/>
    </xf>
    <xf numFmtId="0" fontId="121" fillId="0" borderId="0" xfId="0" applyFont="1" applyBorder="1" applyAlignment="1">
      <alignment horizontal="right" vertical="center"/>
    </xf>
    <xf numFmtId="0" fontId="137" fillId="0" borderId="0" xfId="0" applyFont="1" applyBorder="1" applyAlignment="1">
      <alignment horizontal="right" vertical="center"/>
    </xf>
    <xf numFmtId="0" fontId="122" fillId="0" borderId="0" xfId="0" applyFont="1" applyAlignment="1">
      <alignment horizontal="center" vertical="center"/>
    </xf>
    <xf numFmtId="0" fontId="126" fillId="0" borderId="0" xfId="0" applyFont="1" applyAlignment="1">
      <alignment horizontal="right" vertical="center"/>
    </xf>
    <xf numFmtId="0" fontId="138" fillId="0" borderId="0" xfId="0" applyFont="1" applyAlignment="1">
      <alignment vertical="center"/>
    </xf>
    <xf numFmtId="0" fontId="120" fillId="0" borderId="12" xfId="0" applyFont="1" applyBorder="1" applyAlignment="1">
      <alignment vertical="center" wrapText="1"/>
    </xf>
    <xf numFmtId="0" fontId="128" fillId="0" borderId="16" xfId="0" applyFont="1" applyBorder="1" applyAlignment="1">
      <alignment vertical="center" wrapText="1"/>
    </xf>
    <xf numFmtId="0" fontId="28" fillId="36" borderId="0" xfId="87" applyFont="1" applyFill="1" applyBorder="1" applyAlignment="1">
      <alignment/>
      <protection/>
    </xf>
    <xf numFmtId="0" fontId="30" fillId="36" borderId="26" xfId="87" applyFont="1" applyFill="1" applyBorder="1" applyAlignment="1">
      <alignment horizontal="center"/>
      <protection/>
    </xf>
    <xf numFmtId="0" fontId="139" fillId="36" borderId="13" xfId="87" applyFont="1" applyFill="1" applyBorder="1" applyAlignment="1">
      <alignment/>
      <protection/>
    </xf>
    <xf numFmtId="0" fontId="139" fillId="36" borderId="27" xfId="87" applyFont="1" applyFill="1" applyBorder="1" applyAlignment="1">
      <alignment/>
      <protection/>
    </xf>
    <xf numFmtId="0" fontId="18" fillId="36" borderId="28" xfId="87" applyFont="1" applyFill="1" applyBorder="1" applyAlignment="1">
      <alignment/>
      <protection/>
    </xf>
    <xf numFmtId="0" fontId="18" fillId="36" borderId="29" xfId="87" applyFont="1" applyFill="1" applyBorder="1" applyAlignment="1">
      <alignment/>
      <protection/>
    </xf>
    <xf numFmtId="0" fontId="18" fillId="36" borderId="30" xfId="87" applyFont="1" applyFill="1" applyBorder="1" applyAlignment="1">
      <alignment/>
      <protection/>
    </xf>
    <xf numFmtId="0" fontId="32" fillId="36" borderId="31" xfId="87" applyFont="1" applyFill="1" applyBorder="1" applyAlignment="1">
      <alignment/>
      <protection/>
    </xf>
    <xf numFmtId="0" fontId="32" fillId="36" borderId="32" xfId="87" applyFont="1" applyFill="1" applyBorder="1" applyAlignment="1">
      <alignment/>
      <protection/>
    </xf>
    <xf numFmtId="0" fontId="18" fillId="36" borderId="31" xfId="87" applyFont="1" applyFill="1" applyBorder="1" applyAlignment="1">
      <alignment/>
      <protection/>
    </xf>
    <xf numFmtId="0" fontId="18" fillId="36" borderId="32" xfId="87" applyFont="1" applyFill="1" applyBorder="1" applyAlignment="1">
      <alignment/>
      <protection/>
    </xf>
    <xf numFmtId="0" fontId="18" fillId="36" borderId="31" xfId="87" applyFont="1" applyFill="1" applyBorder="1" applyAlignment="1">
      <alignment horizontal="left"/>
      <protection/>
    </xf>
    <xf numFmtId="0" fontId="18" fillId="36" borderId="32" xfId="87" applyFont="1" applyFill="1" applyBorder="1" applyAlignment="1">
      <alignment horizontal="left"/>
      <protection/>
    </xf>
    <xf numFmtId="0" fontId="18" fillId="36" borderId="33" xfId="87" applyFont="1" applyFill="1" applyBorder="1" applyAlignment="1">
      <alignment horizontal="left"/>
      <protection/>
    </xf>
    <xf numFmtId="0" fontId="18" fillId="36" borderId="17" xfId="87" applyFont="1" applyFill="1" applyBorder="1" applyAlignment="1">
      <alignment/>
      <protection/>
    </xf>
    <xf numFmtId="0" fontId="32" fillId="36" borderId="0" xfId="87" applyFont="1" applyFill="1">
      <alignment/>
      <protection/>
    </xf>
    <xf numFmtId="0" fontId="32" fillId="36" borderId="34" xfId="87" applyFont="1" applyFill="1" applyBorder="1" applyAlignment="1">
      <alignment/>
      <protection/>
    </xf>
    <xf numFmtId="0" fontId="32" fillId="36" borderId="12" xfId="87" applyFont="1" applyFill="1" applyBorder="1" applyAlignment="1">
      <alignment/>
      <protection/>
    </xf>
    <xf numFmtId="0" fontId="32" fillId="36" borderId="22" xfId="87" applyFont="1" applyFill="1" applyBorder="1" applyAlignment="1">
      <alignment/>
      <protection/>
    </xf>
    <xf numFmtId="0" fontId="32" fillId="36" borderId="28" xfId="87" applyFont="1" applyFill="1" applyBorder="1" applyAlignment="1">
      <alignment/>
      <protection/>
    </xf>
    <xf numFmtId="0" fontId="32" fillId="36" borderId="29" xfId="87" applyFont="1" applyFill="1" applyBorder="1" applyAlignment="1">
      <alignment/>
      <protection/>
    </xf>
    <xf numFmtId="0" fontId="32" fillId="36" borderId="35" xfId="87" applyFont="1" applyFill="1" applyBorder="1" applyAlignment="1">
      <alignment/>
      <protection/>
    </xf>
    <xf numFmtId="0" fontId="32" fillId="36" borderId="17" xfId="87" applyFont="1" applyFill="1" applyBorder="1" applyAlignment="1">
      <alignment/>
      <protection/>
    </xf>
    <xf numFmtId="0" fontId="33" fillId="36" borderId="31" xfId="87" applyFont="1" applyFill="1" applyBorder="1" applyAlignment="1">
      <alignment/>
      <protection/>
    </xf>
    <xf numFmtId="0" fontId="33" fillId="36" borderId="35" xfId="87" applyFont="1" applyFill="1" applyBorder="1" applyAlignment="1">
      <alignment/>
      <protection/>
    </xf>
    <xf numFmtId="0" fontId="18" fillId="36" borderId="36" xfId="87" applyFont="1" applyFill="1" applyBorder="1" applyAlignment="1">
      <alignment/>
      <protection/>
    </xf>
    <xf numFmtId="0" fontId="18" fillId="36" borderId="13" xfId="87" applyFont="1" applyFill="1" applyBorder="1" applyAlignment="1">
      <alignment/>
      <protection/>
    </xf>
    <xf numFmtId="0" fontId="18" fillId="36" borderId="27" xfId="87" applyFont="1" applyFill="1" applyBorder="1" applyAlignment="1">
      <alignment/>
      <protection/>
    </xf>
    <xf numFmtId="0" fontId="30" fillId="36" borderId="37" xfId="87" applyFont="1" applyFill="1" applyBorder="1" applyAlignment="1">
      <alignment horizontal="center" wrapText="1"/>
      <protection/>
    </xf>
    <xf numFmtId="41" fontId="32" fillId="36" borderId="26" xfId="52" applyFont="1" applyFill="1" applyBorder="1" applyAlignment="1">
      <alignment/>
    </xf>
    <xf numFmtId="41" fontId="32" fillId="36" borderId="32" xfId="52" applyFont="1" applyFill="1" applyBorder="1" applyAlignment="1">
      <alignment/>
    </xf>
    <xf numFmtId="41" fontId="18" fillId="36" borderId="26" xfId="52" applyFont="1" applyFill="1" applyBorder="1" applyAlignment="1">
      <alignment/>
    </xf>
    <xf numFmtId="41" fontId="18" fillId="36" borderId="32" xfId="52" applyFont="1" applyFill="1" applyBorder="1" applyAlignment="1">
      <alignment/>
    </xf>
    <xf numFmtId="41" fontId="18" fillId="36" borderId="29" xfId="52" applyFont="1" applyFill="1" applyBorder="1" applyAlignment="1">
      <alignment/>
    </xf>
    <xf numFmtId="9" fontId="32" fillId="36" borderId="26" xfId="52" applyNumberFormat="1" applyFont="1" applyFill="1" applyBorder="1" applyAlignment="1">
      <alignment/>
    </xf>
    <xf numFmtId="9" fontId="18" fillId="36" borderId="26" xfId="52" applyNumberFormat="1" applyFont="1" applyFill="1" applyBorder="1" applyAlignment="1">
      <alignment/>
    </xf>
    <xf numFmtId="41" fontId="121" fillId="0" borderId="0" xfId="52" applyFont="1" applyBorder="1" applyAlignment="1">
      <alignment vertical="center" wrapText="1"/>
    </xf>
    <xf numFmtId="0" fontId="126" fillId="0" borderId="0" xfId="0" applyFont="1" applyAlignment="1">
      <alignment horizontal="justify" vertical="center" wrapText="1"/>
    </xf>
    <xf numFmtId="0" fontId="126" fillId="0" borderId="0" xfId="0" applyFont="1" applyAlignment="1">
      <alignment/>
    </xf>
    <xf numFmtId="41" fontId="0" fillId="0" borderId="0" xfId="52" applyFont="1" applyBorder="1" applyAlignment="1">
      <alignment/>
    </xf>
    <xf numFmtId="41" fontId="121" fillId="0" borderId="11" xfId="52" applyFont="1" applyBorder="1" applyAlignment="1">
      <alignment vertical="center" wrapText="1"/>
    </xf>
    <xf numFmtId="41" fontId="121" fillId="0" borderId="0" xfId="52" applyFont="1" applyAlignment="1">
      <alignment horizontal="right" vertical="center" wrapText="1"/>
    </xf>
    <xf numFmtId="41" fontId="121" fillId="0" borderId="17" xfId="52" applyFont="1" applyBorder="1" applyAlignment="1">
      <alignment vertical="center" wrapText="1"/>
    </xf>
    <xf numFmtId="0" fontId="121" fillId="0" borderId="0" xfId="0" applyFont="1" applyBorder="1" applyAlignment="1">
      <alignment horizontal="justify" vertical="center" wrapText="1"/>
    </xf>
    <xf numFmtId="0" fontId="120" fillId="0" borderId="0" xfId="0" applyFont="1" applyAlignment="1">
      <alignment horizontal="right" vertical="center"/>
    </xf>
    <xf numFmtId="0" fontId="127" fillId="0" borderId="0" xfId="0" applyFont="1" applyFill="1" applyBorder="1" applyAlignment="1">
      <alignment horizontal="justify" vertical="center"/>
    </xf>
    <xf numFmtId="0" fontId="104" fillId="0" borderId="0" xfId="0" applyFont="1" applyFill="1" applyBorder="1" applyAlignment="1">
      <alignment/>
    </xf>
    <xf numFmtId="3" fontId="121" fillId="0" borderId="16" xfId="0" applyNumberFormat="1" applyFont="1" applyBorder="1" applyAlignment="1">
      <alignment vertical="center"/>
    </xf>
    <xf numFmtId="3" fontId="121" fillId="0" borderId="0" xfId="0" applyNumberFormat="1" applyFont="1" applyBorder="1" applyAlignment="1">
      <alignment vertical="center"/>
    </xf>
    <xf numFmtId="3" fontId="121" fillId="0" borderId="11" xfId="0" applyNumberFormat="1" applyFont="1" applyBorder="1" applyAlignment="1">
      <alignment vertical="center"/>
    </xf>
    <xf numFmtId="0" fontId="140" fillId="0" borderId="0" xfId="0" applyFont="1" applyFill="1" applyBorder="1" applyAlignment="1">
      <alignment horizontal="right" vertical="center" wrapText="1"/>
    </xf>
    <xf numFmtId="3" fontId="140" fillId="0" borderId="0" xfId="0" applyNumberFormat="1" applyFont="1" applyFill="1" applyBorder="1" applyAlignment="1">
      <alignment horizontal="right" vertical="center" wrapText="1"/>
    </xf>
    <xf numFmtId="0" fontId="128" fillId="37" borderId="38" xfId="0" applyFont="1" applyFill="1" applyBorder="1" applyAlignment="1">
      <alignment horizontal="center" vertical="center"/>
    </xf>
    <xf numFmtId="41" fontId="128" fillId="37" borderId="27" xfId="52" applyFont="1" applyFill="1" applyBorder="1" applyAlignment="1">
      <alignment horizontal="center" vertical="center"/>
    </xf>
    <xf numFmtId="0" fontId="128" fillId="37" borderId="27" xfId="0" applyFont="1" applyFill="1" applyBorder="1" applyAlignment="1">
      <alignment horizontal="center" vertical="center"/>
    </xf>
    <xf numFmtId="0" fontId="128" fillId="37" borderId="27" xfId="0" applyFont="1" applyFill="1" applyBorder="1" applyAlignment="1">
      <alignment horizontal="center" vertical="center" wrapText="1"/>
    </xf>
    <xf numFmtId="0" fontId="141" fillId="0" borderId="28" xfId="0" applyFont="1" applyBorder="1" applyAlignment="1">
      <alignment vertical="center"/>
    </xf>
    <xf numFmtId="41" fontId="141" fillId="0" borderId="39" xfId="52" applyFont="1" applyBorder="1" applyAlignment="1">
      <alignment horizontal="right" vertical="center"/>
    </xf>
    <xf numFmtId="0" fontId="141" fillId="0" borderId="29" xfId="0" applyFont="1" applyBorder="1" applyAlignment="1">
      <alignment horizontal="right" vertical="center"/>
    </xf>
    <xf numFmtId="0" fontId="141" fillId="0" borderId="40" xfId="0" applyFont="1" applyBorder="1" applyAlignment="1">
      <alignment horizontal="right" vertical="center"/>
    </xf>
    <xf numFmtId="0" fontId="141" fillId="0" borderId="31" xfId="0" applyFont="1" applyBorder="1" applyAlignment="1">
      <alignment vertical="center"/>
    </xf>
    <xf numFmtId="41" fontId="141" fillId="0" borderId="41" xfId="52" applyFont="1" applyBorder="1" applyAlignment="1">
      <alignment horizontal="right" vertical="center"/>
    </xf>
    <xf numFmtId="0" fontId="141" fillId="0" borderId="32" xfId="0" applyFont="1" applyBorder="1" applyAlignment="1">
      <alignment horizontal="right" vertical="center"/>
    </xf>
    <xf numFmtId="0" fontId="129" fillId="0" borderId="42" xfId="0" applyFont="1" applyBorder="1" applyAlignment="1">
      <alignment horizontal="right" vertical="center"/>
    </xf>
    <xf numFmtId="3" fontId="141" fillId="0" borderId="42" xfId="0" applyNumberFormat="1" applyFont="1" applyBorder="1" applyAlignment="1">
      <alignment horizontal="right" vertical="center"/>
    </xf>
    <xf numFmtId="3" fontId="141" fillId="0" borderId="32" xfId="0" applyNumberFormat="1" applyFont="1" applyBorder="1" applyAlignment="1">
      <alignment horizontal="right" vertical="center"/>
    </xf>
    <xf numFmtId="0" fontId="142" fillId="0" borderId="35" xfId="0" applyFont="1" applyBorder="1" applyAlignment="1">
      <alignment vertical="center"/>
    </xf>
    <xf numFmtId="41" fontId="142" fillId="0" borderId="43" xfId="52" applyFont="1" applyBorder="1" applyAlignment="1">
      <alignment horizontal="right" vertical="center"/>
    </xf>
    <xf numFmtId="3" fontId="142" fillId="0" borderId="17" xfId="0" applyNumberFormat="1" applyFont="1" applyBorder="1" applyAlignment="1">
      <alignment horizontal="right" vertical="center"/>
    </xf>
    <xf numFmtId="3" fontId="142" fillId="0" borderId="43" xfId="0" applyNumberFormat="1" applyFont="1" applyBorder="1" applyAlignment="1">
      <alignment vertical="center"/>
    </xf>
    <xf numFmtId="3" fontId="142" fillId="0" borderId="44" xfId="0" applyNumberFormat="1" applyFont="1" applyBorder="1" applyAlignment="1">
      <alignment vertical="center"/>
    </xf>
    <xf numFmtId="41" fontId="141" fillId="0" borderId="45" xfId="52" applyFont="1" applyBorder="1" applyAlignment="1">
      <alignment horizontal="left" vertical="center"/>
    </xf>
    <xf numFmtId="0" fontId="0" fillId="0" borderId="0" xfId="0" applyFont="1" applyFill="1" applyBorder="1" applyAlignment="1">
      <alignment/>
    </xf>
    <xf numFmtId="0" fontId="136" fillId="0" borderId="0" xfId="0" applyFont="1" applyFill="1" applyBorder="1" applyAlignment="1">
      <alignment horizontal="center" vertical="center"/>
    </xf>
    <xf numFmtId="0" fontId="136" fillId="0" borderId="0" xfId="0" applyFont="1" applyFill="1" applyBorder="1" applyAlignment="1">
      <alignment horizontal="center" vertical="center" wrapText="1"/>
    </xf>
    <xf numFmtId="0" fontId="136" fillId="0" borderId="0" xfId="0" applyFont="1" applyAlignment="1">
      <alignment horizontal="left" vertical="center"/>
    </xf>
    <xf numFmtId="0" fontId="125" fillId="0" borderId="0" xfId="0" applyFont="1" applyFill="1" applyBorder="1" applyAlignment="1">
      <alignment horizontal="center" vertical="center"/>
    </xf>
    <xf numFmtId="0" fontId="143" fillId="0" borderId="0" xfId="0" applyFont="1" applyAlignment="1">
      <alignment/>
    </xf>
    <xf numFmtId="0" fontId="120" fillId="0" borderId="0" xfId="0" applyFont="1" applyBorder="1" applyAlignment="1">
      <alignment vertical="center"/>
    </xf>
    <xf numFmtId="0" fontId="121" fillId="0" borderId="0" xfId="0" applyFont="1" applyBorder="1" applyAlignment="1">
      <alignment vertical="center"/>
    </xf>
    <xf numFmtId="0" fontId="144" fillId="0" borderId="0" xfId="0" applyFont="1" applyAlignment="1">
      <alignment/>
    </xf>
    <xf numFmtId="0" fontId="145" fillId="0" borderId="0" xfId="0" applyFont="1" applyAlignment="1">
      <alignment/>
    </xf>
    <xf numFmtId="0" fontId="146" fillId="0" borderId="0" xfId="0" applyFont="1" applyAlignment="1">
      <alignment horizontal="center" vertical="center"/>
    </xf>
    <xf numFmtId="0" fontId="137" fillId="0" borderId="12" xfId="0" applyFont="1" applyBorder="1" applyAlignment="1">
      <alignment horizontal="center" vertical="center"/>
    </xf>
    <xf numFmtId="0" fontId="137" fillId="0" borderId="0" xfId="0" applyFont="1" applyAlignment="1">
      <alignment vertical="center"/>
    </xf>
    <xf numFmtId="0" fontId="147" fillId="0" borderId="0" xfId="0" applyFont="1" applyAlignment="1">
      <alignment vertical="center"/>
    </xf>
    <xf numFmtId="3" fontId="147" fillId="0" borderId="0" xfId="0" applyNumberFormat="1" applyFont="1" applyAlignment="1">
      <alignment horizontal="right" vertical="center"/>
    </xf>
    <xf numFmtId="0" fontId="137" fillId="0" borderId="12" xfId="0" applyFont="1" applyBorder="1" applyAlignment="1">
      <alignment vertical="center"/>
    </xf>
    <xf numFmtId="3" fontId="148" fillId="0" borderId="0" xfId="0" applyNumberFormat="1" applyFont="1" applyAlignment="1">
      <alignment horizontal="right" vertical="center"/>
    </xf>
    <xf numFmtId="3" fontId="137" fillId="0" borderId="0" xfId="0" applyNumberFormat="1" applyFont="1" applyAlignment="1">
      <alignment horizontal="right" vertical="center"/>
    </xf>
    <xf numFmtId="0" fontId="147" fillId="0" borderId="0" xfId="0" applyFont="1" applyAlignment="1">
      <alignment horizontal="right" vertical="center"/>
    </xf>
    <xf numFmtId="3" fontId="137" fillId="0" borderId="12" xfId="0" applyNumberFormat="1" applyFont="1" applyBorder="1" applyAlignment="1">
      <alignment horizontal="right" vertical="center"/>
    </xf>
    <xf numFmtId="3" fontId="147" fillId="0" borderId="13" xfId="0" applyNumberFormat="1" applyFont="1" applyBorder="1" applyAlignment="1">
      <alignment vertical="center"/>
    </xf>
    <xf numFmtId="3" fontId="120" fillId="0" borderId="0" xfId="0" applyNumberFormat="1" applyFont="1" applyAlignment="1">
      <alignment vertical="center"/>
    </xf>
    <xf numFmtId="3" fontId="120" fillId="0" borderId="12" xfId="0" applyNumberFormat="1" applyFont="1" applyBorder="1" applyAlignment="1">
      <alignment vertical="center"/>
    </xf>
    <xf numFmtId="3" fontId="121" fillId="0" borderId="12" xfId="0" applyNumberFormat="1" applyFont="1" applyBorder="1" applyAlignment="1">
      <alignment vertical="center"/>
    </xf>
    <xf numFmtId="0" fontId="143" fillId="0" borderId="0" xfId="0" applyFont="1" applyAlignment="1">
      <alignment horizontal="left" vertical="center"/>
    </xf>
    <xf numFmtId="0" fontId="120" fillId="0" borderId="0" xfId="0" applyFont="1" applyBorder="1" applyAlignment="1">
      <alignment horizontal="center" vertical="center"/>
    </xf>
    <xf numFmtId="0" fontId="144" fillId="0" borderId="0" xfId="0" applyFont="1" applyAlignment="1">
      <alignment horizontal="left" vertical="center"/>
    </xf>
    <xf numFmtId="3" fontId="129" fillId="0" borderId="0" xfId="0" applyNumberFormat="1" applyFont="1" applyAlignment="1">
      <alignment horizontal="right" vertical="center" wrapText="1"/>
    </xf>
    <xf numFmtId="3" fontId="121" fillId="0" borderId="13" xfId="0" applyNumberFormat="1" applyFont="1" applyBorder="1" applyAlignment="1">
      <alignment vertical="center"/>
    </xf>
    <xf numFmtId="3" fontId="128" fillId="0" borderId="16" xfId="0" applyNumberFormat="1" applyFont="1" applyBorder="1" applyAlignment="1">
      <alignment vertical="center" wrapText="1"/>
    </xf>
    <xf numFmtId="0" fontId="137" fillId="0" borderId="18" xfId="0" applyFont="1" applyBorder="1" applyAlignment="1">
      <alignment horizontal="center" vertical="center" wrapText="1"/>
    </xf>
    <xf numFmtId="0" fontId="137" fillId="0" borderId="24" xfId="0" applyFont="1" applyBorder="1" applyAlignment="1">
      <alignment horizontal="center" vertical="center" wrapText="1"/>
    </xf>
    <xf numFmtId="0" fontId="147" fillId="0" borderId="21" xfId="0" applyFont="1" applyBorder="1" applyAlignment="1">
      <alignment vertical="center" wrapText="1"/>
    </xf>
    <xf numFmtId="0" fontId="137" fillId="0" borderId="21" xfId="0" applyFont="1" applyBorder="1" applyAlignment="1">
      <alignment vertical="center"/>
    </xf>
    <xf numFmtId="0" fontId="137" fillId="0" borderId="22" xfId="0" applyFont="1" applyBorder="1" applyAlignment="1">
      <alignment vertical="center"/>
    </xf>
    <xf numFmtId="41" fontId="147" fillId="0" borderId="22" xfId="52" applyFont="1" applyBorder="1" applyAlignment="1">
      <alignment vertical="center" wrapText="1"/>
    </xf>
    <xf numFmtId="41" fontId="137" fillId="0" borderId="22" xfId="52" applyFont="1" applyBorder="1" applyAlignment="1">
      <alignment vertical="center"/>
    </xf>
    <xf numFmtId="41" fontId="147" fillId="0" borderId="22" xfId="0" applyNumberFormat="1" applyFont="1" applyBorder="1" applyAlignment="1">
      <alignment vertical="center" wrapText="1"/>
    </xf>
    <xf numFmtId="41" fontId="147" fillId="0" borderId="22" xfId="52" applyFont="1" applyBorder="1" applyAlignment="1">
      <alignment vertical="center"/>
    </xf>
    <xf numFmtId="41" fontId="147" fillId="0" borderId="22" xfId="0" applyNumberFormat="1" applyFont="1" applyBorder="1" applyAlignment="1">
      <alignment vertical="center"/>
    </xf>
    <xf numFmtId="0" fontId="120" fillId="0" borderId="0" xfId="0" applyFont="1" applyAlignment="1">
      <alignment/>
    </xf>
    <xf numFmtId="0" fontId="149" fillId="0" borderId="0" xfId="0" applyFont="1" applyBorder="1" applyAlignment="1">
      <alignment/>
    </xf>
    <xf numFmtId="0" fontId="120" fillId="0" borderId="0" xfId="0" applyFont="1" applyAlignment="1">
      <alignment horizontal="left" vertical="center"/>
    </xf>
    <xf numFmtId="0" fontId="149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28" fillId="34" borderId="24" xfId="0" applyFont="1" applyFill="1" applyBorder="1" applyAlignment="1">
      <alignment horizontal="center" vertical="center" wrapText="1"/>
    </xf>
    <xf numFmtId="0" fontId="128" fillId="38" borderId="21" xfId="0" applyFont="1" applyFill="1" applyBorder="1" applyAlignment="1">
      <alignment horizontal="center" vertical="center"/>
    </xf>
    <xf numFmtId="0" fontId="128" fillId="38" borderId="22" xfId="0" applyFont="1" applyFill="1" applyBorder="1" applyAlignment="1">
      <alignment horizontal="center" vertical="center" wrapText="1"/>
    </xf>
    <xf numFmtId="0" fontId="131" fillId="0" borderId="0" xfId="0" applyFont="1" applyAlignment="1">
      <alignment vertical="top" wrapText="1"/>
    </xf>
    <xf numFmtId="0" fontId="150" fillId="0" borderId="20" xfId="0" applyFont="1" applyBorder="1" applyAlignment="1">
      <alignment vertical="center" wrapText="1"/>
    </xf>
    <xf numFmtId="0" fontId="150" fillId="0" borderId="22" xfId="0" applyFont="1" applyBorder="1" applyAlignment="1">
      <alignment vertical="center" wrapText="1"/>
    </xf>
    <xf numFmtId="0" fontId="137" fillId="0" borderId="18" xfId="0" applyFont="1" applyBorder="1" applyAlignment="1">
      <alignment vertical="center"/>
    </xf>
    <xf numFmtId="0" fontId="137" fillId="0" borderId="24" xfId="0" applyFont="1" applyBorder="1" applyAlignment="1">
      <alignment vertical="center"/>
    </xf>
    <xf numFmtId="0" fontId="147" fillId="0" borderId="19" xfId="0" applyFont="1" applyBorder="1" applyAlignment="1">
      <alignment vertical="center"/>
    </xf>
    <xf numFmtId="3" fontId="147" fillId="0" borderId="20" xfId="0" applyNumberFormat="1" applyFont="1" applyBorder="1" applyAlignment="1">
      <alignment horizontal="right" vertical="center" wrapText="1"/>
    </xf>
    <xf numFmtId="0" fontId="147" fillId="0" borderId="21" xfId="0" applyFont="1" applyBorder="1" applyAlignment="1">
      <alignment vertical="center"/>
    </xf>
    <xf numFmtId="3" fontId="147" fillId="0" borderId="22" xfId="0" applyNumberFormat="1" applyFont="1" applyBorder="1" applyAlignment="1">
      <alignment horizontal="right" vertical="center" wrapText="1"/>
    </xf>
    <xf numFmtId="0" fontId="137" fillId="0" borderId="20" xfId="0" applyFont="1" applyBorder="1" applyAlignment="1">
      <alignment horizontal="right" vertical="center" wrapText="1"/>
    </xf>
    <xf numFmtId="3" fontId="137" fillId="0" borderId="22" xfId="0" applyNumberFormat="1" applyFont="1" applyBorder="1" applyAlignment="1">
      <alignment horizontal="right" vertical="center" wrapText="1"/>
    </xf>
    <xf numFmtId="3" fontId="137" fillId="0" borderId="38" xfId="0" applyNumberFormat="1" applyFont="1" applyBorder="1" applyAlignment="1">
      <alignment vertical="center" wrapText="1"/>
    </xf>
    <xf numFmtId="41" fontId="137" fillId="0" borderId="21" xfId="52" applyFont="1" applyBorder="1" applyAlignment="1">
      <alignment vertical="center" wrapText="1"/>
    </xf>
    <xf numFmtId="41" fontId="147" fillId="0" borderId="20" xfId="52" applyFont="1" applyBorder="1" applyAlignment="1">
      <alignment horizontal="right" vertical="center" wrapText="1"/>
    </xf>
    <xf numFmtId="41" fontId="147" fillId="0" borderId="22" xfId="52" applyFont="1" applyBorder="1" applyAlignment="1">
      <alignment horizontal="right" vertical="center" wrapText="1"/>
    </xf>
    <xf numFmtId="0" fontId="121" fillId="0" borderId="0" xfId="0" applyFont="1" applyAlignment="1">
      <alignment horizontal="center" vertical="center"/>
    </xf>
    <xf numFmtId="9" fontId="147" fillId="0" borderId="0" xfId="0" applyNumberFormat="1" applyFont="1" applyAlignment="1">
      <alignment horizontal="center" vertical="center"/>
    </xf>
    <xf numFmtId="0" fontId="147" fillId="0" borderId="0" xfId="0" applyFont="1" applyAlignment="1">
      <alignment horizontal="center" vertical="center"/>
    </xf>
    <xf numFmtId="9" fontId="137" fillId="0" borderId="15" xfId="0" applyNumberFormat="1" applyFont="1" applyBorder="1" applyAlignment="1">
      <alignment horizontal="center" vertical="center"/>
    </xf>
    <xf numFmtId="0" fontId="0" fillId="0" borderId="0" xfId="0" applyAlignment="1">
      <alignment/>
    </xf>
    <xf numFmtId="0" fontId="128" fillId="0" borderId="0" xfId="0" applyFont="1" applyBorder="1" applyAlignment="1">
      <alignment horizontal="center" vertical="center"/>
    </xf>
    <xf numFmtId="0" fontId="129" fillId="0" borderId="0" xfId="0" applyFont="1" applyBorder="1" applyAlignment="1">
      <alignment vertical="center"/>
    </xf>
    <xf numFmtId="0" fontId="128" fillId="0" borderId="0" xfId="0" applyFont="1" applyBorder="1" applyAlignment="1">
      <alignment vertical="center"/>
    </xf>
    <xf numFmtId="0" fontId="132" fillId="0" borderId="0" xfId="0" applyFont="1" applyAlignment="1">
      <alignment horizontal="left" vertical="top"/>
    </xf>
    <xf numFmtId="0" fontId="125" fillId="0" borderId="0" xfId="0" applyFont="1" applyAlignment="1">
      <alignment vertical="center"/>
    </xf>
    <xf numFmtId="0" fontId="125" fillId="0" borderId="0" xfId="0" applyFont="1" applyAlignment="1">
      <alignment horizontal="left" vertical="center"/>
    </xf>
    <xf numFmtId="0" fontId="125" fillId="0" borderId="0" xfId="0" applyFont="1" applyAlignment="1">
      <alignment horizontal="center" vertical="center"/>
    </xf>
    <xf numFmtId="0" fontId="41" fillId="36" borderId="0" xfId="87" applyFont="1" applyFill="1" applyBorder="1" applyAlignment="1">
      <alignment/>
      <protection/>
    </xf>
    <xf numFmtId="0" fontId="136" fillId="0" borderId="0" xfId="0" applyFont="1" applyBorder="1" applyAlignment="1">
      <alignment/>
    </xf>
    <xf numFmtId="0" fontId="151" fillId="0" borderId="0" xfId="0" applyFont="1" applyFill="1" applyAlignment="1">
      <alignment horizontal="left" vertical="center"/>
    </xf>
    <xf numFmtId="165" fontId="44" fillId="0" borderId="0" xfId="85" applyFont="1" applyBorder="1" applyAlignment="1" applyProtection="1">
      <alignment horizontal="center"/>
      <protection/>
    </xf>
    <xf numFmtId="165" fontId="43" fillId="0" borderId="0" xfId="85" applyFont="1" applyBorder="1">
      <alignment/>
      <protection/>
    </xf>
    <xf numFmtId="165" fontId="46" fillId="0" borderId="0" xfId="85" applyFont="1" applyBorder="1" applyAlignment="1" applyProtection="1">
      <alignment horizontal="center"/>
      <protection/>
    </xf>
    <xf numFmtId="165" fontId="28" fillId="0" borderId="0" xfId="85" applyFont="1" applyBorder="1" applyAlignment="1" applyProtection="1">
      <alignment horizontal="left"/>
      <protection/>
    </xf>
    <xf numFmtId="165" fontId="45" fillId="0" borderId="0" xfId="85" applyFont="1" applyBorder="1">
      <alignment/>
      <protection/>
    </xf>
    <xf numFmtId="165" fontId="46" fillId="0" borderId="46" xfId="85" applyFont="1" applyBorder="1" applyAlignment="1" applyProtection="1">
      <alignment horizontal="center"/>
      <protection/>
    </xf>
    <xf numFmtId="165" fontId="48" fillId="0" borderId="0" xfId="85" applyFont="1" applyBorder="1">
      <alignment/>
      <protection/>
    </xf>
    <xf numFmtId="165" fontId="152" fillId="0" borderId="0" xfId="85" applyFont="1" applyBorder="1">
      <alignment/>
      <protection/>
    </xf>
    <xf numFmtId="165" fontId="46" fillId="0" borderId="0" xfId="85" applyFont="1" applyBorder="1" applyAlignment="1" applyProtection="1">
      <alignment horizontal="left"/>
      <protection/>
    </xf>
    <xf numFmtId="166" fontId="45" fillId="0" borderId="0" xfId="85" applyNumberFormat="1" applyFont="1" applyBorder="1" applyProtection="1">
      <alignment/>
      <protection/>
    </xf>
    <xf numFmtId="166" fontId="152" fillId="0" borderId="0" xfId="85" applyNumberFormat="1" applyFont="1" applyBorder="1" applyProtection="1">
      <alignment/>
      <protection/>
    </xf>
    <xf numFmtId="165" fontId="45" fillId="0" borderId="0" xfId="85" applyFont="1" applyBorder="1" applyAlignment="1" applyProtection="1">
      <alignment horizontal="left"/>
      <protection/>
    </xf>
    <xf numFmtId="166" fontId="45" fillId="0" borderId="0" xfId="85" applyNumberFormat="1" applyFont="1" applyBorder="1" applyAlignment="1" applyProtection="1">
      <alignment horizontal="justify"/>
      <protection/>
    </xf>
    <xf numFmtId="167" fontId="153" fillId="0" borderId="0" xfId="85" applyNumberFormat="1" applyFont="1" applyBorder="1" applyAlignment="1" applyProtection="1">
      <alignment/>
      <protection/>
    </xf>
    <xf numFmtId="167" fontId="45" fillId="0" borderId="0" xfId="85" applyNumberFormat="1" applyFont="1" applyBorder="1" applyAlignment="1" applyProtection="1">
      <alignment/>
      <protection/>
    </xf>
    <xf numFmtId="165" fontId="45" fillId="0" borderId="0" xfId="85" applyFont="1" applyBorder="1" applyAlignment="1">
      <alignment horizontal="justify"/>
      <protection/>
    </xf>
    <xf numFmtId="167" fontId="139" fillId="0" borderId="47" xfId="85" applyNumberFormat="1" applyFont="1" applyFill="1" applyBorder="1" applyAlignment="1" applyProtection="1">
      <alignment/>
      <protection/>
    </xf>
    <xf numFmtId="167" fontId="47" fillId="0" borderId="47" xfId="85" applyNumberFormat="1" applyFont="1" applyFill="1" applyBorder="1" applyAlignment="1" applyProtection="1">
      <alignment/>
      <protection/>
    </xf>
    <xf numFmtId="167" fontId="152" fillId="0" borderId="0" xfId="85" applyNumberFormat="1" applyFont="1" applyFill="1" applyBorder="1" applyAlignment="1" applyProtection="1">
      <alignment/>
      <protection/>
    </xf>
    <xf numFmtId="167" fontId="45" fillId="0" borderId="0" xfId="85" applyNumberFormat="1" applyFont="1" applyFill="1" applyBorder="1" applyAlignment="1" applyProtection="1">
      <alignment/>
      <protection/>
    </xf>
    <xf numFmtId="167" fontId="45" fillId="0" borderId="0" xfId="85" applyNumberFormat="1" applyFont="1" applyBorder="1" applyAlignment="1">
      <alignment/>
      <protection/>
    </xf>
    <xf numFmtId="167" fontId="47" fillId="0" borderId="0" xfId="85" applyNumberFormat="1" applyFont="1" applyFill="1" applyBorder="1" applyAlignment="1" applyProtection="1">
      <alignment/>
      <protection/>
    </xf>
    <xf numFmtId="0" fontId="46" fillId="0" borderId="0" xfId="85" applyNumberFormat="1" applyFont="1" applyBorder="1" applyAlignment="1" applyProtection="1">
      <alignment horizontal="left"/>
      <protection/>
    </xf>
    <xf numFmtId="166" fontId="51" fillId="0" borderId="0" xfId="85" applyNumberFormat="1" applyFont="1" applyBorder="1" applyProtection="1">
      <alignment/>
      <protection/>
    </xf>
    <xf numFmtId="167" fontId="154" fillId="0" borderId="0" xfId="85" applyNumberFormat="1" applyFont="1" applyFill="1" applyBorder="1" applyAlignment="1" applyProtection="1">
      <alignment/>
      <protection/>
    </xf>
    <xf numFmtId="167" fontId="51" fillId="0" borderId="0" xfId="85" applyNumberFormat="1" applyFont="1" applyFill="1" applyBorder="1" applyAlignment="1" applyProtection="1">
      <alignment/>
      <protection/>
    </xf>
    <xf numFmtId="167" fontId="51" fillId="0" borderId="0" xfId="85" applyNumberFormat="1" applyFont="1" applyBorder="1" applyAlignment="1">
      <alignment/>
      <protection/>
    </xf>
    <xf numFmtId="0" fontId="45" fillId="0" borderId="0" xfId="85" applyNumberFormat="1" applyFont="1" applyBorder="1" applyAlignment="1" applyProtection="1">
      <alignment horizontal="left"/>
      <protection/>
    </xf>
    <xf numFmtId="167" fontId="51" fillId="0" borderId="0" xfId="85" applyNumberFormat="1" applyFont="1" applyBorder="1" applyAlignment="1" applyProtection="1">
      <alignment/>
      <protection/>
    </xf>
    <xf numFmtId="165" fontId="51" fillId="0" borderId="0" xfId="85" applyFont="1" applyBorder="1">
      <alignment/>
      <protection/>
    </xf>
    <xf numFmtId="167" fontId="40" fillId="0" borderId="0" xfId="85" applyNumberFormat="1" applyFont="1" applyFill="1" applyBorder="1" applyAlignment="1" applyProtection="1">
      <alignment/>
      <protection/>
    </xf>
    <xf numFmtId="167" fontId="40" fillId="0" borderId="47" xfId="85" applyNumberFormat="1" applyFont="1" applyFill="1" applyBorder="1" applyAlignment="1" applyProtection="1">
      <alignment/>
      <protection/>
    </xf>
    <xf numFmtId="167" fontId="152" fillId="0" borderId="0" xfId="85" applyNumberFormat="1" applyFont="1" applyFill="1" applyBorder="1" applyAlignment="1">
      <alignment/>
      <protection/>
    </xf>
    <xf numFmtId="167" fontId="45" fillId="0" borderId="0" xfId="85" applyNumberFormat="1" applyFont="1" applyFill="1" applyBorder="1" applyAlignment="1">
      <alignment/>
      <protection/>
    </xf>
    <xf numFmtId="167" fontId="139" fillId="0" borderId="48" xfId="85" applyNumberFormat="1" applyFont="1" applyFill="1" applyBorder="1" applyAlignment="1" applyProtection="1">
      <alignment/>
      <protection/>
    </xf>
    <xf numFmtId="167" fontId="47" fillId="0" borderId="46" xfId="85" applyNumberFormat="1" applyFont="1" applyFill="1" applyBorder="1" applyAlignment="1" applyProtection="1">
      <alignment/>
      <protection/>
    </xf>
    <xf numFmtId="165" fontId="53" fillId="0" borderId="0" xfId="85" applyFont="1" applyBorder="1">
      <alignment/>
      <protection/>
    </xf>
    <xf numFmtId="165" fontId="54" fillId="0" borderId="0" xfId="85" applyFont="1" applyBorder="1">
      <alignment/>
      <protection/>
    </xf>
    <xf numFmtId="165" fontId="155" fillId="0" borderId="0" xfId="85" applyFont="1" applyBorder="1">
      <alignment/>
      <protection/>
    </xf>
    <xf numFmtId="165" fontId="156" fillId="0" borderId="0" xfId="85" applyFont="1" applyBorder="1">
      <alignment/>
      <protection/>
    </xf>
    <xf numFmtId="165" fontId="157" fillId="0" borderId="0" xfId="85" applyFont="1" applyBorder="1">
      <alignment/>
      <protection/>
    </xf>
    <xf numFmtId="167" fontId="54" fillId="0" borderId="0" xfId="85" applyNumberFormat="1" applyFont="1" applyBorder="1" applyAlignment="1">
      <alignment/>
      <protection/>
    </xf>
    <xf numFmtId="167" fontId="155" fillId="0" borderId="0" xfId="85" applyNumberFormat="1" applyFont="1" applyFill="1" applyBorder="1" applyAlignment="1">
      <alignment/>
      <protection/>
    </xf>
    <xf numFmtId="167" fontId="158" fillId="0" borderId="0" xfId="85" applyNumberFormat="1" applyFont="1" applyFill="1" applyBorder="1" applyAlignment="1">
      <alignment/>
      <protection/>
    </xf>
    <xf numFmtId="165" fontId="159" fillId="0" borderId="0" xfId="85" applyFont="1" applyBorder="1" applyAlignment="1" applyProtection="1">
      <alignment horizontal="center"/>
      <protection/>
    </xf>
    <xf numFmtId="167" fontId="160" fillId="0" borderId="0" xfId="85" applyNumberFormat="1" applyFont="1" applyFill="1" applyBorder="1" applyAlignment="1" applyProtection="1">
      <alignment/>
      <protection/>
    </xf>
    <xf numFmtId="165" fontId="45" fillId="0" borderId="0" xfId="85" applyFont="1" applyBorder="1" applyAlignment="1" applyProtection="1">
      <alignment/>
      <protection/>
    </xf>
    <xf numFmtId="167" fontId="45" fillId="0" borderId="0" xfId="85" applyNumberFormat="1" applyFont="1" applyBorder="1" applyAlignment="1" applyProtection="1">
      <alignment horizontal="center"/>
      <protection/>
    </xf>
    <xf numFmtId="167" fontId="45" fillId="0" borderId="0" xfId="85" applyNumberFormat="1" applyFont="1" applyBorder="1" applyAlignment="1" applyProtection="1">
      <alignment horizontal="right"/>
      <protection/>
    </xf>
    <xf numFmtId="3" fontId="139" fillId="0" borderId="47" xfId="85" applyNumberFormat="1" applyFont="1" applyFill="1" applyBorder="1" applyAlignment="1" applyProtection="1">
      <alignment/>
      <protection/>
    </xf>
    <xf numFmtId="3" fontId="47" fillId="0" borderId="0" xfId="85" applyNumberFormat="1" applyFont="1" applyFill="1" applyBorder="1" applyAlignment="1" applyProtection="1">
      <alignment/>
      <protection/>
    </xf>
    <xf numFmtId="3" fontId="47" fillId="0" borderId="47" xfId="85" applyNumberFormat="1" applyFont="1" applyFill="1" applyBorder="1" applyAlignment="1" applyProtection="1">
      <alignment/>
      <protection/>
    </xf>
    <xf numFmtId="3" fontId="139" fillId="0" borderId="0" xfId="85" applyNumberFormat="1" applyFont="1" applyFill="1" applyBorder="1" applyAlignment="1" applyProtection="1">
      <alignment/>
      <protection/>
    </xf>
    <xf numFmtId="3" fontId="153" fillId="0" borderId="0" xfId="85" applyNumberFormat="1" applyFont="1" applyFill="1" applyBorder="1" applyAlignment="1" applyProtection="1">
      <alignment/>
      <protection/>
    </xf>
    <xf numFmtId="3" fontId="139" fillId="0" borderId="32" xfId="85" applyNumberFormat="1" applyFont="1" applyFill="1" applyBorder="1" applyAlignment="1" applyProtection="1">
      <alignment/>
      <protection/>
    </xf>
    <xf numFmtId="167" fontId="139" fillId="0" borderId="49" xfId="85" applyNumberFormat="1" applyFont="1" applyBorder="1" applyAlignment="1" applyProtection="1">
      <alignment/>
      <protection/>
    </xf>
    <xf numFmtId="167" fontId="47" fillId="0" borderId="0" xfId="85" applyNumberFormat="1" applyFont="1" applyBorder="1" applyAlignment="1" applyProtection="1">
      <alignment/>
      <protection/>
    </xf>
    <xf numFmtId="167" fontId="47" fillId="0" borderId="49" xfId="85" applyNumberFormat="1" applyFont="1" applyBorder="1" applyAlignment="1" applyProtection="1">
      <alignment/>
      <protection/>
    </xf>
    <xf numFmtId="167" fontId="156" fillId="0" borderId="0" xfId="85" applyNumberFormat="1" applyFont="1" applyBorder="1" applyAlignment="1">
      <alignment/>
      <protection/>
    </xf>
    <xf numFmtId="167" fontId="156" fillId="0" borderId="0" xfId="85" applyNumberFormat="1" applyFont="1" applyFill="1" applyBorder="1" applyAlignment="1">
      <alignment/>
      <protection/>
    </xf>
    <xf numFmtId="165" fontId="48" fillId="0" borderId="0" xfId="85" applyFont="1" applyBorder="1" applyAlignment="1" applyProtection="1">
      <alignment horizontal="center"/>
      <protection/>
    </xf>
    <xf numFmtId="165" fontId="161" fillId="0" borderId="0" xfId="85" applyFont="1" applyBorder="1" applyAlignment="1" applyProtection="1">
      <alignment horizontal="center"/>
      <protection/>
    </xf>
    <xf numFmtId="165" fontId="46" fillId="0" borderId="0" xfId="85" applyFont="1" applyBorder="1" applyAlignment="1">
      <alignment horizontal="left"/>
      <protection/>
    </xf>
    <xf numFmtId="165" fontId="45" fillId="0" borderId="0" xfId="85" applyFont="1" applyBorder="1" applyAlignment="1">
      <alignment horizontal="left"/>
      <protection/>
    </xf>
    <xf numFmtId="167" fontId="153" fillId="0" borderId="0" xfId="85" applyNumberFormat="1" applyFont="1" applyFill="1" applyBorder="1" applyAlignment="1" applyProtection="1">
      <alignment/>
      <protection/>
    </xf>
    <xf numFmtId="165" fontId="45" fillId="0" borderId="0" xfId="85" applyFont="1" applyBorder="1" applyAlignment="1">
      <alignment/>
      <protection/>
    </xf>
    <xf numFmtId="0" fontId="45" fillId="0" borderId="0" xfId="85" applyNumberFormat="1" applyFont="1" applyBorder="1" applyAlignment="1" applyProtection="1">
      <alignment/>
      <protection/>
    </xf>
    <xf numFmtId="167" fontId="153" fillId="0" borderId="0" xfId="85" applyNumberFormat="1" applyFont="1" applyFill="1" applyBorder="1" applyAlignment="1" applyProtection="1">
      <alignment horizontal="right"/>
      <protection/>
    </xf>
    <xf numFmtId="165" fontId="34" fillId="0" borderId="0" xfId="85" applyFont="1" applyBorder="1" applyAlignment="1" applyProtection="1">
      <alignment horizontal="left"/>
      <protection/>
    </xf>
    <xf numFmtId="167" fontId="139" fillId="0" borderId="47" xfId="85" applyNumberFormat="1" applyFont="1" applyBorder="1" applyAlignment="1" applyProtection="1">
      <alignment/>
      <protection/>
    </xf>
    <xf numFmtId="167" fontId="47" fillId="0" borderId="47" xfId="85" applyNumberFormat="1" applyFont="1" applyBorder="1" applyAlignment="1" applyProtection="1">
      <alignment/>
      <protection/>
    </xf>
    <xf numFmtId="167" fontId="160" fillId="0" borderId="0" xfId="85" applyNumberFormat="1" applyFont="1" applyBorder="1" applyAlignment="1" applyProtection="1">
      <alignment/>
      <protection/>
    </xf>
    <xf numFmtId="3" fontId="153" fillId="0" borderId="0" xfId="85" applyNumberFormat="1" applyFont="1" applyBorder="1" applyAlignment="1" applyProtection="1">
      <alignment horizontal="right"/>
      <protection/>
    </xf>
    <xf numFmtId="3" fontId="153" fillId="0" borderId="0" xfId="85" applyNumberFormat="1" applyFont="1" applyFill="1" applyBorder="1" applyAlignment="1" applyProtection="1">
      <alignment horizontal="right"/>
      <protection/>
    </xf>
    <xf numFmtId="3" fontId="45" fillId="0" borderId="0" xfId="85" applyNumberFormat="1" applyFont="1" applyFill="1" applyBorder="1" applyAlignment="1" applyProtection="1">
      <alignment horizontal="center"/>
      <protection/>
    </xf>
    <xf numFmtId="3" fontId="139" fillId="0" borderId="47" xfId="85" applyNumberFormat="1" applyFont="1" applyBorder="1" applyAlignment="1" applyProtection="1">
      <alignment/>
      <protection/>
    </xf>
    <xf numFmtId="167" fontId="139" fillId="0" borderId="46" xfId="85" applyNumberFormat="1" applyFont="1" applyBorder="1" applyAlignment="1" applyProtection="1">
      <alignment/>
      <protection/>
    </xf>
    <xf numFmtId="167" fontId="47" fillId="0" borderId="46" xfId="85" applyNumberFormat="1" applyFont="1" applyBorder="1" applyAlignment="1" applyProtection="1">
      <alignment/>
      <protection/>
    </xf>
    <xf numFmtId="167" fontId="152" fillId="0" borderId="0" xfId="85" applyNumberFormat="1" applyFont="1" applyBorder="1" applyAlignment="1" applyProtection="1">
      <alignment/>
      <protection/>
    </xf>
    <xf numFmtId="165" fontId="46" fillId="0" borderId="0" xfId="85" applyFont="1" applyBorder="1">
      <alignment/>
      <protection/>
    </xf>
    <xf numFmtId="167" fontId="152" fillId="0" borderId="0" xfId="85" applyNumberFormat="1" applyFont="1" applyBorder="1" applyAlignment="1">
      <alignment/>
      <protection/>
    </xf>
    <xf numFmtId="167" fontId="153" fillId="0" borderId="0" xfId="85" applyNumberFormat="1" applyFont="1" applyBorder="1" applyAlignment="1" applyProtection="1">
      <alignment horizontal="right"/>
      <protection/>
    </xf>
    <xf numFmtId="167" fontId="139" fillId="0" borderId="0" xfId="85" applyNumberFormat="1" applyFont="1" applyBorder="1" applyAlignment="1" applyProtection="1">
      <alignment/>
      <protection/>
    </xf>
    <xf numFmtId="167" fontId="153" fillId="0" borderId="0" xfId="85" applyNumberFormat="1" applyFont="1" applyBorder="1" applyAlignment="1">
      <alignment/>
      <protection/>
    </xf>
    <xf numFmtId="3" fontId="139" fillId="0" borderId="47" xfId="85" applyNumberFormat="1" applyFont="1" applyBorder="1" applyAlignment="1" applyProtection="1">
      <alignment horizontal="right"/>
      <protection/>
    </xf>
    <xf numFmtId="3" fontId="152" fillId="0" borderId="0" xfId="85" applyNumberFormat="1" applyFont="1" applyBorder="1" applyAlignment="1">
      <alignment horizontal="right"/>
      <protection/>
    </xf>
    <xf numFmtId="3" fontId="139" fillId="0" borderId="46" xfId="85" applyNumberFormat="1" applyFont="1" applyBorder="1" applyAlignment="1" applyProtection="1">
      <alignment horizontal="right"/>
      <protection/>
    </xf>
    <xf numFmtId="3" fontId="139" fillId="0" borderId="0" xfId="85" applyNumberFormat="1" applyFont="1" applyBorder="1" applyAlignment="1" applyProtection="1">
      <alignment horizontal="right"/>
      <protection/>
    </xf>
    <xf numFmtId="3" fontId="139" fillId="0" borderId="49" xfId="85" applyNumberFormat="1" applyFont="1" applyBorder="1" applyAlignment="1" applyProtection="1">
      <alignment horizontal="right"/>
      <protection/>
    </xf>
    <xf numFmtId="165" fontId="41" fillId="0" borderId="0" xfId="85" applyFont="1" applyBorder="1">
      <alignment/>
      <protection/>
    </xf>
    <xf numFmtId="167" fontId="154" fillId="0" borderId="0" xfId="85" applyNumberFormat="1" applyFont="1" applyBorder="1" applyAlignment="1">
      <alignment/>
      <protection/>
    </xf>
    <xf numFmtId="165" fontId="51" fillId="0" borderId="0" xfId="85" applyFont="1" applyBorder="1" applyAlignment="1">
      <alignment/>
      <protection/>
    </xf>
    <xf numFmtId="167" fontId="51" fillId="0" borderId="0" xfId="85" applyNumberFormat="1" applyFont="1" applyBorder="1" applyAlignment="1" applyProtection="1">
      <alignment horizontal="center"/>
      <protection/>
    </xf>
    <xf numFmtId="167" fontId="40" fillId="0" borderId="0" xfId="85" applyNumberFormat="1" applyFont="1" applyBorder="1" applyAlignment="1" applyProtection="1">
      <alignment horizontal="center"/>
      <protection/>
    </xf>
    <xf numFmtId="167" fontId="40" fillId="0" borderId="47" xfId="85" applyNumberFormat="1" applyFont="1" applyBorder="1" applyAlignment="1" applyProtection="1">
      <alignment horizontal="center"/>
      <protection/>
    </xf>
    <xf numFmtId="165" fontId="45" fillId="0" borderId="0" xfId="85" applyFont="1" applyBorder="1" applyAlignment="1" applyProtection="1">
      <alignment horizontal="center"/>
      <protection/>
    </xf>
    <xf numFmtId="3" fontId="45" fillId="0" borderId="0" xfId="85" applyNumberFormat="1" applyFont="1" applyBorder="1">
      <alignment/>
      <protection/>
    </xf>
    <xf numFmtId="165" fontId="153" fillId="0" borderId="0" xfId="85" applyFont="1" applyBorder="1" applyAlignment="1" applyProtection="1">
      <alignment horizontal="center"/>
      <protection/>
    </xf>
    <xf numFmtId="165" fontId="152" fillId="0" borderId="0" xfId="85" applyFont="1" applyBorder="1" applyAlignment="1" applyProtection="1">
      <alignment horizontal="center"/>
      <protection/>
    </xf>
    <xf numFmtId="167" fontId="152" fillId="0" borderId="0" xfId="85" applyNumberFormat="1" applyFont="1" applyBorder="1" applyAlignment="1" applyProtection="1">
      <alignment horizontal="right"/>
      <protection/>
    </xf>
    <xf numFmtId="165" fontId="28" fillId="0" borderId="0" xfId="85" applyFont="1" applyBorder="1" applyAlignment="1" applyProtection="1">
      <alignment horizontal="center"/>
      <protection/>
    </xf>
    <xf numFmtId="165" fontId="63" fillId="0" borderId="0" xfId="85" applyFont="1" applyBorder="1">
      <alignment/>
      <protection/>
    </xf>
    <xf numFmtId="165" fontId="28" fillId="0" borderId="0" xfId="85" applyFont="1" applyBorder="1" applyAlignment="1">
      <alignment horizontal="center"/>
      <protection/>
    </xf>
    <xf numFmtId="165" fontId="47" fillId="0" borderId="0" xfId="85" applyFont="1" applyBorder="1" applyAlignment="1" applyProtection="1">
      <alignment horizontal="center"/>
      <protection/>
    </xf>
    <xf numFmtId="166" fontId="45" fillId="0" borderId="0" xfId="85" applyNumberFormat="1" applyFont="1" applyBorder="1" applyAlignment="1" applyProtection="1">
      <alignment horizontal="center"/>
      <protection/>
    </xf>
    <xf numFmtId="165" fontId="64" fillId="0" borderId="0" xfId="85" applyFont="1" applyBorder="1">
      <alignment/>
      <protection/>
    </xf>
    <xf numFmtId="167" fontId="45" fillId="0" borderId="0" xfId="85" applyNumberFormat="1" applyFont="1" applyBorder="1" applyProtection="1">
      <alignment/>
      <protection/>
    </xf>
    <xf numFmtId="10" fontId="64" fillId="0" borderId="0" xfId="108" applyNumberFormat="1" applyFont="1" applyBorder="1" applyAlignment="1">
      <alignment/>
    </xf>
    <xf numFmtId="9" fontId="64" fillId="0" borderId="0" xfId="108" applyFont="1" applyBorder="1" applyAlignment="1">
      <alignment/>
    </xf>
    <xf numFmtId="165" fontId="47" fillId="0" borderId="0" xfId="85" applyFont="1" applyBorder="1" applyAlignment="1">
      <alignment horizontal="left"/>
      <protection/>
    </xf>
    <xf numFmtId="167" fontId="153" fillId="0" borderId="0" xfId="85" applyNumberFormat="1" applyFont="1" applyFill="1" applyBorder="1">
      <alignment/>
      <protection/>
    </xf>
    <xf numFmtId="167" fontId="45" fillId="0" borderId="0" xfId="85" applyNumberFormat="1" applyFont="1" applyBorder="1">
      <alignment/>
      <protection/>
    </xf>
    <xf numFmtId="167" fontId="153" fillId="0" borderId="46" xfId="85" applyNumberFormat="1" applyFont="1" applyFill="1" applyBorder="1">
      <alignment/>
      <protection/>
    </xf>
    <xf numFmtId="167" fontId="45" fillId="0" borderId="46" xfId="85" applyNumberFormat="1" applyFont="1" applyBorder="1">
      <alignment/>
      <protection/>
    </xf>
    <xf numFmtId="167" fontId="139" fillId="0" borderId="47" xfId="85" applyNumberFormat="1" applyFont="1" applyBorder="1" applyAlignment="1" applyProtection="1">
      <alignment horizontal="right"/>
      <protection/>
    </xf>
    <xf numFmtId="167" fontId="47" fillId="0" borderId="0" xfId="85" applyNumberFormat="1" applyFont="1" applyBorder="1" applyAlignment="1" applyProtection="1">
      <alignment horizontal="right"/>
      <protection/>
    </xf>
    <xf numFmtId="167" fontId="47" fillId="0" borderId="47" xfId="85" applyNumberFormat="1" applyFont="1" applyBorder="1" applyAlignment="1" applyProtection="1">
      <alignment horizontal="right"/>
      <protection/>
    </xf>
    <xf numFmtId="169" fontId="43" fillId="0" borderId="0" xfId="73" applyNumberFormat="1" applyFont="1" applyBorder="1" applyAlignment="1">
      <alignment/>
    </xf>
    <xf numFmtId="165" fontId="47" fillId="0" borderId="0" xfId="85" applyFont="1" applyBorder="1">
      <alignment/>
      <protection/>
    </xf>
    <xf numFmtId="166" fontId="43" fillId="0" borderId="0" xfId="85" applyNumberFormat="1" applyFont="1" applyBorder="1" applyProtection="1">
      <alignment/>
      <protection/>
    </xf>
    <xf numFmtId="167" fontId="43" fillId="0" borderId="0" xfId="85" applyNumberFormat="1" applyFont="1" applyBorder="1" applyProtection="1">
      <alignment/>
      <protection/>
    </xf>
    <xf numFmtId="167" fontId="153" fillId="0" borderId="46" xfId="85" applyNumberFormat="1" applyFont="1" applyBorder="1" applyAlignment="1" applyProtection="1">
      <alignment horizontal="right"/>
      <protection/>
    </xf>
    <xf numFmtId="167" fontId="45" fillId="0" borderId="46" xfId="85" applyNumberFormat="1" applyFont="1" applyBorder="1" applyAlignment="1" applyProtection="1">
      <alignment horizontal="right"/>
      <protection/>
    </xf>
    <xf numFmtId="165" fontId="53" fillId="0" borderId="0" xfId="85" applyFont="1" applyBorder="1" applyAlignment="1">
      <alignment horizontal="left"/>
      <protection/>
    </xf>
    <xf numFmtId="167" fontId="54" fillId="0" borderId="0" xfId="85" applyNumberFormat="1" applyFont="1" applyFill="1" applyBorder="1" applyAlignment="1">
      <alignment/>
      <protection/>
    </xf>
    <xf numFmtId="165" fontId="162" fillId="0" borderId="0" xfId="85" applyFont="1" applyBorder="1">
      <alignment/>
      <protection/>
    </xf>
    <xf numFmtId="0" fontId="25" fillId="0" borderId="0" xfId="0" applyFont="1" applyAlignment="1">
      <alignment vertical="center"/>
    </xf>
    <xf numFmtId="0" fontId="14" fillId="0" borderId="25" xfId="0" applyFont="1" applyBorder="1" applyAlignment="1">
      <alignment horizontal="center" vertical="center"/>
    </xf>
    <xf numFmtId="0" fontId="16" fillId="0" borderId="0" xfId="49" applyFont="1" applyFill="1" applyBorder="1" applyAlignment="1">
      <alignment vertical="center"/>
      <protection/>
    </xf>
    <xf numFmtId="3" fontId="25" fillId="0" borderId="0" xfId="0" applyNumberFormat="1" applyFont="1" applyAlignment="1">
      <alignment vertical="center"/>
    </xf>
    <xf numFmtId="3" fontId="5" fillId="0" borderId="0" xfId="0" applyNumberFormat="1" applyFont="1" applyAlignment="1">
      <alignment vertical="center"/>
    </xf>
    <xf numFmtId="3" fontId="5" fillId="0" borderId="25" xfId="0" applyNumberFormat="1" applyFont="1" applyBorder="1" applyAlignment="1">
      <alignment vertical="center"/>
    </xf>
    <xf numFmtId="3" fontId="6" fillId="0" borderId="32" xfId="0" applyNumberFormat="1" applyFont="1" applyBorder="1" applyAlignment="1">
      <alignment vertical="center"/>
    </xf>
    <xf numFmtId="3" fontId="6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25" fillId="0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3" fontId="5" fillId="0" borderId="32" xfId="0" applyNumberFormat="1" applyFont="1" applyBorder="1" applyAlignment="1">
      <alignment vertical="center"/>
    </xf>
    <xf numFmtId="0" fontId="66" fillId="0" borderId="0" xfId="0" applyFont="1" applyAlignment="1">
      <alignment vertical="center"/>
    </xf>
    <xf numFmtId="165" fontId="45" fillId="0" borderId="0" xfId="85" applyFont="1" applyBorder="1" applyAlignment="1">
      <alignment horizontal="center"/>
      <protection/>
    </xf>
    <xf numFmtId="165" fontId="68" fillId="0" borderId="0" xfId="85" applyFont="1" applyBorder="1">
      <alignment/>
      <protection/>
    </xf>
    <xf numFmtId="165" fontId="31" fillId="0" borderId="50" xfId="85" applyFont="1" applyBorder="1" applyAlignment="1" applyProtection="1">
      <alignment horizontal="left"/>
      <protection/>
    </xf>
    <xf numFmtId="167" fontId="31" fillId="0" borderId="50" xfId="85" applyNumberFormat="1" applyFont="1" applyBorder="1">
      <alignment/>
      <protection/>
    </xf>
    <xf numFmtId="167" fontId="4" fillId="0" borderId="50" xfId="85" applyNumberFormat="1" applyFont="1" applyFill="1" applyBorder="1" applyProtection="1">
      <alignment/>
      <protection/>
    </xf>
    <xf numFmtId="167" fontId="31" fillId="0" borderId="50" xfId="85" applyNumberFormat="1" applyFont="1" applyBorder="1" applyProtection="1">
      <alignment/>
      <protection/>
    </xf>
    <xf numFmtId="167" fontId="68" fillId="0" borderId="50" xfId="85" applyNumberFormat="1" applyFont="1" applyBorder="1">
      <alignment/>
      <protection/>
    </xf>
    <xf numFmtId="165" fontId="31" fillId="0" borderId="51" xfId="85" applyFont="1" applyBorder="1" applyAlignment="1" applyProtection="1">
      <alignment horizontal="left"/>
      <protection/>
    </xf>
    <xf numFmtId="167" fontId="31" fillId="0" borderId="51" xfId="85" applyNumberFormat="1" applyFont="1" applyBorder="1" applyAlignment="1" applyProtection="1">
      <alignment horizontal="center"/>
      <protection/>
    </xf>
    <xf numFmtId="167" fontId="31" fillId="0" borderId="51" xfId="85" applyNumberFormat="1" applyFont="1" applyBorder="1" applyProtection="1">
      <alignment/>
      <protection/>
    </xf>
    <xf numFmtId="165" fontId="31" fillId="0" borderId="52" xfId="85" applyFont="1" applyBorder="1">
      <alignment/>
      <protection/>
    </xf>
    <xf numFmtId="167" fontId="31" fillId="0" borderId="52" xfId="85" applyNumberFormat="1" applyFont="1" applyBorder="1" applyProtection="1">
      <alignment/>
      <protection/>
    </xf>
    <xf numFmtId="167" fontId="4" fillId="0" borderId="52" xfId="85" applyNumberFormat="1" applyFont="1" applyFill="1" applyBorder="1" applyProtection="1">
      <alignment/>
      <protection/>
    </xf>
    <xf numFmtId="165" fontId="31" fillId="0" borderId="51" xfId="85" applyFont="1" applyBorder="1">
      <alignment/>
      <protection/>
    </xf>
    <xf numFmtId="167" fontId="31" fillId="0" borderId="51" xfId="85" applyNumberFormat="1" applyFont="1" applyBorder="1" applyAlignment="1" applyProtection="1">
      <alignment horizontal="right"/>
      <protection/>
    </xf>
    <xf numFmtId="165" fontId="31" fillId="0" borderId="53" xfId="85" applyFont="1" applyBorder="1" applyAlignment="1" applyProtection="1">
      <alignment horizontal="left"/>
      <protection/>
    </xf>
    <xf numFmtId="167" fontId="31" fillId="0" borderId="50" xfId="85" applyNumberFormat="1" applyFont="1" applyBorder="1" applyAlignment="1" applyProtection="1">
      <alignment horizontal="right"/>
      <protection/>
    </xf>
    <xf numFmtId="165" fontId="31" fillId="0" borderId="54" xfId="85" applyFont="1" applyFill="1" applyBorder="1" applyAlignment="1" applyProtection="1">
      <alignment horizontal="left"/>
      <protection/>
    </xf>
    <xf numFmtId="167" fontId="31" fillId="0" borderId="54" xfId="85" applyNumberFormat="1" applyFont="1" applyFill="1" applyBorder="1">
      <alignment/>
      <protection/>
    </xf>
    <xf numFmtId="167" fontId="68" fillId="0" borderId="50" xfId="85" applyNumberFormat="1" applyFont="1" applyFill="1" applyBorder="1">
      <alignment/>
      <protection/>
    </xf>
    <xf numFmtId="165" fontId="30" fillId="0" borderId="53" xfId="85" applyFont="1" applyFill="1" applyBorder="1" applyAlignment="1" applyProtection="1">
      <alignment horizontal="left"/>
      <protection/>
    </xf>
    <xf numFmtId="167" fontId="30" fillId="0" borderId="53" xfId="85" applyNumberFormat="1" applyFont="1" applyFill="1" applyBorder="1" applyProtection="1">
      <alignment/>
      <protection/>
    </xf>
    <xf numFmtId="167" fontId="30" fillId="0" borderId="53" xfId="85" applyNumberFormat="1" applyFont="1" applyBorder="1" applyAlignment="1" applyProtection="1">
      <alignment/>
      <protection/>
    </xf>
    <xf numFmtId="167" fontId="30" fillId="0" borderId="55" xfId="85" applyNumberFormat="1" applyFont="1" applyBorder="1" applyProtection="1">
      <alignment/>
      <protection/>
    </xf>
    <xf numFmtId="166" fontId="50" fillId="0" borderId="0" xfId="85" applyNumberFormat="1" applyFont="1" applyFill="1" applyBorder="1" applyProtection="1">
      <alignment/>
      <protection/>
    </xf>
    <xf numFmtId="165" fontId="30" fillId="0" borderId="0" xfId="85" applyFont="1" applyBorder="1">
      <alignment/>
      <protection/>
    </xf>
    <xf numFmtId="165" fontId="31" fillId="0" borderId="0" xfId="85" applyFont="1" applyBorder="1">
      <alignment/>
      <protection/>
    </xf>
    <xf numFmtId="165" fontId="31" fillId="0" borderId="0" xfId="85" applyFont="1" applyBorder="1" applyAlignment="1" applyProtection="1">
      <alignment horizontal="center"/>
      <protection/>
    </xf>
    <xf numFmtId="166" fontId="29" fillId="0" borderId="56" xfId="85" applyNumberFormat="1" applyFont="1" applyFill="1" applyBorder="1" applyProtection="1">
      <alignment/>
      <protection/>
    </xf>
    <xf numFmtId="166" fontId="50" fillId="0" borderId="56" xfId="85" applyNumberFormat="1" applyFont="1" applyFill="1" applyBorder="1" applyProtection="1">
      <alignment/>
      <protection/>
    </xf>
    <xf numFmtId="165" fontId="47" fillId="0" borderId="0" xfId="85" applyFont="1" applyBorder="1" applyAlignment="1" applyProtection="1">
      <alignment horizontal="left"/>
      <protection/>
    </xf>
    <xf numFmtId="165" fontId="50" fillId="0" borderId="0" xfId="85" applyFont="1" applyFill="1" applyBorder="1">
      <alignment/>
      <protection/>
    </xf>
    <xf numFmtId="165" fontId="50" fillId="0" borderId="56" xfId="85" applyFont="1" applyFill="1" applyBorder="1">
      <alignment/>
      <protection/>
    </xf>
    <xf numFmtId="166" fontId="47" fillId="0" borderId="49" xfId="85" applyNumberFormat="1" applyFont="1" applyBorder="1" applyProtection="1">
      <alignment/>
      <protection/>
    </xf>
    <xf numFmtId="0" fontId="31" fillId="0" borderId="0" xfId="87" applyFont="1" applyBorder="1">
      <alignment/>
      <protection/>
    </xf>
    <xf numFmtId="0" fontId="27" fillId="0" borderId="0" xfId="87" applyFont="1" applyBorder="1">
      <alignment/>
      <protection/>
    </xf>
    <xf numFmtId="0" fontId="31" fillId="39" borderId="57" xfId="87" applyFont="1" applyFill="1" applyBorder="1">
      <alignment/>
      <protection/>
    </xf>
    <xf numFmtId="0" fontId="30" fillId="39" borderId="58" xfId="87" applyFont="1" applyFill="1" applyBorder="1">
      <alignment/>
      <protection/>
    </xf>
    <xf numFmtId="0" fontId="30" fillId="39" borderId="57" xfId="87" applyFont="1" applyFill="1" applyBorder="1" applyAlignment="1">
      <alignment horizontal="center"/>
      <protection/>
    </xf>
    <xf numFmtId="0" fontId="30" fillId="39" borderId="58" xfId="87" applyFont="1" applyFill="1" applyBorder="1" applyAlignment="1">
      <alignment horizontal="center"/>
      <protection/>
    </xf>
    <xf numFmtId="0" fontId="30" fillId="39" borderId="59" xfId="87" applyFont="1" applyFill="1" applyBorder="1" applyAlignment="1">
      <alignment horizontal="center"/>
      <protection/>
    </xf>
    <xf numFmtId="0" fontId="31" fillId="0" borderId="57" xfId="87" applyFont="1" applyBorder="1">
      <alignment/>
      <protection/>
    </xf>
    <xf numFmtId="174" fontId="31" fillId="0" borderId="57" xfId="66" applyNumberFormat="1" applyFont="1" applyFill="1" applyBorder="1" applyAlignment="1" applyProtection="1">
      <alignment/>
      <protection/>
    </xf>
    <xf numFmtId="0" fontId="31" fillId="0" borderId="58" xfId="87" applyFont="1" applyBorder="1">
      <alignment/>
      <protection/>
    </xf>
    <xf numFmtId="174" fontId="31" fillId="0" borderId="58" xfId="66" applyNumberFormat="1" applyFont="1" applyFill="1" applyBorder="1" applyAlignment="1" applyProtection="1" quotePrefix="1">
      <alignment horizontal="center"/>
      <protection/>
    </xf>
    <xf numFmtId="175" fontId="31" fillId="0" borderId="58" xfId="66" applyNumberFormat="1" applyFont="1" applyFill="1" applyBorder="1" applyAlignment="1" applyProtection="1">
      <alignment/>
      <protection/>
    </xf>
    <xf numFmtId="174" fontId="31" fillId="0" borderId="58" xfId="66" applyNumberFormat="1" applyFont="1" applyFill="1" applyBorder="1" applyAlignment="1" applyProtection="1">
      <alignment horizontal="center"/>
      <protection/>
    </xf>
    <xf numFmtId="0" fontId="31" fillId="0" borderId="59" xfId="87" applyFont="1" applyBorder="1">
      <alignment/>
      <protection/>
    </xf>
    <xf numFmtId="174" fontId="31" fillId="0" borderId="59" xfId="66" applyNumberFormat="1" applyFont="1" applyFill="1" applyBorder="1" applyAlignment="1" applyProtection="1">
      <alignment horizontal="center"/>
      <protection/>
    </xf>
    <xf numFmtId="174" fontId="31" fillId="39" borderId="57" xfId="66" applyNumberFormat="1" applyFont="1" applyFill="1" applyBorder="1" applyAlignment="1" applyProtection="1">
      <alignment horizontal="center"/>
      <protection/>
    </xf>
    <xf numFmtId="0" fontId="30" fillId="39" borderId="59" xfId="87" applyFont="1" applyFill="1" applyBorder="1">
      <alignment/>
      <protection/>
    </xf>
    <xf numFmtId="174" fontId="30" fillId="39" borderId="59" xfId="66" applyNumberFormat="1" applyFont="1" applyFill="1" applyBorder="1" applyAlignment="1" applyProtection="1">
      <alignment horizontal="center"/>
      <protection/>
    </xf>
    <xf numFmtId="0" fontId="30" fillId="0" borderId="58" xfId="87" applyFont="1" applyFill="1" applyBorder="1">
      <alignment/>
      <protection/>
    </xf>
    <xf numFmtId="174" fontId="30" fillId="0" borderId="57" xfId="66" applyNumberFormat="1" applyFont="1" applyFill="1" applyBorder="1" applyAlignment="1" applyProtection="1">
      <alignment horizontal="center"/>
      <protection/>
    </xf>
    <xf numFmtId="0" fontId="30" fillId="0" borderId="59" xfId="87" applyFont="1" applyBorder="1">
      <alignment/>
      <protection/>
    </xf>
    <xf numFmtId="0" fontId="163" fillId="0" borderId="0" xfId="87" applyFont="1" applyBorder="1">
      <alignment/>
      <protection/>
    </xf>
    <xf numFmtId="0" fontId="71" fillId="0" borderId="0" xfId="87" applyFont="1" applyBorder="1">
      <alignment/>
      <protection/>
    </xf>
    <xf numFmtId="0" fontId="72" fillId="0" borderId="0" xfId="87" applyFont="1" applyBorder="1">
      <alignment/>
      <protection/>
    </xf>
    <xf numFmtId="0" fontId="73" fillId="0" borderId="0" xfId="87" applyFont="1" applyBorder="1" applyAlignment="1" applyProtection="1">
      <alignment horizontal="center"/>
      <protection/>
    </xf>
    <xf numFmtId="0" fontId="72" fillId="0" borderId="0" xfId="87" applyFont="1" applyBorder="1" applyAlignment="1" applyProtection="1">
      <alignment/>
      <protection/>
    </xf>
    <xf numFmtId="167" fontId="72" fillId="0" borderId="0" xfId="87" applyNumberFormat="1" applyFont="1" applyFill="1" applyBorder="1" applyAlignment="1">
      <alignment/>
      <protection/>
    </xf>
    <xf numFmtId="0" fontId="30" fillId="40" borderId="57" xfId="87" applyFont="1" applyFill="1" applyBorder="1" applyAlignment="1">
      <alignment horizontal="center"/>
      <protection/>
    </xf>
    <xf numFmtId="0" fontId="74" fillId="40" borderId="57" xfId="87" applyFont="1" applyFill="1" applyBorder="1" applyAlignment="1">
      <alignment horizontal="center"/>
      <protection/>
    </xf>
    <xf numFmtId="0" fontId="30" fillId="40" borderId="58" xfId="87" applyFont="1" applyFill="1" applyBorder="1" applyAlignment="1">
      <alignment horizontal="center"/>
      <protection/>
    </xf>
    <xf numFmtId="0" fontId="74" fillId="40" borderId="58" xfId="87" applyFont="1" applyFill="1" applyBorder="1" applyAlignment="1">
      <alignment horizontal="center"/>
      <protection/>
    </xf>
    <xf numFmtId="0" fontId="30" fillId="40" borderId="59" xfId="87" applyFont="1" applyFill="1" applyBorder="1" applyAlignment="1">
      <alignment horizontal="center"/>
      <protection/>
    </xf>
    <xf numFmtId="0" fontId="74" fillId="40" borderId="59" xfId="87" applyFont="1" applyFill="1" applyBorder="1" applyAlignment="1">
      <alignment horizontal="center"/>
      <protection/>
    </xf>
    <xf numFmtId="0" fontId="75" fillId="40" borderId="60" xfId="87" applyFont="1" applyFill="1" applyBorder="1" applyAlignment="1">
      <alignment horizontal="center"/>
      <protection/>
    </xf>
    <xf numFmtId="0" fontId="30" fillId="0" borderId="58" xfId="87" applyFont="1" applyBorder="1">
      <alignment/>
      <protection/>
    </xf>
    <xf numFmtId="0" fontId="31" fillId="0" borderId="61" xfId="87" applyFont="1" applyBorder="1">
      <alignment/>
      <protection/>
    </xf>
    <xf numFmtId="0" fontId="31" fillId="0" borderId="62" xfId="87" applyFont="1" applyBorder="1">
      <alignment/>
      <protection/>
    </xf>
    <xf numFmtId="0" fontId="31" fillId="0" borderId="63" xfId="87" applyFont="1" applyBorder="1">
      <alignment/>
      <protection/>
    </xf>
    <xf numFmtId="0" fontId="31" fillId="0" borderId="64" xfId="87" applyFont="1" applyBorder="1">
      <alignment/>
      <protection/>
    </xf>
    <xf numFmtId="0" fontId="30" fillId="0" borderId="0" xfId="87" applyFont="1" applyBorder="1">
      <alignment/>
      <protection/>
    </xf>
    <xf numFmtId="0" fontId="31" fillId="0" borderId="0" xfId="87" applyFont="1" applyBorder="1" applyAlignment="1" applyProtection="1">
      <alignment horizontal="center"/>
      <protection/>
    </xf>
    <xf numFmtId="167" fontId="30" fillId="0" borderId="0" xfId="87" applyNumberFormat="1" applyFont="1" applyFill="1" applyBorder="1" applyAlignment="1">
      <alignment/>
      <protection/>
    </xf>
    <xf numFmtId="0" fontId="45" fillId="0" borderId="0" xfId="87" applyFont="1" applyBorder="1">
      <alignment/>
      <protection/>
    </xf>
    <xf numFmtId="0" fontId="47" fillId="0" borderId="0" xfId="87" applyFont="1" applyBorder="1">
      <alignment/>
      <protection/>
    </xf>
    <xf numFmtId="176" fontId="75" fillId="0" borderId="0" xfId="87" applyNumberFormat="1" applyFont="1" applyBorder="1" applyAlignment="1">
      <alignment horizontal="center"/>
      <protection/>
    </xf>
    <xf numFmtId="0" fontId="75" fillId="0" borderId="0" xfId="87" applyFont="1" applyBorder="1">
      <alignment/>
      <protection/>
    </xf>
    <xf numFmtId="176" fontId="30" fillId="41" borderId="54" xfId="87" applyNumberFormat="1" applyFont="1" applyFill="1" applyBorder="1">
      <alignment/>
      <protection/>
    </xf>
    <xf numFmtId="0" fontId="30" fillId="41" borderId="54" xfId="87" applyFont="1" applyFill="1" applyBorder="1" applyAlignment="1">
      <alignment horizontal="center"/>
      <protection/>
    </xf>
    <xf numFmtId="0" fontId="30" fillId="41" borderId="50" xfId="87" applyFont="1" applyFill="1" applyBorder="1" applyAlignment="1">
      <alignment horizontal="center"/>
      <protection/>
    </xf>
    <xf numFmtId="0" fontId="30" fillId="41" borderId="0" xfId="87" applyFont="1" applyFill="1" applyBorder="1" applyAlignment="1">
      <alignment horizontal="center"/>
      <protection/>
    </xf>
    <xf numFmtId="0" fontId="30" fillId="41" borderId="65" xfId="87" applyFont="1" applyFill="1" applyBorder="1" applyAlignment="1">
      <alignment horizontal="center"/>
      <protection/>
    </xf>
    <xf numFmtId="0" fontId="30" fillId="41" borderId="66" xfId="87" applyFont="1" applyFill="1" applyBorder="1" applyAlignment="1">
      <alignment horizontal="center"/>
      <protection/>
    </xf>
    <xf numFmtId="0" fontId="30" fillId="41" borderId="67" xfId="87" applyFont="1" applyFill="1" applyBorder="1" applyAlignment="1">
      <alignment horizontal="center"/>
      <protection/>
    </xf>
    <xf numFmtId="3" fontId="30" fillId="41" borderId="68" xfId="87" applyNumberFormat="1" applyFont="1" applyFill="1" applyBorder="1" applyAlignment="1">
      <alignment horizontal="center"/>
      <protection/>
    </xf>
    <xf numFmtId="3" fontId="30" fillId="41" borderId="69" xfId="87" applyNumberFormat="1" applyFont="1" applyFill="1" applyBorder="1" applyAlignment="1">
      <alignment horizontal="center"/>
      <protection/>
    </xf>
    <xf numFmtId="3" fontId="30" fillId="41" borderId="0" xfId="87" applyNumberFormat="1" applyFont="1" applyFill="1" applyBorder="1" applyAlignment="1">
      <alignment horizontal="center"/>
      <protection/>
    </xf>
    <xf numFmtId="14" fontId="30" fillId="41" borderId="0" xfId="87" applyNumberFormat="1" applyFont="1" applyFill="1" applyBorder="1" applyAlignment="1">
      <alignment horizontal="center"/>
      <protection/>
    </xf>
    <xf numFmtId="14" fontId="30" fillId="41" borderId="66" xfId="87" applyNumberFormat="1" applyFont="1" applyFill="1" applyBorder="1" applyAlignment="1">
      <alignment horizontal="center"/>
      <protection/>
    </xf>
    <xf numFmtId="14" fontId="30" fillId="41" borderId="67" xfId="87" applyNumberFormat="1" applyFont="1" applyFill="1" applyBorder="1" applyAlignment="1">
      <alignment horizontal="center"/>
      <protection/>
    </xf>
    <xf numFmtId="3" fontId="30" fillId="41" borderId="67" xfId="87" applyNumberFormat="1" applyFont="1" applyFill="1" applyBorder="1" applyAlignment="1">
      <alignment horizontal="center"/>
      <protection/>
    </xf>
    <xf numFmtId="3" fontId="30" fillId="41" borderId="66" xfId="87" applyNumberFormat="1" applyFont="1" applyFill="1" applyBorder="1" applyAlignment="1">
      <alignment horizontal="center"/>
      <protection/>
    </xf>
    <xf numFmtId="0" fontId="31" fillId="0" borderId="54" xfId="87" applyFont="1" applyBorder="1">
      <alignment/>
      <protection/>
    </xf>
    <xf numFmtId="175" fontId="31" fillId="0" borderId="70" xfId="66" applyNumberFormat="1" applyFont="1" applyFill="1" applyBorder="1" applyAlignment="1" applyProtection="1">
      <alignment/>
      <protection/>
    </xf>
    <xf numFmtId="175" fontId="31" fillId="0" borderId="71" xfId="66" applyNumberFormat="1" applyFont="1" applyFill="1" applyBorder="1" applyAlignment="1" applyProtection="1">
      <alignment/>
      <protection/>
    </xf>
    <xf numFmtId="175" fontId="31" fillId="0" borderId="72" xfId="66" applyNumberFormat="1" applyFont="1" applyFill="1" applyBorder="1" applyAlignment="1" applyProtection="1">
      <alignment/>
      <protection/>
    </xf>
    <xf numFmtId="175" fontId="31" fillId="0" borderId="68" xfId="66" applyNumberFormat="1" applyFont="1" applyFill="1" applyBorder="1" applyAlignment="1" applyProtection="1">
      <alignment/>
      <protection/>
    </xf>
    <xf numFmtId="175" fontId="31" fillId="0" borderId="73" xfId="66" applyNumberFormat="1" applyFont="1" applyFill="1" applyBorder="1" applyAlignment="1" applyProtection="1">
      <alignment/>
      <protection/>
    </xf>
    <xf numFmtId="175" fontId="31" fillId="0" borderId="54" xfId="66" applyNumberFormat="1" applyFont="1" applyFill="1" applyBorder="1" applyAlignment="1" applyProtection="1">
      <alignment/>
      <protection/>
    </xf>
    <xf numFmtId="0" fontId="164" fillId="0" borderId="0" xfId="87" applyFont="1" applyBorder="1">
      <alignment/>
      <protection/>
    </xf>
    <xf numFmtId="0" fontId="31" fillId="0" borderId="50" xfId="87" applyFont="1" applyFill="1" applyBorder="1">
      <alignment/>
      <protection/>
    </xf>
    <xf numFmtId="175" fontId="31" fillId="0" borderId="0" xfId="66" applyNumberFormat="1" applyFont="1" applyFill="1" applyBorder="1" applyAlignment="1" applyProtection="1">
      <alignment/>
      <protection/>
    </xf>
    <xf numFmtId="175" fontId="31" fillId="0" borderId="74" xfId="66" applyNumberFormat="1" applyFont="1" applyFill="1" applyBorder="1" applyAlignment="1" applyProtection="1">
      <alignment/>
      <protection/>
    </xf>
    <xf numFmtId="175" fontId="31" fillId="0" borderId="67" xfId="66" applyNumberFormat="1" applyFont="1" applyFill="1" applyBorder="1" applyAlignment="1" applyProtection="1">
      <alignment/>
      <protection/>
    </xf>
    <xf numFmtId="175" fontId="31" fillId="0" borderId="62" xfId="66" applyNumberFormat="1" applyFont="1" applyFill="1" applyBorder="1" applyAlignment="1" applyProtection="1">
      <alignment horizontal="center"/>
      <protection/>
    </xf>
    <xf numFmtId="175" fontId="31" fillId="0" borderId="50" xfId="66" applyNumberFormat="1" applyFont="1" applyFill="1" applyBorder="1" applyAlignment="1" applyProtection="1">
      <alignment/>
      <protection/>
    </xf>
    <xf numFmtId="175" fontId="164" fillId="0" borderId="0" xfId="87" applyNumberFormat="1" applyFont="1" applyBorder="1">
      <alignment/>
      <protection/>
    </xf>
    <xf numFmtId="175" fontId="31" fillId="0" borderId="75" xfId="66" applyNumberFormat="1" applyFont="1" applyFill="1" applyBorder="1" applyAlignment="1" applyProtection="1">
      <alignment/>
      <protection/>
    </xf>
    <xf numFmtId="175" fontId="31" fillId="0" borderId="76" xfId="66" applyNumberFormat="1" applyFont="1" applyFill="1" applyBorder="1" applyAlignment="1" applyProtection="1">
      <alignment/>
      <protection/>
    </xf>
    <xf numFmtId="175" fontId="31" fillId="0" borderId="62" xfId="66" applyNumberFormat="1" applyFont="1" applyFill="1" applyBorder="1" applyAlignment="1" applyProtection="1">
      <alignment/>
      <protection/>
    </xf>
    <xf numFmtId="175" fontId="31" fillId="0" borderId="65" xfId="66" applyNumberFormat="1" applyFont="1" applyFill="1" applyBorder="1" applyAlignment="1" applyProtection="1">
      <alignment/>
      <protection/>
    </xf>
    <xf numFmtId="174" fontId="31" fillId="0" borderId="0" xfId="66" applyNumberFormat="1" applyFont="1" applyAlignment="1">
      <alignment/>
    </xf>
    <xf numFmtId="174" fontId="164" fillId="0" borderId="0" xfId="66" applyNumberFormat="1" applyFont="1" applyAlignment="1">
      <alignment/>
    </xf>
    <xf numFmtId="0" fontId="31" fillId="0" borderId="50" xfId="87" applyFont="1" applyBorder="1">
      <alignment/>
      <protection/>
    </xf>
    <xf numFmtId="0" fontId="31" fillId="41" borderId="54" xfId="87" applyFont="1" applyFill="1" applyBorder="1">
      <alignment/>
      <protection/>
    </xf>
    <xf numFmtId="175" fontId="31" fillId="41" borderId="77" xfId="66" applyNumberFormat="1" applyFont="1" applyFill="1" applyBorder="1" applyAlignment="1" applyProtection="1">
      <alignment/>
      <protection/>
    </xf>
    <xf numFmtId="175" fontId="31" fillId="41" borderId="71" xfId="66" applyNumberFormat="1" applyFont="1" applyFill="1" applyBorder="1" applyAlignment="1" applyProtection="1">
      <alignment/>
      <protection/>
    </xf>
    <xf numFmtId="175" fontId="31" fillId="41" borderId="72" xfId="66" applyNumberFormat="1" applyFont="1" applyFill="1" applyBorder="1" applyAlignment="1" applyProtection="1">
      <alignment/>
      <protection/>
    </xf>
    <xf numFmtId="175" fontId="31" fillId="41" borderId="73" xfId="66" applyNumberFormat="1" applyFont="1" applyFill="1" applyBorder="1" applyAlignment="1" applyProtection="1">
      <alignment/>
      <protection/>
    </xf>
    <xf numFmtId="175" fontId="31" fillId="41" borderId="54" xfId="66" applyNumberFormat="1" applyFont="1" applyFill="1" applyBorder="1" applyAlignment="1" applyProtection="1">
      <alignment/>
      <protection/>
    </xf>
    <xf numFmtId="0" fontId="30" fillId="41" borderId="53" xfId="87" applyFont="1" applyFill="1" applyBorder="1">
      <alignment/>
      <protection/>
    </xf>
    <xf numFmtId="175" fontId="30" fillId="41" borderId="78" xfId="66" applyNumberFormat="1" applyFont="1" applyFill="1" applyBorder="1" applyAlignment="1" applyProtection="1">
      <alignment/>
      <protection/>
    </xf>
    <xf numFmtId="175" fontId="30" fillId="41" borderId="79" xfId="66" applyNumberFormat="1" applyFont="1" applyFill="1" applyBorder="1" applyAlignment="1" applyProtection="1">
      <alignment/>
      <protection/>
    </xf>
    <xf numFmtId="175" fontId="30" fillId="41" borderId="80" xfId="66" applyNumberFormat="1" applyFont="1" applyFill="1" applyBorder="1" applyAlignment="1" applyProtection="1">
      <alignment/>
      <protection/>
    </xf>
    <xf numFmtId="175" fontId="30" fillId="41" borderId="81" xfId="66" applyNumberFormat="1" applyFont="1" applyFill="1" applyBorder="1" applyAlignment="1" applyProtection="1">
      <alignment/>
      <protection/>
    </xf>
    <xf numFmtId="175" fontId="30" fillId="41" borderId="53" xfId="66" applyNumberFormat="1" applyFont="1" applyFill="1" applyBorder="1" applyAlignment="1" applyProtection="1">
      <alignment/>
      <protection/>
    </xf>
    <xf numFmtId="0" fontId="164" fillId="0" borderId="0" xfId="87" applyFont="1" applyFill="1" applyBorder="1">
      <alignment/>
      <protection/>
    </xf>
    <xf numFmtId="0" fontId="30" fillId="0" borderId="53" xfId="87" applyFont="1" applyFill="1" applyBorder="1">
      <alignment/>
      <protection/>
    </xf>
    <xf numFmtId="175" fontId="30" fillId="0" borderId="79" xfId="66" applyNumberFormat="1" applyFont="1" applyFill="1" applyBorder="1" applyAlignment="1" applyProtection="1">
      <alignment horizontal="center"/>
      <protection/>
    </xf>
    <xf numFmtId="175" fontId="30" fillId="0" borderId="79" xfId="66" applyNumberFormat="1" applyFont="1" applyFill="1" applyBorder="1" applyAlignment="1" applyProtection="1">
      <alignment/>
      <protection/>
    </xf>
    <xf numFmtId="175" fontId="30" fillId="0" borderId="82" xfId="66" applyNumberFormat="1" applyFont="1" applyFill="1" applyBorder="1" applyAlignment="1" applyProtection="1">
      <alignment/>
      <protection/>
    </xf>
    <xf numFmtId="175" fontId="30" fillId="0" borderId="78" xfId="66" applyNumberFormat="1" applyFont="1" applyFill="1" applyBorder="1" applyAlignment="1" applyProtection="1">
      <alignment/>
      <protection/>
    </xf>
    <xf numFmtId="175" fontId="30" fillId="0" borderId="81" xfId="66" applyNumberFormat="1" applyFont="1" applyFill="1" applyBorder="1" applyAlignment="1" applyProtection="1">
      <alignment/>
      <protection/>
    </xf>
    <xf numFmtId="175" fontId="30" fillId="0" borderId="81" xfId="66" applyNumberFormat="1" applyFont="1" applyFill="1" applyBorder="1" applyAlignment="1" applyProtection="1">
      <alignment horizontal="right"/>
      <protection/>
    </xf>
    <xf numFmtId="175" fontId="30" fillId="0" borderId="80" xfId="66" applyNumberFormat="1" applyFont="1" applyFill="1" applyBorder="1" applyAlignment="1" applyProtection="1">
      <alignment/>
      <protection/>
    </xf>
    <xf numFmtId="175" fontId="30" fillId="0" borderId="53" xfId="66" applyNumberFormat="1" applyFont="1" applyFill="1" applyBorder="1" applyAlignment="1" applyProtection="1">
      <alignment/>
      <protection/>
    </xf>
    <xf numFmtId="175" fontId="31" fillId="0" borderId="0" xfId="87" applyNumberFormat="1" applyFont="1" applyBorder="1">
      <alignment/>
      <protection/>
    </xf>
    <xf numFmtId="3" fontId="31" fillId="0" borderId="0" xfId="87" applyNumberFormat="1" applyFont="1" applyBorder="1">
      <alignment/>
      <protection/>
    </xf>
    <xf numFmtId="175" fontId="77" fillId="0" borderId="0" xfId="66" applyNumberFormat="1" applyFont="1" applyFill="1" applyBorder="1" applyAlignment="1" applyProtection="1">
      <alignment/>
      <protection/>
    </xf>
    <xf numFmtId="0" fontId="152" fillId="0" borderId="0" xfId="87" applyFont="1" applyBorder="1">
      <alignment/>
      <protection/>
    </xf>
    <xf numFmtId="167" fontId="31" fillId="0" borderId="57" xfId="87" applyNumberFormat="1" applyFont="1" applyBorder="1">
      <alignment/>
      <protection/>
    </xf>
    <xf numFmtId="167" fontId="31" fillId="0" borderId="58" xfId="87" applyNumberFormat="1" applyFont="1" applyBorder="1" applyAlignment="1">
      <alignment horizontal="center"/>
      <protection/>
    </xf>
    <xf numFmtId="167" fontId="31" fillId="0" borderId="58" xfId="87" applyNumberFormat="1" applyFont="1" applyBorder="1">
      <alignment/>
      <protection/>
    </xf>
    <xf numFmtId="170" fontId="31" fillId="0" borderId="58" xfId="87" applyNumberFormat="1" applyFont="1" applyBorder="1" applyAlignment="1">
      <alignment horizontal="right"/>
      <protection/>
    </xf>
    <xf numFmtId="167" fontId="31" fillId="0" borderId="58" xfId="87" applyNumberFormat="1" applyFont="1" applyBorder="1" applyAlignment="1">
      <alignment horizontal="right"/>
      <protection/>
    </xf>
    <xf numFmtId="170" fontId="30" fillId="0" borderId="58" xfId="87" applyNumberFormat="1" applyFont="1" applyBorder="1">
      <alignment/>
      <protection/>
    </xf>
    <xf numFmtId="167" fontId="31" fillId="0" borderId="59" xfId="87" applyNumberFormat="1" applyFont="1" applyBorder="1">
      <alignment/>
      <protection/>
    </xf>
    <xf numFmtId="0" fontId="30" fillId="0" borderId="60" xfId="87" applyFont="1" applyBorder="1">
      <alignment/>
      <protection/>
    </xf>
    <xf numFmtId="167" fontId="30" fillId="0" borderId="60" xfId="87" applyNumberFormat="1" applyFont="1" applyBorder="1">
      <alignment/>
      <protection/>
    </xf>
    <xf numFmtId="167" fontId="30" fillId="0" borderId="57" xfId="87" applyNumberFormat="1" applyFont="1" applyBorder="1">
      <alignment/>
      <protection/>
    </xf>
    <xf numFmtId="167" fontId="31" fillId="0" borderId="83" xfId="87" applyNumberFormat="1" applyFont="1" applyBorder="1">
      <alignment/>
      <protection/>
    </xf>
    <xf numFmtId="167" fontId="31" fillId="0" borderId="61" xfId="87" applyNumberFormat="1" applyFont="1" applyBorder="1">
      <alignment/>
      <protection/>
    </xf>
    <xf numFmtId="167" fontId="31" fillId="0" borderId="65" xfId="87" applyNumberFormat="1" applyFont="1" applyBorder="1">
      <alignment/>
      <protection/>
    </xf>
    <xf numFmtId="167" fontId="31" fillId="0" borderId="62" xfId="87" applyNumberFormat="1" applyFont="1" applyBorder="1">
      <alignment/>
      <protection/>
    </xf>
    <xf numFmtId="167" fontId="30" fillId="0" borderId="58" xfId="87" applyNumberFormat="1" applyFont="1" applyBorder="1">
      <alignment/>
      <protection/>
    </xf>
    <xf numFmtId="167" fontId="31" fillId="0" borderId="84" xfId="87" applyNumberFormat="1" applyFont="1" applyBorder="1">
      <alignment/>
      <protection/>
    </xf>
    <xf numFmtId="167" fontId="31" fillId="0" borderId="64" xfId="87" applyNumberFormat="1" applyFont="1" applyBorder="1">
      <alignment/>
      <protection/>
    </xf>
    <xf numFmtId="167" fontId="30" fillId="0" borderId="59" xfId="87" applyNumberFormat="1" applyFont="1" applyBorder="1">
      <alignment/>
      <protection/>
    </xf>
    <xf numFmtId="0" fontId="46" fillId="0" borderId="0" xfId="87" applyFont="1" applyBorder="1" applyAlignment="1">
      <alignment horizontal="center"/>
      <protection/>
    </xf>
    <xf numFmtId="174" fontId="31" fillId="0" borderId="58" xfId="66" applyNumberFormat="1" applyFont="1" applyFill="1" applyBorder="1" applyAlignment="1" applyProtection="1">
      <alignment/>
      <protection/>
    </xf>
    <xf numFmtId="178" fontId="31" fillId="0" borderId="0" xfId="87" applyNumberFormat="1" applyFont="1" applyBorder="1">
      <alignment/>
      <protection/>
    </xf>
    <xf numFmtId="174" fontId="30" fillId="0" borderId="59" xfId="66" applyNumberFormat="1" applyFont="1" applyFill="1" applyBorder="1" applyAlignment="1" applyProtection="1">
      <alignment/>
      <protection/>
    </xf>
    <xf numFmtId="174" fontId="30" fillId="0" borderId="59" xfId="66" applyNumberFormat="1" applyFont="1" applyFill="1" applyBorder="1" applyAlignment="1" applyProtection="1">
      <alignment horizontal="left"/>
      <protection/>
    </xf>
    <xf numFmtId="174" fontId="31" fillId="0" borderId="57" xfId="66" applyNumberFormat="1" applyFont="1" applyFill="1" applyBorder="1" applyAlignment="1" applyProtection="1">
      <alignment horizontal="center"/>
      <protection/>
    </xf>
    <xf numFmtId="174" fontId="31" fillId="0" borderId="0" xfId="87" applyNumberFormat="1" applyFont="1" applyBorder="1">
      <alignment/>
      <protection/>
    </xf>
    <xf numFmtId="174" fontId="31" fillId="0" borderId="59" xfId="66" applyNumberFormat="1" applyFont="1" applyFill="1" applyBorder="1" applyAlignment="1" applyProtection="1">
      <alignment/>
      <protection/>
    </xf>
    <xf numFmtId="174" fontId="30" fillId="0" borderId="59" xfId="66" applyNumberFormat="1" applyFont="1" applyFill="1" applyBorder="1" applyAlignment="1" applyProtection="1">
      <alignment horizontal="center"/>
      <protection/>
    </xf>
    <xf numFmtId="0" fontId="30" fillId="0" borderId="0" xfId="87" applyFont="1" applyBorder="1" applyAlignment="1">
      <alignment/>
      <protection/>
    </xf>
    <xf numFmtId="0" fontId="31" fillId="0" borderId="0" xfId="87" applyFont="1" applyBorder="1" applyAlignment="1">
      <alignment/>
      <protection/>
    </xf>
    <xf numFmtId="179" fontId="31" fillId="0" borderId="57" xfId="66" applyNumberFormat="1" applyFont="1" applyFill="1" applyBorder="1" applyAlignment="1" applyProtection="1">
      <alignment/>
      <protection/>
    </xf>
    <xf numFmtId="179" fontId="31" fillId="0" borderId="58" xfId="66" applyNumberFormat="1" applyFont="1" applyFill="1" applyBorder="1" applyAlignment="1" applyProtection="1">
      <alignment/>
      <protection/>
    </xf>
    <xf numFmtId="179" fontId="30" fillId="0" borderId="58" xfId="66" applyNumberFormat="1" applyFont="1" applyFill="1" applyBorder="1" applyAlignment="1" applyProtection="1">
      <alignment/>
      <protection/>
    </xf>
    <xf numFmtId="3" fontId="31" fillId="0" borderId="58" xfId="66" applyNumberFormat="1" applyFont="1" applyFill="1" applyBorder="1" applyAlignment="1" applyProtection="1">
      <alignment/>
      <protection/>
    </xf>
    <xf numFmtId="0" fontId="31" fillId="0" borderId="58" xfId="87" applyFont="1" applyBorder="1" applyAlignment="1">
      <alignment horizontal="left"/>
      <protection/>
    </xf>
    <xf numFmtId="179" fontId="131" fillId="0" borderId="58" xfId="66" applyNumberFormat="1" applyFont="1" applyFill="1" applyBorder="1" applyAlignment="1" applyProtection="1">
      <alignment/>
      <protection/>
    </xf>
    <xf numFmtId="179" fontId="164" fillId="0" borderId="58" xfId="66" applyNumberFormat="1" applyFont="1" applyFill="1" applyBorder="1" applyAlignment="1" applyProtection="1">
      <alignment/>
      <protection/>
    </xf>
    <xf numFmtId="179" fontId="31" fillId="0" borderId="0" xfId="87" applyNumberFormat="1" applyFont="1" applyBorder="1">
      <alignment/>
      <protection/>
    </xf>
    <xf numFmtId="0" fontId="74" fillId="0" borderId="58" xfId="87" applyFont="1" applyBorder="1">
      <alignment/>
      <protection/>
    </xf>
    <xf numFmtId="0" fontId="74" fillId="0" borderId="59" xfId="87" applyFont="1" applyBorder="1">
      <alignment/>
      <protection/>
    </xf>
    <xf numFmtId="179" fontId="30" fillId="0" borderId="59" xfId="66" applyNumberFormat="1" applyFont="1" applyFill="1" applyBorder="1" applyAlignment="1" applyProtection="1">
      <alignment/>
      <protection/>
    </xf>
    <xf numFmtId="179" fontId="31" fillId="0" borderId="59" xfId="66" applyNumberFormat="1" applyFont="1" applyFill="1" applyBorder="1" applyAlignment="1" applyProtection="1">
      <alignment/>
      <protection/>
    </xf>
    <xf numFmtId="0" fontId="30" fillId="40" borderId="83" xfId="87" applyFont="1" applyFill="1" applyBorder="1" applyAlignment="1">
      <alignment horizontal="center"/>
      <protection/>
    </xf>
    <xf numFmtId="0" fontId="30" fillId="40" borderId="65" xfId="87" applyFont="1" applyFill="1" applyBorder="1" applyAlignment="1">
      <alignment horizontal="center"/>
      <protection/>
    </xf>
    <xf numFmtId="0" fontId="30" fillId="40" borderId="84" xfId="87" applyFont="1" applyFill="1" applyBorder="1" applyAlignment="1">
      <alignment horizontal="center"/>
      <protection/>
    </xf>
    <xf numFmtId="0" fontId="30" fillId="0" borderId="58" xfId="87" applyFont="1" applyBorder="1" applyAlignment="1">
      <alignment horizontal="center"/>
      <protection/>
    </xf>
    <xf numFmtId="0" fontId="164" fillId="0" borderId="58" xfId="87" applyFont="1" applyBorder="1">
      <alignment/>
      <protection/>
    </xf>
    <xf numFmtId="0" fontId="164" fillId="0" borderId="58" xfId="87" applyFont="1" applyBorder="1" applyAlignment="1">
      <alignment horizontal="center"/>
      <protection/>
    </xf>
    <xf numFmtId="174" fontId="164" fillId="0" borderId="58" xfId="66" applyNumberFormat="1" applyFont="1" applyFill="1" applyBorder="1" applyAlignment="1" applyProtection="1">
      <alignment/>
      <protection/>
    </xf>
    <xf numFmtId="0" fontId="31" fillId="0" borderId="58" xfId="87" applyFont="1" applyFill="1" applyBorder="1" applyAlignment="1">
      <alignment horizontal="center"/>
      <protection/>
    </xf>
    <xf numFmtId="164" fontId="31" fillId="0" borderId="58" xfId="66" applyNumberFormat="1" applyFont="1" applyFill="1" applyBorder="1" applyAlignment="1" applyProtection="1">
      <alignment/>
      <protection/>
    </xf>
    <xf numFmtId="170" fontId="31" fillId="0" borderId="58" xfId="66" applyNumberFormat="1" applyFont="1" applyFill="1" applyBorder="1" applyAlignment="1" applyProtection="1">
      <alignment/>
      <protection/>
    </xf>
    <xf numFmtId="0" fontId="31" fillId="0" borderId="58" xfId="87" applyFont="1" applyFill="1" applyBorder="1">
      <alignment/>
      <protection/>
    </xf>
    <xf numFmtId="0" fontId="31" fillId="0" borderId="59" xfId="87" applyFont="1" applyBorder="1" applyAlignment="1">
      <alignment horizontal="center"/>
      <protection/>
    </xf>
    <xf numFmtId="0" fontId="30" fillId="0" borderId="60" xfId="87" applyFont="1" applyBorder="1" applyAlignment="1">
      <alignment horizontal="center"/>
      <protection/>
    </xf>
    <xf numFmtId="164" fontId="30" fillId="0" borderId="60" xfId="66" applyNumberFormat="1" applyFont="1" applyFill="1" applyBorder="1" applyAlignment="1" applyProtection="1">
      <alignment/>
      <protection/>
    </xf>
    <xf numFmtId="174" fontId="30" fillId="0" borderId="60" xfId="66" applyNumberFormat="1" applyFont="1" applyFill="1" applyBorder="1" applyAlignment="1" applyProtection="1">
      <alignment/>
      <protection/>
    </xf>
    <xf numFmtId="0" fontId="31" fillId="0" borderId="57" xfId="87" applyFont="1" applyBorder="1" applyAlignment="1">
      <alignment horizontal="center"/>
      <protection/>
    </xf>
    <xf numFmtId="0" fontId="31" fillId="0" borderId="58" xfId="87" applyFont="1" applyBorder="1" applyAlignment="1">
      <alignment horizontal="center"/>
      <protection/>
    </xf>
    <xf numFmtId="180" fontId="31" fillId="0" borderId="58" xfId="66" applyNumberFormat="1" applyFont="1" applyFill="1" applyBorder="1" applyAlignment="1" applyProtection="1">
      <alignment/>
      <protection/>
    </xf>
    <xf numFmtId="170" fontId="30" fillId="0" borderId="85" xfId="66" applyNumberFormat="1" applyFont="1" applyFill="1" applyBorder="1" applyAlignment="1" applyProtection="1">
      <alignment/>
      <protection/>
    </xf>
    <xf numFmtId="0" fontId="31" fillId="39" borderId="58" xfId="87" applyFont="1" applyFill="1" applyBorder="1">
      <alignment/>
      <protection/>
    </xf>
    <xf numFmtId="0" fontId="31" fillId="39" borderId="58" xfId="87" applyFont="1" applyFill="1" applyBorder="1" applyAlignment="1">
      <alignment horizontal="center"/>
      <protection/>
    </xf>
    <xf numFmtId="174" fontId="31" fillId="39" borderId="58" xfId="66" applyNumberFormat="1" applyFont="1" applyFill="1" applyBorder="1" applyAlignment="1" applyProtection="1">
      <alignment/>
      <protection/>
    </xf>
    <xf numFmtId="0" fontId="31" fillId="39" borderId="59" xfId="87" applyFont="1" applyFill="1" applyBorder="1" applyAlignment="1">
      <alignment horizontal="center"/>
      <protection/>
    </xf>
    <xf numFmtId="164" fontId="30" fillId="39" borderId="59" xfId="66" applyNumberFormat="1" applyFont="1" applyFill="1" applyBorder="1" applyAlignment="1" applyProtection="1">
      <alignment/>
      <protection/>
    </xf>
    <xf numFmtId="174" fontId="30" fillId="39" borderId="59" xfId="66" applyNumberFormat="1" applyFont="1" applyFill="1" applyBorder="1" applyAlignment="1" applyProtection="1">
      <alignment/>
      <protection/>
    </xf>
    <xf numFmtId="174" fontId="164" fillId="0" borderId="57" xfId="66" applyNumberFormat="1" applyFont="1" applyFill="1" applyBorder="1" applyAlignment="1" applyProtection="1">
      <alignment/>
      <protection/>
    </xf>
    <xf numFmtId="0" fontId="31" fillId="0" borderId="59" xfId="87" applyFont="1" applyFill="1" applyBorder="1">
      <alignment/>
      <protection/>
    </xf>
    <xf numFmtId="0" fontId="31" fillId="0" borderId="59" xfId="87" applyFont="1" applyFill="1" applyBorder="1" applyAlignment="1">
      <alignment horizontal="center"/>
      <protection/>
    </xf>
    <xf numFmtId="0" fontId="30" fillId="0" borderId="60" xfId="87" applyFont="1" applyFill="1" applyBorder="1">
      <alignment/>
      <protection/>
    </xf>
    <xf numFmtId="0" fontId="30" fillId="0" borderId="60" xfId="87" applyFont="1" applyFill="1" applyBorder="1" applyAlignment="1">
      <alignment horizontal="center"/>
      <protection/>
    </xf>
    <xf numFmtId="0" fontId="31" fillId="0" borderId="57" xfId="87" applyFont="1" applyFill="1" applyBorder="1">
      <alignment/>
      <protection/>
    </xf>
    <xf numFmtId="0" fontId="31" fillId="0" borderId="57" xfId="87" applyFont="1" applyFill="1" applyBorder="1" applyAlignment="1">
      <alignment horizontal="center"/>
      <protection/>
    </xf>
    <xf numFmtId="164" fontId="31" fillId="0" borderId="57" xfId="66" applyNumberFormat="1" applyFont="1" applyFill="1" applyBorder="1" applyAlignment="1" applyProtection="1">
      <alignment/>
      <protection/>
    </xf>
    <xf numFmtId="0" fontId="131" fillId="0" borderId="58" xfId="87" applyFont="1" applyFill="1" applyBorder="1">
      <alignment/>
      <protection/>
    </xf>
    <xf numFmtId="0" fontId="131" fillId="0" borderId="58" xfId="87" applyFont="1" applyFill="1" applyBorder="1" applyAlignment="1">
      <alignment horizontal="center"/>
      <protection/>
    </xf>
    <xf numFmtId="174" fontId="131" fillId="0" borderId="58" xfId="66" applyNumberFormat="1" applyFont="1" applyFill="1" applyBorder="1" applyAlignment="1" applyProtection="1">
      <alignment/>
      <protection/>
    </xf>
    <xf numFmtId="164" fontId="31" fillId="39" borderId="58" xfId="66" applyNumberFormat="1" applyFont="1" applyFill="1" applyBorder="1" applyAlignment="1" applyProtection="1">
      <alignment/>
      <protection/>
    </xf>
    <xf numFmtId="0" fontId="31" fillId="39" borderId="59" xfId="87" applyFont="1" applyFill="1" applyBorder="1">
      <alignment/>
      <protection/>
    </xf>
    <xf numFmtId="0" fontId="44" fillId="0" borderId="0" xfId="87" applyFont="1" applyBorder="1" applyAlignment="1">
      <alignment horizontal="center"/>
      <protection/>
    </xf>
    <xf numFmtId="181" fontId="31" fillId="0" borderId="0" xfId="54" applyFont="1" applyBorder="1" applyAlignment="1">
      <alignment horizontal="right"/>
    </xf>
    <xf numFmtId="0" fontId="30" fillId="40" borderId="63" xfId="87" applyFont="1" applyFill="1" applyBorder="1" applyAlignment="1">
      <alignment horizontal="center"/>
      <protection/>
    </xf>
    <xf numFmtId="3" fontId="30" fillId="40" borderId="63" xfId="87" applyNumberFormat="1" applyFont="1" applyFill="1" applyBorder="1" applyAlignment="1">
      <alignment horizontal="center" wrapText="1"/>
      <protection/>
    </xf>
    <xf numFmtId="3" fontId="30" fillId="40" borderId="60" xfId="87" applyNumberFormat="1" applyFont="1" applyFill="1" applyBorder="1" applyAlignment="1">
      <alignment horizontal="center" vertical="center"/>
      <protection/>
    </xf>
    <xf numFmtId="3" fontId="30" fillId="0" borderId="0" xfId="87" applyNumberFormat="1" applyFont="1" applyBorder="1">
      <alignment/>
      <protection/>
    </xf>
    <xf numFmtId="181" fontId="30" fillId="0" borderId="0" xfId="54" applyFont="1" applyBorder="1" applyAlignment="1">
      <alignment horizontal="right"/>
    </xf>
    <xf numFmtId="0" fontId="31" fillId="0" borderId="58" xfId="86" applyFont="1" applyBorder="1">
      <alignment/>
      <protection/>
    </xf>
    <xf numFmtId="175" fontId="131" fillId="0" borderId="58" xfId="87" applyNumberFormat="1" applyFont="1" applyFill="1" applyBorder="1" applyAlignment="1">
      <alignment horizontal="right"/>
      <protection/>
    </xf>
    <xf numFmtId="175" fontId="31" fillId="0" borderId="58" xfId="87" applyNumberFormat="1" applyFont="1" applyFill="1" applyBorder="1">
      <alignment/>
      <protection/>
    </xf>
    <xf numFmtId="175" fontId="31" fillId="0" borderId="58" xfId="87" applyNumberFormat="1" applyFont="1" applyFill="1" applyBorder="1" applyAlignment="1" quotePrefix="1">
      <alignment horizontal="center"/>
      <protection/>
    </xf>
    <xf numFmtId="175" fontId="31" fillId="0" borderId="62" xfId="87" applyNumberFormat="1" applyFont="1" applyFill="1" applyBorder="1">
      <alignment/>
      <protection/>
    </xf>
    <xf numFmtId="175" fontId="31" fillId="0" borderId="62" xfId="87" applyNumberFormat="1" applyFont="1" applyBorder="1">
      <alignment/>
      <protection/>
    </xf>
    <xf numFmtId="3" fontId="164" fillId="0" borderId="0" xfId="87" applyNumberFormat="1" applyFont="1" applyBorder="1">
      <alignment/>
      <protection/>
    </xf>
    <xf numFmtId="181" fontId="164" fillId="0" borderId="0" xfId="54" applyFont="1" applyBorder="1" applyAlignment="1">
      <alignment horizontal="right"/>
    </xf>
    <xf numFmtId="175" fontId="31" fillId="0" borderId="58" xfId="87" applyNumberFormat="1" applyFont="1" applyFill="1" applyBorder="1" applyAlignment="1">
      <alignment horizontal="right"/>
      <protection/>
    </xf>
    <xf numFmtId="0" fontId="31" fillId="0" borderId="65" xfId="86" applyFont="1" applyBorder="1">
      <alignment/>
      <protection/>
    </xf>
    <xf numFmtId="175" fontId="31" fillId="0" borderId="58" xfId="87" applyNumberFormat="1" applyFont="1" applyFill="1" applyBorder="1" applyAlignment="1" quotePrefix="1">
      <alignment horizontal="right"/>
      <protection/>
    </xf>
    <xf numFmtId="175" fontId="31" fillId="0" borderId="58" xfId="87" applyNumberFormat="1" applyFont="1" applyFill="1" applyBorder="1" applyAlignment="1">
      <alignment horizontal="center"/>
      <protection/>
    </xf>
    <xf numFmtId="0" fontId="31" fillId="0" borderId="59" xfId="86" applyFont="1" applyBorder="1">
      <alignment/>
      <protection/>
    </xf>
    <xf numFmtId="0" fontId="30" fillId="40" borderId="86" xfId="87" applyFont="1" applyFill="1" applyBorder="1" applyAlignment="1">
      <alignment horizontal="center"/>
      <protection/>
    </xf>
    <xf numFmtId="167" fontId="30" fillId="40" borderId="86" xfId="87" applyNumberFormat="1" applyFont="1" applyFill="1" applyBorder="1">
      <alignment/>
      <protection/>
    </xf>
    <xf numFmtId="167" fontId="30" fillId="40" borderId="87" xfId="87" applyNumberFormat="1" applyFont="1" applyFill="1" applyBorder="1">
      <alignment/>
      <protection/>
    </xf>
    <xf numFmtId="0" fontId="165" fillId="0" borderId="0" xfId="87" applyFont="1" applyBorder="1">
      <alignment/>
      <protection/>
    </xf>
    <xf numFmtId="3" fontId="165" fillId="0" borderId="0" xfId="87" applyNumberFormat="1" applyFont="1" applyBorder="1">
      <alignment/>
      <protection/>
    </xf>
    <xf numFmtId="181" fontId="165" fillId="0" borderId="0" xfId="54" applyFont="1" applyBorder="1" applyAlignment="1">
      <alignment horizontal="right"/>
    </xf>
    <xf numFmtId="0" fontId="30" fillId="0" borderId="86" xfId="87" applyFont="1" applyFill="1" applyBorder="1" applyAlignment="1">
      <alignment horizontal="center"/>
      <protection/>
    </xf>
    <xf numFmtId="167" fontId="30" fillId="0" borderId="86" xfId="86" applyNumberFormat="1" applyFont="1" applyFill="1" applyBorder="1">
      <alignment/>
      <protection/>
    </xf>
    <xf numFmtId="167" fontId="30" fillId="0" borderId="87" xfId="86" applyNumberFormat="1" applyFont="1" applyFill="1" applyBorder="1">
      <alignment/>
      <protection/>
    </xf>
    <xf numFmtId="167" fontId="31" fillId="0" borderId="0" xfId="87" applyNumberFormat="1" applyFont="1" applyBorder="1">
      <alignment/>
      <protection/>
    </xf>
    <xf numFmtId="0" fontId="30" fillId="0" borderId="0" xfId="87" applyFont="1" applyBorder="1" applyAlignment="1">
      <alignment horizontal="center"/>
      <protection/>
    </xf>
    <xf numFmtId="0" fontId="27" fillId="0" borderId="0" xfId="86" applyFont="1">
      <alignment/>
      <protection/>
    </xf>
    <xf numFmtId="0" fontId="163" fillId="0" borderId="0" xfId="86" applyFont="1">
      <alignment/>
      <protection/>
    </xf>
    <xf numFmtId="0" fontId="166" fillId="0" borderId="0" xfId="86" applyFont="1" applyAlignment="1">
      <alignment horizontal="right"/>
      <protection/>
    </xf>
    <xf numFmtId="0" fontId="160" fillId="0" borderId="0" xfId="86" applyFont="1" applyAlignment="1">
      <alignment horizontal="center"/>
      <protection/>
    </xf>
    <xf numFmtId="0" fontId="152" fillId="0" borderId="0" xfId="86" applyFont="1">
      <alignment/>
      <protection/>
    </xf>
    <xf numFmtId="0" fontId="48" fillId="42" borderId="38" xfId="86" applyFont="1" applyFill="1" applyBorder="1" applyAlignment="1">
      <alignment vertical="top" wrapText="1"/>
      <protection/>
    </xf>
    <xf numFmtId="0" fontId="46" fillId="42" borderId="21" xfId="86" applyFont="1" applyFill="1" applyBorder="1" applyAlignment="1">
      <alignment horizontal="center" vertical="top" wrapText="1"/>
      <protection/>
    </xf>
    <xf numFmtId="0" fontId="46" fillId="42" borderId="54" xfId="86" applyFont="1" applyFill="1" applyBorder="1" applyAlignment="1">
      <alignment horizontal="center" vertical="top" wrapText="1"/>
      <protection/>
    </xf>
    <xf numFmtId="0" fontId="45" fillId="0" borderId="50" xfId="86" applyFont="1" applyBorder="1" applyAlignment="1">
      <alignment vertical="top" wrapText="1"/>
      <protection/>
    </xf>
    <xf numFmtId="0" fontId="45" fillId="0" borderId="68" xfId="86" applyFont="1" applyBorder="1" applyAlignment="1">
      <alignment horizontal="center" vertical="top" wrapText="1"/>
      <protection/>
    </xf>
    <xf numFmtId="0" fontId="31" fillId="0" borderId="38" xfId="86" applyFont="1" applyBorder="1" applyAlignment="1">
      <alignment vertical="top" wrapText="1"/>
      <protection/>
    </xf>
    <xf numFmtId="3" fontId="45" fillId="0" borderId="67" xfId="86" applyNumberFormat="1" applyFont="1" applyBorder="1" applyAlignment="1">
      <alignment horizontal="center" vertical="top" wrapText="1"/>
      <protection/>
    </xf>
    <xf numFmtId="9" fontId="27" fillId="0" borderId="0" xfId="109" applyFont="1" applyAlignment="1">
      <alignment/>
    </xf>
    <xf numFmtId="0" fontId="45" fillId="0" borderId="67" xfId="86" applyFont="1" applyBorder="1" applyAlignment="1">
      <alignment horizontal="center" vertical="top" wrapText="1"/>
      <protection/>
    </xf>
    <xf numFmtId="167" fontId="45" fillId="0" borderId="0" xfId="86" applyNumberFormat="1" applyFont="1" applyBorder="1" applyAlignment="1" applyProtection="1">
      <alignment horizontal="center"/>
      <protection/>
    </xf>
    <xf numFmtId="3" fontId="45" fillId="0" borderId="88" xfId="86" applyNumberFormat="1" applyFont="1" applyBorder="1" applyAlignment="1">
      <alignment horizontal="center" vertical="top" wrapText="1"/>
      <protection/>
    </xf>
    <xf numFmtId="0" fontId="152" fillId="0" borderId="50" xfId="86" applyFont="1" applyBorder="1" applyAlignment="1">
      <alignment vertical="top" wrapText="1"/>
      <protection/>
    </xf>
    <xf numFmtId="0" fontId="152" fillId="0" borderId="67" xfId="86" applyFont="1" applyBorder="1" applyAlignment="1">
      <alignment horizontal="center" vertical="top" wrapText="1"/>
      <protection/>
    </xf>
    <xf numFmtId="0" fontId="153" fillId="0" borderId="50" xfId="86" applyFont="1" applyBorder="1" applyAlignment="1">
      <alignment vertical="top" wrapText="1"/>
      <protection/>
    </xf>
    <xf numFmtId="0" fontId="153" fillId="0" borderId="67" xfId="86" applyFont="1" applyBorder="1" applyAlignment="1">
      <alignment horizontal="center" vertical="top" wrapText="1"/>
      <protection/>
    </xf>
    <xf numFmtId="0" fontId="138" fillId="0" borderId="0" xfId="86" applyFont="1">
      <alignment/>
      <protection/>
    </xf>
    <xf numFmtId="3" fontId="27" fillId="0" borderId="0" xfId="86" applyNumberFormat="1" applyFont="1">
      <alignment/>
      <protection/>
    </xf>
    <xf numFmtId="0" fontId="45" fillId="0" borderId="67" xfId="86" applyFont="1" applyBorder="1" applyAlignment="1">
      <alignment vertical="top" wrapText="1"/>
      <protection/>
    </xf>
    <xf numFmtId="0" fontId="45" fillId="0" borderId="53" xfId="86" applyFont="1" applyBorder="1" applyAlignment="1">
      <alignment vertical="top" wrapText="1"/>
      <protection/>
    </xf>
    <xf numFmtId="0" fontId="45" fillId="0" borderId="89" xfId="86" applyFont="1" applyBorder="1" applyAlignment="1">
      <alignment vertical="top" wrapText="1"/>
      <protection/>
    </xf>
    <xf numFmtId="0" fontId="31" fillId="0" borderId="67" xfId="86" applyFont="1" applyBorder="1" applyAlignment="1">
      <alignment vertical="top" wrapText="1"/>
      <protection/>
    </xf>
    <xf numFmtId="0" fontId="31" fillId="0" borderId="70" xfId="86" applyFont="1" applyBorder="1" applyAlignment="1">
      <alignment vertical="top" wrapText="1"/>
      <protection/>
    </xf>
    <xf numFmtId="0" fontId="31" fillId="0" borderId="74" xfId="86" applyFont="1" applyBorder="1" applyAlignment="1">
      <alignment vertical="top" wrapText="1"/>
      <protection/>
    </xf>
    <xf numFmtId="0" fontId="31" fillId="0" borderId="0" xfId="86" applyFont="1" applyAlignment="1">
      <alignment vertical="top" wrapText="1"/>
      <protection/>
    </xf>
    <xf numFmtId="0" fontId="30" fillId="0" borderId="74" xfId="86" applyFont="1" applyBorder="1" applyAlignment="1">
      <alignment vertical="top" wrapText="1"/>
      <protection/>
    </xf>
    <xf numFmtId="0" fontId="31" fillId="0" borderId="0" xfId="86" applyFont="1" applyBorder="1" applyAlignment="1">
      <alignment vertical="top" wrapText="1"/>
      <protection/>
    </xf>
    <xf numFmtId="0" fontId="165" fillId="0" borderId="89" xfId="86" applyFont="1" applyBorder="1" applyAlignment="1">
      <alignment vertical="top" wrapText="1"/>
      <protection/>
    </xf>
    <xf numFmtId="0" fontId="165" fillId="0" borderId="90" xfId="86" applyFont="1" applyBorder="1" applyAlignment="1">
      <alignment vertical="top" wrapText="1"/>
      <protection/>
    </xf>
    <xf numFmtId="0" fontId="164" fillId="0" borderId="80" xfId="86" applyFont="1" applyBorder="1" applyAlignment="1">
      <alignment vertical="top" wrapText="1"/>
      <protection/>
    </xf>
    <xf numFmtId="0" fontId="164" fillId="0" borderId="0" xfId="86" applyFont="1" applyAlignment="1">
      <alignment wrapText="1"/>
      <protection/>
    </xf>
    <xf numFmtId="0" fontId="31" fillId="0" borderId="0" xfId="86" applyFont="1" applyAlignment="1">
      <alignment wrapText="1"/>
      <protection/>
    </xf>
    <xf numFmtId="0" fontId="167" fillId="0" borderId="0" xfId="86" applyFont="1" applyAlignment="1">
      <alignment horizontal="center"/>
      <protection/>
    </xf>
    <xf numFmtId="0" fontId="168" fillId="0" borderId="0" xfId="86" applyFont="1">
      <alignment/>
      <protection/>
    </xf>
    <xf numFmtId="0" fontId="167" fillId="0" borderId="0" xfId="86" applyFont="1">
      <alignment/>
      <protection/>
    </xf>
    <xf numFmtId="0" fontId="28" fillId="0" borderId="0" xfId="86" applyFont="1" applyAlignment="1">
      <alignment horizontal="right"/>
      <protection/>
    </xf>
    <xf numFmtId="0" fontId="47" fillId="0" borderId="0" xfId="86" applyFont="1" applyAlignment="1">
      <alignment horizontal="center"/>
      <protection/>
    </xf>
    <xf numFmtId="0" fontId="45" fillId="0" borderId="0" xfId="86" applyFont="1">
      <alignment/>
      <protection/>
    </xf>
    <xf numFmtId="2" fontId="45" fillId="0" borderId="67" xfId="86" applyNumberFormat="1" applyFont="1" applyBorder="1" applyAlignment="1">
      <alignment horizontal="center" vertical="top" wrapText="1"/>
      <protection/>
    </xf>
    <xf numFmtId="0" fontId="45" fillId="0" borderId="74" xfId="86" applyFont="1" applyBorder="1" applyAlignment="1">
      <alignment horizontal="center" vertical="top" wrapText="1"/>
      <protection/>
    </xf>
    <xf numFmtId="0" fontId="45" fillId="0" borderId="74" xfId="86" applyFont="1" applyBorder="1" applyAlignment="1">
      <alignment vertical="top" wrapText="1"/>
      <protection/>
    </xf>
    <xf numFmtId="9" fontId="45" fillId="0" borderId="67" xfId="109" applyFont="1" applyBorder="1" applyAlignment="1">
      <alignment horizontal="center" vertical="top" wrapText="1"/>
    </xf>
    <xf numFmtId="9" fontId="45" fillId="0" borderId="74" xfId="109" applyFont="1" applyBorder="1" applyAlignment="1">
      <alignment horizontal="center" vertical="top" wrapText="1"/>
    </xf>
    <xf numFmtId="0" fontId="31" fillId="0" borderId="36" xfId="86" applyFont="1" applyBorder="1" applyAlignment="1">
      <alignment vertical="top" wrapText="1"/>
      <protection/>
    </xf>
    <xf numFmtId="0" fontId="31" fillId="0" borderId="13" xfId="86" applyFont="1" applyBorder="1" applyAlignment="1">
      <alignment vertical="top" wrapText="1"/>
      <protection/>
    </xf>
    <xf numFmtId="0" fontId="31" fillId="0" borderId="27" xfId="86" applyFont="1" applyBorder="1" applyAlignment="1">
      <alignment vertical="top" wrapText="1"/>
      <protection/>
    </xf>
    <xf numFmtId="0" fontId="31" fillId="0" borderId="88" xfId="86" applyFont="1" applyBorder="1" applyAlignment="1">
      <alignment vertical="top" wrapText="1"/>
      <protection/>
    </xf>
    <xf numFmtId="0" fontId="31" fillId="0" borderId="20" xfId="86" applyFont="1" applyBorder="1" applyAlignment="1">
      <alignment vertical="top" wrapText="1"/>
      <protection/>
    </xf>
    <xf numFmtId="0" fontId="31" fillId="0" borderId="88" xfId="86" applyFont="1" applyBorder="1" applyAlignment="1">
      <alignment horizontal="center" vertical="top" wrapText="1"/>
      <protection/>
    </xf>
    <xf numFmtId="0" fontId="31" fillId="0" borderId="90" xfId="86" applyFont="1" applyBorder="1" applyAlignment="1">
      <alignment vertical="top" wrapText="1"/>
      <protection/>
    </xf>
    <xf numFmtId="0" fontId="31" fillId="0" borderId="0" xfId="86" applyFont="1" applyBorder="1" applyAlignment="1">
      <alignment horizontal="center" vertical="top" wrapText="1"/>
      <protection/>
    </xf>
    <xf numFmtId="0" fontId="31" fillId="0" borderId="34" xfId="86" applyFont="1" applyBorder="1" applyAlignment="1">
      <alignment vertical="top" wrapText="1"/>
      <protection/>
    </xf>
    <xf numFmtId="0" fontId="31" fillId="0" borderId="12" xfId="86" applyFont="1" applyBorder="1" applyAlignment="1">
      <alignment vertical="top" wrapText="1"/>
      <protection/>
    </xf>
    <xf numFmtId="0" fontId="31" fillId="0" borderId="22" xfId="86" applyFont="1" applyBorder="1" applyAlignment="1">
      <alignment vertical="top" wrapText="1"/>
      <protection/>
    </xf>
    <xf numFmtId="0" fontId="30" fillId="0" borderId="0" xfId="86" applyFont="1" applyAlignment="1">
      <alignment/>
      <protection/>
    </xf>
    <xf numFmtId="0" fontId="30" fillId="0" borderId="0" xfId="86" applyFont="1">
      <alignment/>
      <protection/>
    </xf>
    <xf numFmtId="165" fontId="46" fillId="0" borderId="0" xfId="85" applyFont="1" applyBorder="1" applyAlignment="1" applyProtection="1">
      <alignment horizontal="center"/>
      <protection/>
    </xf>
    <xf numFmtId="0" fontId="44" fillId="0" borderId="0" xfId="87" applyFont="1" applyBorder="1" applyAlignment="1">
      <alignment horizontal="center"/>
      <protection/>
    </xf>
    <xf numFmtId="0" fontId="136" fillId="0" borderId="0" xfId="0" applyFont="1" applyAlignment="1">
      <alignment horizontal="left" vertical="center" indent="3"/>
    </xf>
    <xf numFmtId="0" fontId="69" fillId="0" borderId="0" xfId="87" applyFont="1" applyBorder="1" applyAlignment="1">
      <alignment/>
      <protection/>
    </xf>
    <xf numFmtId="165" fontId="45" fillId="0" borderId="0" xfId="85" applyFont="1" applyBorder="1" applyAlignment="1" applyProtection="1">
      <alignment horizontal="center"/>
      <protection/>
    </xf>
    <xf numFmtId="0" fontId="45" fillId="0" borderId="0" xfId="0" applyFont="1" applyBorder="1" applyAlignment="1">
      <alignment horizontal="left"/>
    </xf>
    <xf numFmtId="0" fontId="45" fillId="0" borderId="0" xfId="0" applyFont="1" applyBorder="1" applyAlignment="1">
      <alignment/>
    </xf>
    <xf numFmtId="183" fontId="45" fillId="0" borderId="0" xfId="108" applyNumberFormat="1" applyFont="1" applyBorder="1" applyAlignment="1">
      <alignment horizontal="right"/>
    </xf>
    <xf numFmtId="0" fontId="121" fillId="0" borderId="0" xfId="0" applyFont="1" applyAlignment="1">
      <alignment vertical="center" wrapText="1"/>
    </xf>
    <xf numFmtId="3" fontId="120" fillId="0" borderId="0" xfId="0" applyNumberFormat="1" applyFont="1" applyBorder="1" applyAlignment="1">
      <alignment horizontal="right" vertical="center" wrapText="1"/>
    </xf>
    <xf numFmtId="3" fontId="121" fillId="0" borderId="16" xfId="0" applyNumberFormat="1" applyFont="1" applyBorder="1" applyAlignment="1">
      <alignment horizontal="right" vertical="center" wrapText="1"/>
    </xf>
    <xf numFmtId="3" fontId="121" fillId="0" borderId="0" xfId="0" applyNumberFormat="1" applyFont="1" applyBorder="1" applyAlignment="1">
      <alignment horizontal="right" vertical="center" wrapText="1"/>
    </xf>
    <xf numFmtId="0" fontId="121" fillId="0" borderId="0" xfId="0" applyFont="1" applyBorder="1" applyAlignment="1">
      <alignment horizontal="center" vertical="center" wrapText="1"/>
    </xf>
    <xf numFmtId="0" fontId="169" fillId="0" borderId="24" xfId="0" applyFont="1" applyBorder="1" applyAlignment="1">
      <alignment horizontal="center" vertical="center" wrapText="1"/>
    </xf>
    <xf numFmtId="41" fontId="120" fillId="0" borderId="0" xfId="52" applyFont="1" applyBorder="1" applyAlignment="1">
      <alignment horizontal="center" vertical="center"/>
    </xf>
    <xf numFmtId="41" fontId="141" fillId="0" borderId="38" xfId="0" applyNumberFormat="1" applyFont="1" applyBorder="1" applyAlignment="1">
      <alignment horizontal="right" vertical="center"/>
    </xf>
    <xf numFmtId="41" fontId="141" fillId="0" borderId="41" xfId="0" applyNumberFormat="1" applyFont="1" applyBorder="1" applyAlignment="1">
      <alignment horizontal="right" vertical="center"/>
    </xf>
    <xf numFmtId="0" fontId="44" fillId="0" borderId="0" xfId="86" applyFont="1" applyAlignment="1">
      <alignment/>
      <protection/>
    </xf>
    <xf numFmtId="41" fontId="27" fillId="0" borderId="0" xfId="52" applyFont="1" applyAlignment="1">
      <alignment/>
    </xf>
    <xf numFmtId="41" fontId="163" fillId="0" borderId="0" xfId="52" applyFont="1" applyAlignment="1">
      <alignment/>
    </xf>
    <xf numFmtId="41" fontId="163" fillId="0" borderId="0" xfId="52" applyFont="1" applyBorder="1" applyAlignment="1">
      <alignment/>
    </xf>
    <xf numFmtId="0" fontId="163" fillId="0" borderId="0" xfId="86" applyFont="1" applyBorder="1">
      <alignment/>
      <protection/>
    </xf>
    <xf numFmtId="2" fontId="163" fillId="0" borderId="0" xfId="86" applyNumberFormat="1" applyFont="1" applyBorder="1">
      <alignment/>
      <protection/>
    </xf>
    <xf numFmtId="0" fontId="140" fillId="0" borderId="20" xfId="0" applyFont="1" applyBorder="1" applyAlignment="1">
      <alignment vertical="center"/>
    </xf>
    <xf numFmtId="0" fontId="140" fillId="0" borderId="22" xfId="0" applyFont="1" applyBorder="1" applyAlignment="1">
      <alignment vertical="center"/>
    </xf>
    <xf numFmtId="0" fontId="43" fillId="0" borderId="0" xfId="0" applyFont="1" applyBorder="1" applyAlignment="1">
      <alignment/>
    </xf>
    <xf numFmtId="170" fontId="64" fillId="0" borderId="0" xfId="0" applyNumberFormat="1" applyFont="1" applyBorder="1" applyAlignment="1">
      <alignment/>
    </xf>
    <xf numFmtId="3" fontId="43" fillId="0" borderId="0" xfId="73" applyNumberFormat="1" applyFont="1" applyBorder="1" applyAlignment="1">
      <alignment/>
    </xf>
    <xf numFmtId="0" fontId="170" fillId="0" borderId="0" xfId="0" applyFont="1" applyBorder="1" applyAlignment="1">
      <alignment/>
    </xf>
    <xf numFmtId="165" fontId="170" fillId="0" borderId="0" xfId="85" applyFont="1" applyBorder="1">
      <alignment/>
      <protection/>
    </xf>
    <xf numFmtId="2" fontId="170" fillId="0" borderId="0" xfId="85" applyNumberFormat="1" applyFont="1" applyBorder="1">
      <alignment/>
      <protection/>
    </xf>
    <xf numFmtId="184" fontId="170" fillId="0" borderId="0" xfId="52" applyNumberFormat="1" applyFont="1" applyBorder="1" applyAlignment="1">
      <alignment/>
    </xf>
    <xf numFmtId="9" fontId="170" fillId="0" borderId="0" xfId="107" applyFont="1" applyBorder="1" applyAlignment="1">
      <alignment/>
    </xf>
    <xf numFmtId="3" fontId="120" fillId="0" borderId="0" xfId="0" applyNumberFormat="1" applyFont="1" applyBorder="1" applyAlignment="1">
      <alignment horizontal="right" vertical="center" wrapText="1"/>
    </xf>
    <xf numFmtId="3" fontId="121" fillId="0" borderId="0" xfId="0" applyNumberFormat="1" applyFont="1" applyBorder="1" applyAlignment="1">
      <alignment horizontal="right" vertical="center" wrapText="1"/>
    </xf>
    <xf numFmtId="0" fontId="120" fillId="0" borderId="0" xfId="0" applyFont="1" applyAlignment="1">
      <alignment horizontal="right" vertical="center" wrapText="1"/>
    </xf>
    <xf numFmtId="41" fontId="18" fillId="36" borderId="32" xfId="87" applyNumberFormat="1" applyFont="1" applyFill="1" applyBorder="1" applyAlignment="1">
      <alignment/>
      <protection/>
    </xf>
    <xf numFmtId="41" fontId="18" fillId="36" borderId="17" xfId="87" applyNumberFormat="1" applyFont="1" applyFill="1" applyBorder="1" applyAlignment="1">
      <alignment/>
      <protection/>
    </xf>
    <xf numFmtId="0" fontId="119" fillId="0" borderId="0" xfId="0" applyFont="1" applyBorder="1" applyAlignment="1">
      <alignment/>
    </xf>
    <xf numFmtId="0" fontId="150" fillId="0" borderId="0" xfId="0" applyFont="1" applyAlignment="1">
      <alignment horizontal="center" vertical="center"/>
    </xf>
    <xf numFmtId="165" fontId="44" fillId="0" borderId="0" xfId="85" applyFont="1" applyBorder="1" applyAlignment="1" applyProtection="1">
      <alignment horizontal="center"/>
      <protection/>
    </xf>
    <xf numFmtId="165" fontId="46" fillId="0" borderId="0" xfId="85" applyFont="1" applyBorder="1" applyAlignment="1" applyProtection="1">
      <alignment horizontal="center"/>
      <protection/>
    </xf>
    <xf numFmtId="0" fontId="121" fillId="0" borderId="0" xfId="0" applyFont="1" applyAlignment="1">
      <alignment vertical="center" wrapText="1"/>
    </xf>
    <xf numFmtId="0" fontId="121" fillId="0" borderId="0" xfId="0" applyFont="1" applyAlignment="1">
      <alignment horizontal="right" vertical="center" wrapText="1"/>
    </xf>
    <xf numFmtId="3" fontId="121" fillId="0" borderId="0" xfId="0" applyNumberFormat="1" applyFont="1" applyBorder="1" applyAlignment="1">
      <alignment horizontal="right" vertical="center" wrapText="1"/>
    </xf>
    <xf numFmtId="0" fontId="125" fillId="0" borderId="0" xfId="0" applyFont="1" applyAlignment="1">
      <alignment/>
    </xf>
    <xf numFmtId="0" fontId="0" fillId="0" borderId="0" xfId="0" applyFont="1" applyAlignment="1">
      <alignment horizontal="left"/>
    </xf>
    <xf numFmtId="165" fontId="44" fillId="0" borderId="0" xfId="85" applyFont="1" applyBorder="1" applyAlignment="1" applyProtection="1">
      <alignment/>
      <protection/>
    </xf>
    <xf numFmtId="165" fontId="46" fillId="0" borderId="0" xfId="85" applyFont="1" applyBorder="1" applyAlignment="1" applyProtection="1">
      <alignment/>
      <protection/>
    </xf>
    <xf numFmtId="165" fontId="28" fillId="0" borderId="0" xfId="85" applyFont="1" applyBorder="1" applyAlignment="1" applyProtection="1">
      <alignment/>
      <protection/>
    </xf>
    <xf numFmtId="165" fontId="28" fillId="0" borderId="0" xfId="85" applyFont="1" applyBorder="1" applyAlignment="1">
      <alignment/>
      <protection/>
    </xf>
    <xf numFmtId="165" fontId="171" fillId="0" borderId="0" xfId="85" applyFont="1" applyBorder="1" applyAlignment="1" applyProtection="1">
      <alignment/>
      <protection/>
    </xf>
    <xf numFmtId="165" fontId="48" fillId="0" borderId="0" xfId="85" applyFont="1" applyBorder="1" applyAlignment="1" applyProtection="1">
      <alignment/>
      <protection/>
    </xf>
    <xf numFmtId="0" fontId="132" fillId="0" borderId="0" xfId="0" applyFont="1" applyBorder="1" applyAlignment="1">
      <alignment/>
    </xf>
    <xf numFmtId="0" fontId="124" fillId="0" borderId="0" xfId="0" applyFont="1" applyBorder="1" applyAlignment="1">
      <alignment horizontal="left" vertical="center"/>
    </xf>
    <xf numFmtId="0" fontId="14" fillId="0" borderId="0" xfId="0" applyFont="1" applyAlignment="1">
      <alignment vertical="center"/>
    </xf>
    <xf numFmtId="165" fontId="30" fillId="43" borderId="54" xfId="85" applyFont="1" applyFill="1" applyBorder="1" applyAlignment="1" applyProtection="1">
      <alignment horizontal="center"/>
      <protection/>
    </xf>
    <xf numFmtId="165" fontId="47" fillId="43" borderId="50" xfId="85" applyFont="1" applyFill="1" applyBorder="1" applyAlignment="1" applyProtection="1">
      <alignment horizontal="center"/>
      <protection/>
    </xf>
    <xf numFmtId="165" fontId="30" fillId="43" borderId="53" xfId="85" applyFont="1" applyFill="1" applyBorder="1" applyAlignment="1" applyProtection="1">
      <alignment horizontal="center"/>
      <protection/>
    </xf>
    <xf numFmtId="165" fontId="30" fillId="43" borderId="74" xfId="85" applyFont="1" applyFill="1" applyBorder="1" applyAlignment="1">
      <alignment horizontal="center"/>
      <protection/>
    </xf>
    <xf numFmtId="165" fontId="30" fillId="43" borderId="50" xfId="85" applyFont="1" applyFill="1" applyBorder="1" applyAlignment="1">
      <alignment horizontal="center"/>
      <protection/>
    </xf>
    <xf numFmtId="165" fontId="30" fillId="43" borderId="50" xfId="85" applyFont="1" applyFill="1" applyBorder="1">
      <alignment/>
      <protection/>
    </xf>
    <xf numFmtId="165" fontId="30" fillId="43" borderId="80" xfId="85" applyFont="1" applyFill="1" applyBorder="1" applyAlignment="1">
      <alignment horizontal="center"/>
      <protection/>
    </xf>
    <xf numFmtId="165" fontId="30" fillId="43" borderId="53" xfId="85" applyFont="1" applyFill="1" applyBorder="1" applyAlignment="1">
      <alignment horizontal="center"/>
      <protection/>
    </xf>
    <xf numFmtId="165" fontId="67" fillId="43" borderId="54" xfId="85" applyFont="1" applyFill="1" applyBorder="1">
      <alignment/>
      <protection/>
    </xf>
    <xf numFmtId="165" fontId="31" fillId="40" borderId="54" xfId="85" applyFont="1" applyFill="1" applyBorder="1" applyAlignment="1" applyProtection="1">
      <alignment horizontal="left"/>
      <protection/>
    </xf>
    <xf numFmtId="167" fontId="31" fillId="40" borderId="54" xfId="85" applyNumberFormat="1" applyFont="1" applyFill="1" applyBorder="1">
      <alignment/>
      <protection/>
    </xf>
    <xf numFmtId="167" fontId="68" fillId="40" borderId="54" xfId="85" applyNumberFormat="1" applyFont="1" applyFill="1" applyBorder="1">
      <alignment/>
      <protection/>
    </xf>
    <xf numFmtId="165" fontId="30" fillId="40" borderId="53" xfId="85" applyFont="1" applyFill="1" applyBorder="1" applyAlignment="1" applyProtection="1">
      <alignment horizontal="left"/>
      <protection/>
    </xf>
    <xf numFmtId="167" fontId="30" fillId="40" borderId="53" xfId="85" applyNumberFormat="1" applyFont="1" applyFill="1" applyBorder="1" applyProtection="1">
      <alignment/>
      <protection/>
    </xf>
    <xf numFmtId="167" fontId="30" fillId="40" borderId="55" xfId="85" applyNumberFormat="1" applyFont="1" applyFill="1" applyBorder="1" applyProtection="1">
      <alignment/>
      <protection/>
    </xf>
    <xf numFmtId="167" fontId="31" fillId="40" borderId="68" xfId="85" applyNumberFormat="1" applyFont="1" applyFill="1" applyBorder="1">
      <alignment/>
      <protection/>
    </xf>
    <xf numFmtId="167" fontId="68" fillId="40" borderId="38" xfId="85" applyNumberFormat="1" applyFont="1" applyFill="1" applyBorder="1">
      <alignment/>
      <protection/>
    </xf>
    <xf numFmtId="167" fontId="30" fillId="40" borderId="89" xfId="85" applyNumberFormat="1" applyFont="1" applyFill="1" applyBorder="1" applyProtection="1">
      <alignment/>
      <protection/>
    </xf>
    <xf numFmtId="167" fontId="30" fillId="40" borderId="21" xfId="85" applyNumberFormat="1" applyFont="1" applyFill="1" applyBorder="1" applyProtection="1">
      <alignment/>
      <protection/>
    </xf>
    <xf numFmtId="165" fontId="45" fillId="0" borderId="0" xfId="85" applyFont="1" applyBorder="1" applyAlignment="1" applyProtection="1">
      <alignment horizontal="center"/>
      <protection/>
    </xf>
    <xf numFmtId="3" fontId="120" fillId="0" borderId="0" xfId="0" applyNumberFormat="1" applyFont="1" applyBorder="1" applyAlignment="1">
      <alignment horizontal="right" vertical="center" wrapText="1"/>
    </xf>
    <xf numFmtId="3" fontId="121" fillId="0" borderId="0" xfId="0" applyNumberFormat="1" applyFont="1" applyBorder="1" applyAlignment="1">
      <alignment horizontal="right" vertical="center" wrapText="1"/>
    </xf>
    <xf numFmtId="0" fontId="120" fillId="0" borderId="0" xfId="0" applyFont="1" applyAlignment="1">
      <alignment horizontal="right" vertical="center" wrapText="1"/>
    </xf>
    <xf numFmtId="0" fontId="131" fillId="0" borderId="0" xfId="0" applyFont="1" applyAlignment="1">
      <alignment vertical="center" wrapText="1"/>
    </xf>
    <xf numFmtId="0" fontId="126" fillId="0" borderId="0" xfId="0" applyFont="1" applyAlignment="1">
      <alignment vertical="center"/>
    </xf>
    <xf numFmtId="41" fontId="141" fillId="0" borderId="32" xfId="52" applyFont="1" applyBorder="1" applyAlignment="1">
      <alignment horizontal="right" vertical="center"/>
    </xf>
    <xf numFmtId="0" fontId="141" fillId="0" borderId="91" xfId="0" applyFont="1" applyBorder="1" applyAlignment="1">
      <alignment vertical="center"/>
    </xf>
    <xf numFmtId="41" fontId="141" fillId="0" borderId="45" xfId="52" applyFont="1" applyBorder="1" applyAlignment="1">
      <alignment horizontal="right" vertical="center"/>
    </xf>
    <xf numFmtId="0" fontId="141" fillId="0" borderId="92" xfId="0" applyFont="1" applyBorder="1" applyAlignment="1">
      <alignment horizontal="right" vertical="center"/>
    </xf>
    <xf numFmtId="41" fontId="141" fillId="0" borderId="45" xfId="0" applyNumberFormat="1" applyFont="1" applyBorder="1" applyAlignment="1">
      <alignment horizontal="right" vertical="center"/>
    </xf>
    <xf numFmtId="0" fontId="129" fillId="0" borderId="93" xfId="0" applyFont="1" applyBorder="1" applyAlignment="1">
      <alignment horizontal="right" vertical="center"/>
    </xf>
    <xf numFmtId="0" fontId="141" fillId="44" borderId="94" xfId="0" applyFont="1" applyFill="1" applyBorder="1" applyAlignment="1">
      <alignment vertical="center"/>
    </xf>
    <xf numFmtId="41" fontId="141" fillId="44" borderId="14" xfId="52" applyFont="1" applyFill="1" applyBorder="1" applyAlignment="1">
      <alignment horizontal="right" vertical="center"/>
    </xf>
    <xf numFmtId="0" fontId="141" fillId="44" borderId="14" xfId="0" applyFont="1" applyFill="1" applyBorder="1" applyAlignment="1">
      <alignment horizontal="right" vertical="center"/>
    </xf>
    <xf numFmtId="41" fontId="142" fillId="44" borderId="14" xfId="0" applyNumberFormat="1" applyFont="1" applyFill="1" applyBorder="1" applyAlignment="1">
      <alignment horizontal="center" vertical="center"/>
    </xf>
    <xf numFmtId="0" fontId="128" fillId="44" borderId="24" xfId="0" applyFont="1" applyFill="1" applyBorder="1" applyAlignment="1">
      <alignment horizontal="center" vertical="center"/>
    </xf>
    <xf numFmtId="0" fontId="172" fillId="0" borderId="0" xfId="0" applyFont="1" applyAlignment="1">
      <alignment vertical="center"/>
    </xf>
    <xf numFmtId="0" fontId="128" fillId="0" borderId="43" xfId="0" applyFont="1" applyBorder="1" applyAlignment="1">
      <alignment vertical="center"/>
    </xf>
    <xf numFmtId="3" fontId="128" fillId="0" borderId="44" xfId="0" applyNumberFormat="1" applyFont="1" applyBorder="1" applyAlignment="1">
      <alignment horizontal="right" vertical="center"/>
    </xf>
    <xf numFmtId="165" fontId="45" fillId="0" borderId="0" xfId="85" applyFont="1" applyBorder="1" applyAlignment="1" applyProtection="1">
      <alignment horizontal="center"/>
      <protection/>
    </xf>
    <xf numFmtId="3" fontId="45" fillId="0" borderId="50" xfId="86" applyNumberFormat="1" applyFont="1" applyBorder="1" applyAlignment="1">
      <alignment horizontal="center" vertical="top" wrapText="1"/>
      <protection/>
    </xf>
    <xf numFmtId="0" fontId="45" fillId="0" borderId="50" xfId="86" applyFont="1" applyBorder="1" applyAlignment="1">
      <alignment horizontal="center" vertical="top" wrapText="1"/>
      <protection/>
    </xf>
    <xf numFmtId="167" fontId="45" fillId="0" borderId="50" xfId="86" applyNumberFormat="1" applyFont="1" applyBorder="1" applyAlignment="1" applyProtection="1">
      <alignment horizontal="center"/>
      <protection/>
    </xf>
    <xf numFmtId="0" fontId="152" fillId="0" borderId="50" xfId="86" applyFont="1" applyBorder="1" applyAlignment="1">
      <alignment horizontal="center" vertical="top" wrapText="1"/>
      <protection/>
    </xf>
    <xf numFmtId="0" fontId="153" fillId="0" borderId="50" xfId="86" applyFont="1" applyBorder="1" applyAlignment="1">
      <alignment horizontal="center" vertical="top" wrapText="1"/>
      <protection/>
    </xf>
    <xf numFmtId="0" fontId="86" fillId="0" borderId="0" xfId="49" applyFont="1" applyFill="1" applyBorder="1" applyAlignment="1">
      <alignment vertical="center"/>
      <protection/>
    </xf>
    <xf numFmtId="0" fontId="87" fillId="0" borderId="0" xfId="49" applyFont="1" applyFill="1" applyBorder="1" applyAlignment="1">
      <alignment vertical="center"/>
      <protection/>
    </xf>
    <xf numFmtId="0" fontId="88" fillId="0" borderId="0" xfId="49" applyFont="1" applyFill="1" applyBorder="1" applyAlignment="1">
      <alignment vertical="center"/>
      <protection/>
    </xf>
    <xf numFmtId="3" fontId="6" fillId="0" borderId="25" xfId="0" applyNumberFormat="1" applyFont="1" applyBorder="1" applyAlignment="1">
      <alignment vertical="center"/>
    </xf>
    <xf numFmtId="0" fontId="74" fillId="0" borderId="0" xfId="49" applyFont="1" applyFill="1" applyBorder="1" applyAlignment="1">
      <alignment vertical="center"/>
      <protection/>
    </xf>
    <xf numFmtId="3" fontId="38" fillId="0" borderId="32" xfId="0" applyNumberFormat="1" applyFont="1" applyBorder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38" fillId="0" borderId="0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3" fontId="25" fillId="0" borderId="0" xfId="0" applyNumberFormat="1" applyFont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vertical="center"/>
    </xf>
    <xf numFmtId="0" fontId="66" fillId="0" borderId="0" xfId="0" applyFont="1" applyBorder="1" applyAlignment="1">
      <alignment vertical="center"/>
    </xf>
    <xf numFmtId="0" fontId="30" fillId="0" borderId="0" xfId="87" applyFont="1" applyBorder="1" applyAlignment="1">
      <alignment horizontal="center"/>
      <protection/>
    </xf>
    <xf numFmtId="167" fontId="38" fillId="0" borderId="0" xfId="85" applyNumberFormat="1" applyFont="1" applyFill="1" applyBorder="1" applyAlignment="1">
      <alignment/>
      <protection/>
    </xf>
    <xf numFmtId="165" fontId="30" fillId="0" borderId="0" xfId="85" applyFont="1" applyBorder="1" applyAlignment="1">
      <alignment/>
      <protection/>
    </xf>
    <xf numFmtId="165" fontId="173" fillId="0" borderId="0" xfId="85" applyFont="1" applyBorder="1">
      <alignment/>
      <protection/>
    </xf>
    <xf numFmtId="165" fontId="157" fillId="0" borderId="0" xfId="85" applyFont="1" applyBorder="1" applyAlignment="1">
      <alignment horizontal="center"/>
      <protection/>
    </xf>
    <xf numFmtId="0" fontId="119" fillId="0" borderId="0" xfId="0" applyFont="1" applyBorder="1" applyAlignment="1">
      <alignment horizontal="center"/>
    </xf>
    <xf numFmtId="0" fontId="119" fillId="0" borderId="0" xfId="0" applyFont="1" applyAlignment="1">
      <alignment horizontal="center"/>
    </xf>
    <xf numFmtId="0" fontId="90" fillId="0" borderId="0" xfId="0" applyFont="1" applyAlignment="1">
      <alignment horizontal="center" vertical="center"/>
    </xf>
    <xf numFmtId="0" fontId="91" fillId="0" borderId="0" xfId="87" applyFont="1" applyBorder="1" applyAlignment="1">
      <alignment horizontal="center"/>
      <protection/>
    </xf>
    <xf numFmtId="0" fontId="168" fillId="0" borderId="0" xfId="86" applyFont="1" applyAlignment="1">
      <alignment horizontal="center"/>
      <protection/>
    </xf>
    <xf numFmtId="0" fontId="91" fillId="0" borderId="0" xfId="86" applyFont="1" applyAlignment="1">
      <alignment horizontal="center"/>
      <protection/>
    </xf>
    <xf numFmtId="165" fontId="47" fillId="0" borderId="0" xfId="85" applyFont="1" applyBorder="1" applyAlignment="1">
      <alignment horizontal="center"/>
      <protection/>
    </xf>
    <xf numFmtId="0" fontId="133" fillId="0" borderId="0" xfId="0" applyFont="1" applyAlignment="1">
      <alignment horizontal="center" vertical="center"/>
    </xf>
    <xf numFmtId="0" fontId="134" fillId="0" borderId="0" xfId="0" applyFont="1" applyAlignment="1">
      <alignment horizontal="center" vertical="center"/>
    </xf>
    <xf numFmtId="0" fontId="136" fillId="0" borderId="0" xfId="0" applyFont="1" applyAlignment="1">
      <alignment horizontal="center"/>
    </xf>
    <xf numFmtId="0" fontId="136" fillId="0" borderId="0" xfId="0" applyFont="1" applyAlignment="1">
      <alignment horizontal="center" vertical="center"/>
    </xf>
    <xf numFmtId="165" fontId="44" fillId="0" borderId="0" xfId="85" applyFont="1" applyBorder="1" applyAlignment="1" applyProtection="1">
      <alignment horizontal="center"/>
      <protection/>
    </xf>
    <xf numFmtId="165" fontId="46" fillId="0" borderId="0" xfId="85" applyFont="1" applyBorder="1" applyAlignment="1" applyProtection="1">
      <alignment horizontal="center"/>
      <protection/>
    </xf>
    <xf numFmtId="165" fontId="28" fillId="0" borderId="0" xfId="85" applyFont="1" applyBorder="1" applyAlignment="1" applyProtection="1">
      <alignment horizontal="center"/>
      <protection/>
    </xf>
    <xf numFmtId="165" fontId="45" fillId="0" borderId="0" xfId="85" applyFont="1" applyBorder="1" applyAlignment="1" applyProtection="1">
      <alignment horizontal="center"/>
      <protection/>
    </xf>
    <xf numFmtId="165" fontId="28" fillId="0" borderId="0" xfId="85" applyFont="1" applyBorder="1" applyAlignment="1">
      <alignment horizontal="center"/>
      <protection/>
    </xf>
    <xf numFmtId="0" fontId="121" fillId="0" borderId="0" xfId="0" applyFont="1" applyBorder="1" applyAlignment="1">
      <alignment horizontal="left" vertical="center" wrapText="1"/>
    </xf>
    <xf numFmtId="0" fontId="131" fillId="0" borderId="0" xfId="0" applyFont="1" applyAlignment="1">
      <alignment vertical="center" wrapText="1"/>
    </xf>
    <xf numFmtId="0" fontId="121" fillId="0" borderId="0" xfId="0" applyFont="1" applyAlignment="1">
      <alignment vertical="center" wrapText="1"/>
    </xf>
    <xf numFmtId="0" fontId="121" fillId="0" borderId="0" xfId="0" applyFont="1" applyAlignment="1">
      <alignment horizontal="center" vertical="center" wrapText="1"/>
    </xf>
    <xf numFmtId="0" fontId="121" fillId="0" borderId="12" xfId="0" applyFont="1" applyBorder="1" applyAlignment="1">
      <alignment horizontal="center" vertical="center" wrapText="1"/>
    </xf>
    <xf numFmtId="0" fontId="128" fillId="37" borderId="94" xfId="0" applyFont="1" applyFill="1" applyBorder="1" applyAlignment="1">
      <alignment horizontal="center" vertical="center"/>
    </xf>
    <xf numFmtId="0" fontId="128" fillId="37" borderId="14" xfId="0" applyFont="1" applyFill="1" applyBorder="1" applyAlignment="1">
      <alignment horizontal="center" vertical="center"/>
    </xf>
    <xf numFmtId="0" fontId="128" fillId="37" borderId="24" xfId="0" applyFont="1" applyFill="1" applyBorder="1" applyAlignment="1">
      <alignment horizontal="center" vertical="center"/>
    </xf>
    <xf numFmtId="0" fontId="174" fillId="0" borderId="0" xfId="0" applyFont="1" applyAlignment="1">
      <alignment horizontal="left" vertical="center"/>
    </xf>
    <xf numFmtId="0" fontId="174" fillId="0" borderId="0" xfId="0" applyFont="1" applyAlignment="1">
      <alignment horizontal="left"/>
    </xf>
    <xf numFmtId="0" fontId="132" fillId="0" borderId="0" xfId="0" applyFont="1" applyAlignment="1">
      <alignment horizontal="left" vertical="center"/>
    </xf>
    <xf numFmtId="0" fontId="121" fillId="0" borderId="0" xfId="0" applyFont="1" applyBorder="1" applyAlignment="1">
      <alignment horizontal="center" vertical="center" wrapText="1"/>
    </xf>
    <xf numFmtId="3" fontId="120" fillId="0" borderId="0" xfId="0" applyNumberFormat="1" applyFont="1" applyBorder="1" applyAlignment="1">
      <alignment horizontal="right" vertical="center" wrapText="1"/>
    </xf>
    <xf numFmtId="0" fontId="137" fillId="0" borderId="36" xfId="0" applyFont="1" applyBorder="1" applyAlignment="1">
      <alignment vertical="center"/>
    </xf>
    <xf numFmtId="0" fontId="137" fillId="0" borderId="27" xfId="0" applyFont="1" applyBorder="1" applyAlignment="1">
      <alignment vertical="center"/>
    </xf>
    <xf numFmtId="0" fontId="137" fillId="0" borderId="34" xfId="0" applyFont="1" applyBorder="1" applyAlignment="1">
      <alignment vertical="center"/>
    </xf>
    <xf numFmtId="0" fontId="137" fillId="0" borderId="22" xfId="0" applyFont="1" applyBorder="1" applyAlignment="1">
      <alignment vertical="center"/>
    </xf>
    <xf numFmtId="0" fontId="121" fillId="0" borderId="0" xfId="0" applyFont="1" applyAlignment="1">
      <alignment horizontal="center" vertical="center"/>
    </xf>
    <xf numFmtId="0" fontId="121" fillId="0" borderId="12" xfId="0" applyFont="1" applyBorder="1" applyAlignment="1">
      <alignment horizontal="center" vertical="center"/>
    </xf>
    <xf numFmtId="3" fontId="121" fillId="33" borderId="13" xfId="0" applyNumberFormat="1" applyFont="1" applyFill="1" applyBorder="1" applyAlignment="1">
      <alignment horizontal="center" vertical="center" wrapText="1"/>
    </xf>
    <xf numFmtId="3" fontId="121" fillId="33" borderId="16" xfId="0" applyNumberFormat="1" applyFont="1" applyFill="1" applyBorder="1" applyAlignment="1">
      <alignment horizontal="center" vertical="center" wrapText="1"/>
    </xf>
    <xf numFmtId="3" fontId="121" fillId="33" borderId="13" xfId="0" applyNumberFormat="1" applyFont="1" applyFill="1" applyBorder="1" applyAlignment="1">
      <alignment horizontal="right" vertical="center" wrapText="1"/>
    </xf>
    <xf numFmtId="3" fontId="121" fillId="33" borderId="16" xfId="0" applyNumberFormat="1" applyFont="1" applyFill="1" applyBorder="1" applyAlignment="1">
      <alignment horizontal="right" vertical="center" wrapText="1"/>
    </xf>
    <xf numFmtId="0" fontId="30" fillId="36" borderId="95" xfId="87" applyFont="1" applyFill="1" applyBorder="1" applyAlignment="1">
      <alignment horizontal="center" wrapText="1"/>
      <protection/>
    </xf>
    <xf numFmtId="0" fontId="30" fillId="36" borderId="96" xfId="87" applyFont="1" applyFill="1" applyBorder="1" applyAlignment="1">
      <alignment horizontal="center" wrapText="1"/>
      <protection/>
    </xf>
    <xf numFmtId="0" fontId="139" fillId="36" borderId="36" xfId="87" applyFont="1" applyFill="1" applyBorder="1" applyAlignment="1">
      <alignment horizontal="center"/>
      <protection/>
    </xf>
    <xf numFmtId="0" fontId="139" fillId="36" borderId="27" xfId="87" applyFont="1" applyFill="1" applyBorder="1" applyAlignment="1">
      <alignment horizontal="center"/>
      <protection/>
    </xf>
    <xf numFmtId="0" fontId="139" fillId="36" borderId="88" xfId="87" applyFont="1" applyFill="1" applyBorder="1" applyAlignment="1">
      <alignment horizontal="center"/>
      <protection/>
    </xf>
    <xf numFmtId="0" fontId="139" fillId="36" borderId="20" xfId="87" applyFont="1" applyFill="1" applyBorder="1" applyAlignment="1">
      <alignment horizontal="center"/>
      <protection/>
    </xf>
    <xf numFmtId="0" fontId="139" fillId="36" borderId="34" xfId="87" applyFont="1" applyFill="1" applyBorder="1" applyAlignment="1">
      <alignment horizontal="center"/>
      <protection/>
    </xf>
    <xf numFmtId="0" fontId="139" fillId="36" borderId="22" xfId="87" applyFont="1" applyFill="1" applyBorder="1" applyAlignment="1">
      <alignment horizontal="center"/>
      <protection/>
    </xf>
    <xf numFmtId="0" fontId="31" fillId="36" borderId="97" xfId="87" applyFont="1" applyFill="1" applyBorder="1" applyAlignment="1">
      <alignment horizontal="center"/>
      <protection/>
    </xf>
    <xf numFmtId="0" fontId="31" fillId="36" borderId="29" xfId="87" applyFont="1" applyFill="1" applyBorder="1" applyAlignment="1">
      <alignment horizontal="center"/>
      <protection/>
    </xf>
    <xf numFmtId="0" fontId="31" fillId="36" borderId="30" xfId="87" applyFont="1" applyFill="1" applyBorder="1" applyAlignment="1">
      <alignment horizontal="center"/>
      <protection/>
    </xf>
    <xf numFmtId="0" fontId="31" fillId="36" borderId="98" xfId="87" applyFont="1" applyFill="1" applyBorder="1" applyAlignment="1">
      <alignment horizontal="center"/>
      <protection/>
    </xf>
    <xf numFmtId="0" fontId="31" fillId="36" borderId="32" xfId="87" applyFont="1" applyFill="1" applyBorder="1" applyAlignment="1">
      <alignment horizontal="center"/>
      <protection/>
    </xf>
    <xf numFmtId="0" fontId="31" fillId="36" borderId="33" xfId="87" applyFont="1" applyFill="1" applyBorder="1" applyAlignment="1">
      <alignment horizontal="center"/>
      <protection/>
    </xf>
    <xf numFmtId="0" fontId="31" fillId="36" borderId="99" xfId="87" applyFont="1" applyFill="1" applyBorder="1" applyAlignment="1">
      <alignment horizontal="center"/>
      <protection/>
    </xf>
    <xf numFmtId="0" fontId="31" fillId="36" borderId="17" xfId="87" applyFont="1" applyFill="1" applyBorder="1" applyAlignment="1">
      <alignment horizontal="center"/>
      <protection/>
    </xf>
    <xf numFmtId="0" fontId="31" fillId="36" borderId="100" xfId="87" applyFont="1" applyFill="1" applyBorder="1" applyAlignment="1">
      <alignment horizontal="center"/>
      <protection/>
    </xf>
    <xf numFmtId="0" fontId="121" fillId="0" borderId="0" xfId="0" applyFont="1" applyAlignment="1">
      <alignment horizontal="right" vertical="center" wrapText="1"/>
    </xf>
    <xf numFmtId="0" fontId="121" fillId="0" borderId="0" xfId="0" applyFont="1" applyBorder="1" applyAlignment="1">
      <alignment horizontal="right" vertical="center" wrapText="1"/>
    </xf>
    <xf numFmtId="3" fontId="121" fillId="0" borderId="13" xfId="0" applyNumberFormat="1" applyFont="1" applyBorder="1" applyAlignment="1">
      <alignment horizontal="right" vertical="center" wrapText="1"/>
    </xf>
    <xf numFmtId="3" fontId="121" fillId="0" borderId="16" xfId="0" applyNumberFormat="1" applyFont="1" applyBorder="1" applyAlignment="1">
      <alignment horizontal="right" vertical="center" wrapText="1"/>
    </xf>
    <xf numFmtId="3" fontId="121" fillId="33" borderId="0" xfId="0" applyNumberFormat="1" applyFont="1" applyFill="1" applyBorder="1" applyAlignment="1">
      <alignment horizontal="right" vertical="center" wrapText="1"/>
    </xf>
    <xf numFmtId="0" fontId="120" fillId="0" borderId="0" xfId="0" applyFont="1" applyBorder="1" applyAlignment="1">
      <alignment horizontal="right" vertical="center" wrapText="1"/>
    </xf>
    <xf numFmtId="0" fontId="130" fillId="0" borderId="0" xfId="0" applyFont="1" applyBorder="1" applyAlignment="1">
      <alignment vertical="center" wrapText="1"/>
    </xf>
    <xf numFmtId="0" fontId="30" fillId="36" borderId="98" xfId="87" applyFont="1" applyFill="1" applyBorder="1" applyAlignment="1">
      <alignment horizontal="center"/>
      <protection/>
    </xf>
    <xf numFmtId="0" fontId="30" fillId="36" borderId="42" xfId="87" applyFont="1" applyFill="1" applyBorder="1" applyAlignment="1">
      <alignment horizontal="center"/>
      <protection/>
    </xf>
    <xf numFmtId="3" fontId="121" fillId="0" borderId="0" xfId="0" applyNumberFormat="1" applyFont="1" applyBorder="1" applyAlignment="1">
      <alignment horizontal="right" vertical="center" wrapText="1"/>
    </xf>
    <xf numFmtId="0" fontId="120" fillId="0" borderId="13" xfId="0" applyFont="1" applyBorder="1" applyAlignment="1">
      <alignment horizontal="right" vertical="center" wrapText="1"/>
    </xf>
    <xf numFmtId="0" fontId="120" fillId="0" borderId="0" xfId="0" applyFont="1" applyAlignment="1">
      <alignment horizontal="right" vertical="center" wrapText="1"/>
    </xf>
    <xf numFmtId="0" fontId="130" fillId="0" borderId="13" xfId="0" applyFont="1" applyBorder="1" applyAlignment="1">
      <alignment vertical="center" wrapText="1"/>
    </xf>
    <xf numFmtId="0" fontId="14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165" fontId="18" fillId="0" borderId="0" xfId="0" applyNumberFormat="1" applyFont="1" applyFill="1" applyBorder="1" applyAlignment="1">
      <alignment horizontal="center"/>
    </xf>
    <xf numFmtId="167" fontId="18" fillId="0" borderId="0" xfId="0" applyNumberFormat="1" applyFont="1" applyFill="1" applyBorder="1" applyAlignment="1">
      <alignment horizontal="center"/>
    </xf>
    <xf numFmtId="165" fontId="47" fillId="40" borderId="101" xfId="85" applyFont="1" applyFill="1" applyBorder="1" applyAlignment="1">
      <alignment horizontal="center"/>
      <protection/>
    </xf>
    <xf numFmtId="165" fontId="47" fillId="40" borderId="102" xfId="85" applyFont="1" applyFill="1" applyBorder="1" applyAlignment="1">
      <alignment horizontal="center"/>
      <protection/>
    </xf>
    <xf numFmtId="167" fontId="38" fillId="0" borderId="0" xfId="85" applyNumberFormat="1" applyFont="1" applyFill="1" applyBorder="1" applyAlignment="1">
      <alignment horizontal="left"/>
      <protection/>
    </xf>
    <xf numFmtId="167" fontId="38" fillId="0" borderId="0" xfId="85" applyNumberFormat="1" applyFont="1" applyFill="1" applyBorder="1" applyAlignment="1">
      <alignment horizontal="center"/>
      <protection/>
    </xf>
    <xf numFmtId="165" fontId="30" fillId="0" borderId="0" xfId="85" applyFont="1" applyBorder="1" applyAlignment="1">
      <alignment horizontal="center"/>
      <protection/>
    </xf>
    <xf numFmtId="176" fontId="47" fillId="45" borderId="102" xfId="87" applyNumberFormat="1" applyFont="1" applyFill="1" applyBorder="1" applyAlignment="1">
      <alignment horizontal="center"/>
      <protection/>
    </xf>
    <xf numFmtId="0" fontId="47" fillId="0" borderId="0" xfId="87" applyFont="1" applyBorder="1" applyAlignment="1">
      <alignment horizontal="center"/>
      <protection/>
    </xf>
    <xf numFmtId="176" fontId="44" fillId="0" borderId="0" xfId="87" applyNumberFormat="1" applyFont="1" applyBorder="1" applyAlignment="1">
      <alignment horizontal="center"/>
      <protection/>
    </xf>
    <xf numFmtId="176" fontId="46" fillId="0" borderId="0" xfId="87" applyNumberFormat="1" applyFont="1" applyBorder="1" applyAlignment="1">
      <alignment horizontal="center"/>
      <protection/>
    </xf>
    <xf numFmtId="0" fontId="72" fillId="0" borderId="0" xfId="87" applyFont="1" applyBorder="1" applyAlignment="1">
      <alignment horizontal="center"/>
      <protection/>
    </xf>
    <xf numFmtId="167" fontId="72" fillId="0" borderId="0" xfId="87" applyNumberFormat="1" applyFont="1" applyFill="1" applyBorder="1" applyAlignment="1">
      <alignment horizontal="center"/>
      <protection/>
    </xf>
    <xf numFmtId="177" fontId="72" fillId="0" borderId="0" xfId="82" applyFont="1" applyBorder="1" applyAlignment="1">
      <alignment horizontal="center"/>
    </xf>
    <xf numFmtId="0" fontId="72" fillId="0" borderId="0" xfId="87" applyFont="1" applyBorder="1" applyAlignment="1" applyProtection="1">
      <alignment horizontal="left"/>
      <protection/>
    </xf>
    <xf numFmtId="0" fontId="69" fillId="0" borderId="0" xfId="87" applyFont="1" applyBorder="1" applyAlignment="1">
      <alignment horizontal="center"/>
      <protection/>
    </xf>
    <xf numFmtId="0" fontId="72" fillId="0" borderId="0" xfId="87" applyFont="1" applyBorder="1" applyAlignment="1" applyProtection="1">
      <alignment horizontal="center"/>
      <protection/>
    </xf>
    <xf numFmtId="0" fontId="44" fillId="0" borderId="0" xfId="87" applyFont="1" applyBorder="1" applyAlignment="1">
      <alignment horizontal="center"/>
      <protection/>
    </xf>
    <xf numFmtId="0" fontId="46" fillId="0" borderId="0" xfId="87" applyFont="1" applyBorder="1" applyAlignment="1">
      <alignment horizontal="center"/>
      <protection/>
    </xf>
    <xf numFmtId="0" fontId="46" fillId="46" borderId="60" xfId="87" applyFont="1" applyFill="1" applyBorder="1" applyAlignment="1">
      <alignment horizontal="center"/>
      <protection/>
    </xf>
    <xf numFmtId="0" fontId="30" fillId="40" borderId="60" xfId="87" applyFont="1" applyFill="1" applyBorder="1" applyAlignment="1">
      <alignment horizontal="center"/>
      <protection/>
    </xf>
    <xf numFmtId="167" fontId="30" fillId="0" borderId="0" xfId="87" applyNumberFormat="1" applyFont="1" applyFill="1" applyBorder="1" applyAlignment="1">
      <alignment horizontal="center"/>
      <protection/>
    </xf>
    <xf numFmtId="0" fontId="30" fillId="0" borderId="0" xfId="87" applyFont="1" applyBorder="1" applyAlignment="1">
      <alignment horizontal="center"/>
      <protection/>
    </xf>
    <xf numFmtId="0" fontId="28" fillId="0" borderId="0" xfId="87" applyFont="1" applyBorder="1" applyAlignment="1">
      <alignment horizontal="center"/>
      <protection/>
    </xf>
    <xf numFmtId="0" fontId="30" fillId="47" borderId="60" xfId="87" applyFont="1" applyFill="1" applyBorder="1" applyAlignment="1">
      <alignment horizontal="center"/>
      <protection/>
    </xf>
    <xf numFmtId="0" fontId="69" fillId="0" borderId="0" xfId="87" applyFont="1" applyBorder="1" applyAlignment="1">
      <alignment horizontal="left"/>
      <protection/>
    </xf>
    <xf numFmtId="0" fontId="167" fillId="0" borderId="0" xfId="86" applyFont="1" applyAlignment="1">
      <alignment horizontal="center"/>
      <protection/>
    </xf>
    <xf numFmtId="0" fontId="46" fillId="42" borderId="103" xfId="86" applyFont="1" applyFill="1" applyBorder="1" applyAlignment="1">
      <alignment horizontal="center" vertical="top" wrapText="1"/>
      <protection/>
    </xf>
    <xf numFmtId="0" fontId="46" fillId="42" borderId="101" xfId="86" applyFont="1" applyFill="1" applyBorder="1" applyAlignment="1">
      <alignment horizontal="center" vertical="top" wrapText="1"/>
      <protection/>
    </xf>
    <xf numFmtId="0" fontId="30" fillId="0" borderId="67" xfId="86" applyFont="1" applyBorder="1" applyAlignment="1">
      <alignment horizontal="justify" vertical="top" wrapText="1"/>
      <protection/>
    </xf>
    <xf numFmtId="0" fontId="27" fillId="0" borderId="0" xfId="86" applyFont="1" applyAlignment="1">
      <alignment horizontal="justify" vertical="top" wrapText="1"/>
      <protection/>
    </xf>
    <xf numFmtId="0" fontId="27" fillId="0" borderId="74" xfId="86" applyFont="1" applyBorder="1" applyAlignment="1">
      <alignment horizontal="justify" vertical="top" wrapText="1"/>
      <protection/>
    </xf>
    <xf numFmtId="0" fontId="27" fillId="0" borderId="67" xfId="86" applyFont="1" applyBorder="1" applyAlignment="1">
      <alignment horizontal="justify" vertical="top" wrapText="1"/>
      <protection/>
    </xf>
    <xf numFmtId="0" fontId="175" fillId="0" borderId="0" xfId="86" applyFont="1" applyAlignment="1">
      <alignment horizontal="center"/>
      <protection/>
    </xf>
    <xf numFmtId="0" fontId="44" fillId="0" borderId="0" xfId="86" applyFont="1" applyAlignment="1">
      <alignment horizontal="center"/>
      <protection/>
    </xf>
    <xf numFmtId="0" fontId="28" fillId="0" borderId="0" xfId="86" applyFont="1" applyAlignment="1">
      <alignment horizontal="center"/>
      <protection/>
    </xf>
    <xf numFmtId="0" fontId="30" fillId="42" borderId="67" xfId="86" applyFont="1" applyFill="1" applyBorder="1" applyAlignment="1">
      <alignment horizontal="center" vertical="top" wrapText="1"/>
      <protection/>
    </xf>
    <xf numFmtId="0" fontId="30" fillId="42" borderId="0" xfId="86" applyFont="1" applyFill="1" applyBorder="1" applyAlignment="1">
      <alignment horizontal="center" vertical="top" wrapText="1"/>
      <protection/>
    </xf>
    <xf numFmtId="0" fontId="30" fillId="42" borderId="74" xfId="86" applyFont="1" applyFill="1" applyBorder="1" applyAlignment="1">
      <alignment horizontal="center" vertical="top" wrapText="1"/>
      <protection/>
    </xf>
    <xf numFmtId="0" fontId="30" fillId="42" borderId="89" xfId="86" applyFont="1" applyFill="1" applyBorder="1" applyAlignment="1">
      <alignment horizontal="center" vertical="top" wrapText="1"/>
      <protection/>
    </xf>
    <xf numFmtId="0" fontId="30" fillId="42" borderId="90" xfId="86" applyFont="1" applyFill="1" applyBorder="1" applyAlignment="1">
      <alignment horizontal="center" vertical="top" wrapText="1"/>
      <protection/>
    </xf>
    <xf numFmtId="0" fontId="30" fillId="42" borderId="80" xfId="86" applyFont="1" applyFill="1" applyBorder="1" applyAlignment="1">
      <alignment horizontal="center" vertical="top" wrapText="1"/>
      <protection/>
    </xf>
    <xf numFmtId="0" fontId="30" fillId="42" borderId="68" xfId="86" applyFont="1" applyFill="1" applyBorder="1" applyAlignment="1">
      <alignment horizontal="center" vertical="top" wrapText="1"/>
      <protection/>
    </xf>
    <xf numFmtId="0" fontId="30" fillId="42" borderId="72" xfId="86" applyFont="1" applyFill="1" applyBorder="1" applyAlignment="1">
      <alignment horizontal="center" vertical="top" wrapText="1"/>
      <protection/>
    </xf>
    <xf numFmtId="0" fontId="31" fillId="42" borderId="68" xfId="86" applyFont="1" applyFill="1" applyBorder="1" applyAlignment="1">
      <alignment vertical="top" wrapText="1"/>
      <protection/>
    </xf>
    <xf numFmtId="0" fontId="31" fillId="42" borderId="70" xfId="86" applyFont="1" applyFill="1" applyBorder="1" applyAlignment="1">
      <alignment vertical="top" wrapText="1"/>
      <protection/>
    </xf>
    <xf numFmtId="0" fontId="31" fillId="42" borderId="72" xfId="86" applyFont="1" applyFill="1" applyBorder="1" applyAlignment="1">
      <alignment vertical="top" wrapText="1"/>
      <protection/>
    </xf>
    <xf numFmtId="0" fontId="30" fillId="42" borderId="104" xfId="86" applyFont="1" applyFill="1" applyBorder="1" applyAlignment="1">
      <alignment horizontal="center" vertical="top" wrapText="1"/>
      <protection/>
    </xf>
    <xf numFmtId="0" fontId="30" fillId="42" borderId="103" xfId="86" applyFont="1" applyFill="1" applyBorder="1" applyAlignment="1">
      <alignment horizontal="center" vertical="top" wrapText="1"/>
      <protection/>
    </xf>
    <xf numFmtId="0" fontId="30" fillId="42" borderId="101" xfId="86" applyFont="1" applyFill="1" applyBorder="1" applyAlignment="1">
      <alignment horizontal="center" vertical="top" wrapText="1"/>
      <protection/>
    </xf>
    <xf numFmtId="0" fontId="45" fillId="0" borderId="68" xfId="86" applyFont="1" applyBorder="1" applyAlignment="1">
      <alignment vertical="top" wrapText="1"/>
      <protection/>
    </xf>
    <xf numFmtId="0" fontId="45" fillId="0" borderId="70" xfId="86" applyFont="1" applyBorder="1" applyAlignment="1">
      <alignment vertical="top" wrapText="1"/>
      <protection/>
    </xf>
    <xf numFmtId="0" fontId="45" fillId="0" borderId="72" xfId="86" applyFont="1" applyBorder="1" applyAlignment="1">
      <alignment vertical="top" wrapText="1"/>
      <protection/>
    </xf>
    <xf numFmtId="0" fontId="31" fillId="0" borderId="68" xfId="86" applyFont="1" applyBorder="1" applyAlignment="1">
      <alignment vertical="top" wrapText="1"/>
      <protection/>
    </xf>
    <xf numFmtId="0" fontId="31" fillId="0" borderId="72" xfId="86" applyFont="1" applyBorder="1" applyAlignment="1">
      <alignment vertical="top" wrapText="1"/>
      <protection/>
    </xf>
    <xf numFmtId="0" fontId="45" fillId="0" borderId="67" xfId="86" applyFont="1" applyBorder="1" applyAlignment="1">
      <alignment vertical="top" wrapText="1"/>
      <protection/>
    </xf>
    <xf numFmtId="0" fontId="45" fillId="0" borderId="0" xfId="86" applyFont="1" applyBorder="1" applyAlignment="1">
      <alignment vertical="top" wrapText="1"/>
      <protection/>
    </xf>
    <xf numFmtId="0" fontId="45" fillId="0" borderId="74" xfId="86" applyFont="1" applyBorder="1" applyAlignment="1">
      <alignment vertical="top" wrapText="1"/>
      <protection/>
    </xf>
    <xf numFmtId="0" fontId="31" fillId="0" borderId="67" xfId="86" applyFont="1" applyBorder="1" applyAlignment="1">
      <alignment vertical="top" wrapText="1"/>
      <protection/>
    </xf>
    <xf numFmtId="0" fontId="31" fillId="0" borderId="74" xfId="86" applyFont="1" applyBorder="1" applyAlignment="1">
      <alignment vertical="top" wrapText="1"/>
      <protection/>
    </xf>
    <xf numFmtId="2" fontId="45" fillId="0" borderId="67" xfId="86" applyNumberFormat="1" applyFont="1" applyBorder="1" applyAlignment="1">
      <alignment horizontal="center" vertical="top" wrapText="1"/>
      <protection/>
    </xf>
    <xf numFmtId="2" fontId="45" fillId="0" borderId="74" xfId="86" applyNumberFormat="1" applyFont="1" applyBorder="1" applyAlignment="1">
      <alignment horizontal="center" vertical="top" wrapText="1"/>
      <protection/>
    </xf>
    <xf numFmtId="4" fontId="45" fillId="0" borderId="67" xfId="86" applyNumberFormat="1" applyFont="1" applyBorder="1" applyAlignment="1">
      <alignment horizontal="center" vertical="top" wrapText="1"/>
      <protection/>
    </xf>
    <xf numFmtId="4" fontId="45" fillId="0" borderId="74" xfId="86" applyNumberFormat="1" applyFont="1" applyBorder="1" applyAlignment="1">
      <alignment horizontal="center" vertical="top" wrapText="1"/>
      <protection/>
    </xf>
    <xf numFmtId="9" fontId="45" fillId="0" borderId="67" xfId="109" applyFont="1" applyBorder="1" applyAlignment="1">
      <alignment horizontal="center" vertical="top" wrapText="1"/>
    </xf>
    <xf numFmtId="9" fontId="45" fillId="0" borderId="74" xfId="109" applyFont="1" applyBorder="1" applyAlignment="1">
      <alignment horizontal="center" vertical="top" wrapText="1"/>
    </xf>
    <xf numFmtId="0" fontId="31" fillId="0" borderId="0" xfId="86" applyFont="1" applyBorder="1" applyAlignment="1">
      <alignment vertical="top" wrapText="1"/>
      <protection/>
    </xf>
    <xf numFmtId="0" fontId="31" fillId="0" borderId="13" xfId="86" applyFont="1" applyBorder="1" applyAlignment="1">
      <alignment vertical="top" wrapText="1"/>
      <protection/>
    </xf>
    <xf numFmtId="0" fontId="31" fillId="0" borderId="0" xfId="86" applyFont="1" applyBorder="1" applyAlignment="1">
      <alignment horizontal="left" vertical="top" wrapText="1"/>
      <protection/>
    </xf>
    <xf numFmtId="0" fontId="31" fillId="0" borderId="20" xfId="86" applyFont="1" applyBorder="1" applyAlignment="1">
      <alignment horizontal="left" vertical="top" wrapText="1"/>
      <protection/>
    </xf>
    <xf numFmtId="0" fontId="31" fillId="0" borderId="0" xfId="86" applyFont="1" applyBorder="1" applyAlignment="1">
      <alignment horizontal="justify" vertical="top" wrapText="1"/>
      <protection/>
    </xf>
    <xf numFmtId="0" fontId="31" fillId="0" borderId="0" xfId="86" applyFont="1" applyBorder="1" applyAlignment="1">
      <alignment horizontal="center" vertical="top" wrapText="1"/>
      <protection/>
    </xf>
    <xf numFmtId="0" fontId="31" fillId="0" borderId="90" xfId="86" applyFont="1" applyBorder="1" applyAlignment="1">
      <alignment horizontal="justify" vertical="top" wrapText="1"/>
      <protection/>
    </xf>
    <xf numFmtId="0" fontId="31" fillId="0" borderId="70" xfId="86" applyFont="1" applyBorder="1" applyAlignment="1">
      <alignment horizontal="justify" vertical="top" wrapText="1"/>
      <protection/>
    </xf>
    <xf numFmtId="0" fontId="30" fillId="0" borderId="0" xfId="86" applyFont="1" applyAlignment="1">
      <alignment horizontal="center"/>
      <protection/>
    </xf>
    <xf numFmtId="0" fontId="47" fillId="0" borderId="0" xfId="86" applyFont="1" applyAlignment="1">
      <alignment horizontal="center"/>
      <protection/>
    </xf>
    <xf numFmtId="0" fontId="31" fillId="0" borderId="12" xfId="86" applyFont="1" applyBorder="1" applyAlignment="1">
      <alignment vertical="top" wrapText="1"/>
      <protection/>
    </xf>
  </cellXfs>
  <cellStyles count="10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2" xfId="37"/>
    <cellStyle name="Comma 2 2" xfId="38"/>
    <cellStyle name="Comma 2 3" xfId="39"/>
    <cellStyle name="Comma_Worksheet in   AIPSA Estados al 31.12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Excel Built-in Normal" xfId="49"/>
    <cellStyle name="Incorrecto" xfId="50"/>
    <cellStyle name="Comma" xfId="51"/>
    <cellStyle name="Comma [0]" xfId="52"/>
    <cellStyle name="Millares [0] 2" xfId="53"/>
    <cellStyle name="Millares [0] 3" xfId="54"/>
    <cellStyle name="Millares [0] 4" xfId="55"/>
    <cellStyle name="Millares 10" xfId="56"/>
    <cellStyle name="Millares 11" xfId="57"/>
    <cellStyle name="Millares 12" xfId="58"/>
    <cellStyle name="Millares 13" xfId="59"/>
    <cellStyle name="Millares 14" xfId="60"/>
    <cellStyle name="Millares 15" xfId="61"/>
    <cellStyle name="Millares 16" xfId="62"/>
    <cellStyle name="Millares 17" xfId="63"/>
    <cellStyle name="Millares 18" xfId="64"/>
    <cellStyle name="Millares 19" xfId="65"/>
    <cellStyle name="Millares 2" xfId="66"/>
    <cellStyle name="Millares 2 2" xfId="67"/>
    <cellStyle name="Millares 20" xfId="68"/>
    <cellStyle name="Millares 21" xfId="69"/>
    <cellStyle name="Millares 22" xfId="70"/>
    <cellStyle name="Millares 23" xfId="71"/>
    <cellStyle name="Millares 24" xfId="72"/>
    <cellStyle name="Millares 3" xfId="73"/>
    <cellStyle name="Millares 4" xfId="74"/>
    <cellStyle name="Millares 5" xfId="75"/>
    <cellStyle name="Millares 6" xfId="76"/>
    <cellStyle name="Millares 7" xfId="77"/>
    <cellStyle name="Millares 8" xfId="78"/>
    <cellStyle name="Millares 9" xfId="79"/>
    <cellStyle name="Currency" xfId="80"/>
    <cellStyle name="Currency [0]" xfId="81"/>
    <cellStyle name="Moneda 2" xfId="82"/>
    <cellStyle name="Neutral" xfId="83"/>
    <cellStyle name="Normal 101" xfId="84"/>
    <cellStyle name="Normal 2" xfId="85"/>
    <cellStyle name="Normal 2 2" xfId="86"/>
    <cellStyle name="Normal 3" xfId="87"/>
    <cellStyle name="Normal 32" xfId="88"/>
    <cellStyle name="Normal 33" xfId="89"/>
    <cellStyle name="Normal 35" xfId="90"/>
    <cellStyle name="Normal 37" xfId="91"/>
    <cellStyle name="Normal 4" xfId="92"/>
    <cellStyle name="Normal 48" xfId="93"/>
    <cellStyle name="Normal 49" xfId="94"/>
    <cellStyle name="Normal 50" xfId="95"/>
    <cellStyle name="Normal 51" xfId="96"/>
    <cellStyle name="Normal 54" xfId="97"/>
    <cellStyle name="Normal 57" xfId="98"/>
    <cellStyle name="Normal 58" xfId="99"/>
    <cellStyle name="Normal 60" xfId="100"/>
    <cellStyle name="Normal 76" xfId="101"/>
    <cellStyle name="Normal 78" xfId="102"/>
    <cellStyle name="Normal 79" xfId="103"/>
    <cellStyle name="Notas" xfId="104"/>
    <cellStyle name="Percent 2" xfId="105"/>
    <cellStyle name="Percent 2 2" xfId="106"/>
    <cellStyle name="Percent" xfId="107"/>
    <cellStyle name="Porcentaje 2" xfId="108"/>
    <cellStyle name="Porcentaje 3" xfId="109"/>
    <cellStyle name="Salida" xfId="110"/>
    <cellStyle name="Texto de advertencia" xfId="111"/>
    <cellStyle name="Texto explicativo" xfId="112"/>
    <cellStyle name="Título" xfId="113"/>
    <cellStyle name="Título 1" xfId="114"/>
    <cellStyle name="Título 2" xfId="115"/>
    <cellStyle name="Título 3" xfId="116"/>
    <cellStyle name="Título 4" xfId="117"/>
    <cellStyle name="Total" xfId="11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5.png" /><Relationship Id="rId3" Type="http://schemas.openxmlformats.org/officeDocument/2006/relationships/image" Target="../media/image6.png" /><Relationship Id="rId4" Type="http://schemas.openxmlformats.org/officeDocument/2006/relationships/image" Target="../media/image7.png" /><Relationship Id="rId5" Type="http://schemas.openxmlformats.org/officeDocument/2006/relationships/image" Target="../media/image8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190500</xdr:colOff>
      <xdr:row>0</xdr:row>
      <xdr:rowOff>114300</xdr:rowOff>
    </xdr:from>
    <xdr:to>
      <xdr:col>10</xdr:col>
      <xdr:colOff>333375</xdr:colOff>
      <xdr:row>5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114300"/>
          <a:ext cx="904875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723900</xdr:colOff>
      <xdr:row>0</xdr:row>
      <xdr:rowOff>142875</xdr:rowOff>
    </xdr:from>
    <xdr:to>
      <xdr:col>6</xdr:col>
      <xdr:colOff>666750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48350" y="14287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152400</xdr:colOff>
      <xdr:row>0</xdr:row>
      <xdr:rowOff>142875</xdr:rowOff>
    </xdr:from>
    <xdr:to>
      <xdr:col>4</xdr:col>
      <xdr:colOff>1038225</xdr:colOff>
      <xdr:row>4</xdr:row>
      <xdr:rowOff>114300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67400" y="14287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190500</xdr:colOff>
      <xdr:row>1</xdr:row>
      <xdr:rowOff>104775</xdr:rowOff>
    </xdr:from>
    <xdr:to>
      <xdr:col>5</xdr:col>
      <xdr:colOff>952500</xdr:colOff>
      <xdr:row>4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19825" y="266700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9525</xdr:colOff>
      <xdr:row>0</xdr:row>
      <xdr:rowOff>114300</xdr:rowOff>
    </xdr:from>
    <xdr:to>
      <xdr:col>7</xdr:col>
      <xdr:colOff>895350</xdr:colOff>
      <xdr:row>3</xdr:row>
      <xdr:rowOff>190500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72350" y="114300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495300</xdr:colOff>
      <xdr:row>1</xdr:row>
      <xdr:rowOff>0</xdr:rowOff>
    </xdr:from>
    <xdr:to>
      <xdr:col>3</xdr:col>
      <xdr:colOff>1381125</xdr:colOff>
      <xdr:row>4</xdr:row>
      <xdr:rowOff>276225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57775" y="25717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38100</xdr:colOff>
      <xdr:row>0</xdr:row>
      <xdr:rowOff>66675</xdr:rowOff>
    </xdr:from>
    <xdr:to>
      <xdr:col>9</xdr:col>
      <xdr:colOff>28575</xdr:colOff>
      <xdr:row>4</xdr:row>
      <xdr:rowOff>19050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6667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0</xdr:row>
      <xdr:rowOff>28575</xdr:rowOff>
    </xdr:from>
    <xdr:to>
      <xdr:col>4</xdr:col>
      <xdr:colOff>1028700</xdr:colOff>
      <xdr:row>3</xdr:row>
      <xdr:rowOff>57150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53100" y="28575"/>
          <a:ext cx="800100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50</xdr:row>
      <xdr:rowOff>47625</xdr:rowOff>
    </xdr:from>
    <xdr:to>
      <xdr:col>4</xdr:col>
      <xdr:colOff>981075</xdr:colOff>
      <xdr:row>53</xdr:row>
      <xdr:rowOff>104775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76900" y="10877550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152</xdr:row>
      <xdr:rowOff>142875</xdr:rowOff>
    </xdr:from>
    <xdr:to>
      <xdr:col>4</xdr:col>
      <xdr:colOff>990600</xdr:colOff>
      <xdr:row>155</xdr:row>
      <xdr:rowOff>200025</xdr:rowOff>
    </xdr:to>
    <xdr:pic>
      <xdr:nvPicPr>
        <xdr:cNvPr id="3" name="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86425" y="34385250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226</xdr:row>
      <xdr:rowOff>19050</xdr:rowOff>
    </xdr:from>
    <xdr:to>
      <xdr:col>4</xdr:col>
      <xdr:colOff>952500</xdr:colOff>
      <xdr:row>229</xdr:row>
      <xdr:rowOff>228600</xdr:rowOff>
    </xdr:to>
    <xdr:pic>
      <xdr:nvPicPr>
        <xdr:cNvPr id="4" name="6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48325" y="46786800"/>
          <a:ext cx="828675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105</xdr:row>
      <xdr:rowOff>38100</xdr:rowOff>
    </xdr:from>
    <xdr:to>
      <xdr:col>4</xdr:col>
      <xdr:colOff>990600</xdr:colOff>
      <xdr:row>108</xdr:row>
      <xdr:rowOff>152400</xdr:rowOff>
    </xdr:to>
    <xdr:pic>
      <xdr:nvPicPr>
        <xdr:cNvPr id="5" name="1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686425" y="23517225"/>
          <a:ext cx="828675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742950</xdr:colOff>
      <xdr:row>0</xdr:row>
      <xdr:rowOff>95250</xdr:rowOff>
    </xdr:from>
    <xdr:to>
      <xdr:col>4</xdr:col>
      <xdr:colOff>609600</xdr:colOff>
      <xdr:row>3</xdr:row>
      <xdr:rowOff>57150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91025" y="95250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990600</xdr:colOff>
      <xdr:row>48</xdr:row>
      <xdr:rowOff>66675</xdr:rowOff>
    </xdr:from>
    <xdr:to>
      <xdr:col>4</xdr:col>
      <xdr:colOff>733425</xdr:colOff>
      <xdr:row>52</xdr:row>
      <xdr:rowOff>104775</xdr:rowOff>
    </xdr:to>
    <xdr:pic>
      <xdr:nvPicPr>
        <xdr:cNvPr id="2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8675" y="9991725"/>
          <a:ext cx="76200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97</xdr:row>
      <xdr:rowOff>38100</xdr:rowOff>
    </xdr:from>
    <xdr:to>
      <xdr:col>4</xdr:col>
      <xdr:colOff>800100</xdr:colOff>
      <xdr:row>100</xdr:row>
      <xdr:rowOff>180975</xdr:rowOff>
    </xdr:to>
    <xdr:pic>
      <xdr:nvPicPr>
        <xdr:cNvPr id="3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19840575"/>
          <a:ext cx="6667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114300</xdr:colOff>
      <xdr:row>147</xdr:row>
      <xdr:rowOff>66675</xdr:rowOff>
    </xdr:from>
    <xdr:to>
      <xdr:col>4</xdr:col>
      <xdr:colOff>790575</xdr:colOff>
      <xdr:row>151</xdr:row>
      <xdr:rowOff>9525</xdr:rowOff>
    </xdr:to>
    <xdr:pic>
      <xdr:nvPicPr>
        <xdr:cNvPr id="4" name="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81550" y="2982277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197</xdr:row>
      <xdr:rowOff>57150</xdr:rowOff>
    </xdr:from>
    <xdr:to>
      <xdr:col>4</xdr:col>
      <xdr:colOff>857250</xdr:colOff>
      <xdr:row>199</xdr:row>
      <xdr:rowOff>142875</xdr:rowOff>
    </xdr:to>
    <xdr:pic>
      <xdr:nvPicPr>
        <xdr:cNvPr id="5" name="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39747825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971550</xdr:colOff>
      <xdr:row>246</xdr:row>
      <xdr:rowOff>95250</xdr:rowOff>
    </xdr:from>
    <xdr:to>
      <xdr:col>4</xdr:col>
      <xdr:colOff>685800</xdr:colOff>
      <xdr:row>249</xdr:row>
      <xdr:rowOff>266700</xdr:rowOff>
    </xdr:to>
    <xdr:pic>
      <xdr:nvPicPr>
        <xdr:cNvPr id="6" name="6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9625" y="49739550"/>
          <a:ext cx="7334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346</xdr:row>
      <xdr:rowOff>47625</xdr:rowOff>
    </xdr:from>
    <xdr:to>
      <xdr:col>4</xdr:col>
      <xdr:colOff>714375</xdr:colOff>
      <xdr:row>348</xdr:row>
      <xdr:rowOff>266700</xdr:rowOff>
    </xdr:to>
    <xdr:pic>
      <xdr:nvPicPr>
        <xdr:cNvPr id="7" name="7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69532500"/>
          <a:ext cx="6667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885825</xdr:colOff>
      <xdr:row>394</xdr:row>
      <xdr:rowOff>28575</xdr:rowOff>
    </xdr:from>
    <xdr:to>
      <xdr:col>4</xdr:col>
      <xdr:colOff>542925</xdr:colOff>
      <xdr:row>397</xdr:row>
      <xdr:rowOff>47625</xdr:rowOff>
    </xdr:to>
    <xdr:pic>
      <xdr:nvPicPr>
        <xdr:cNvPr id="8" name="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79609950"/>
          <a:ext cx="6762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442</xdr:row>
      <xdr:rowOff>66675</xdr:rowOff>
    </xdr:from>
    <xdr:to>
      <xdr:col>4</xdr:col>
      <xdr:colOff>561975</xdr:colOff>
      <xdr:row>445</xdr:row>
      <xdr:rowOff>285750</xdr:rowOff>
    </xdr:to>
    <xdr:pic>
      <xdr:nvPicPr>
        <xdr:cNvPr id="9" name="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89277825"/>
          <a:ext cx="6762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923925</xdr:colOff>
      <xdr:row>496</xdr:row>
      <xdr:rowOff>95250</xdr:rowOff>
    </xdr:from>
    <xdr:to>
      <xdr:col>4</xdr:col>
      <xdr:colOff>581025</xdr:colOff>
      <xdr:row>500</xdr:row>
      <xdr:rowOff>38100</xdr:rowOff>
    </xdr:to>
    <xdr:pic>
      <xdr:nvPicPr>
        <xdr:cNvPr id="10" name="10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9937432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238125</xdr:colOff>
      <xdr:row>544</xdr:row>
      <xdr:rowOff>95250</xdr:rowOff>
    </xdr:from>
    <xdr:to>
      <xdr:col>4</xdr:col>
      <xdr:colOff>914400</xdr:colOff>
      <xdr:row>548</xdr:row>
      <xdr:rowOff>85725</xdr:rowOff>
    </xdr:to>
    <xdr:pic>
      <xdr:nvPicPr>
        <xdr:cNvPr id="11" name="1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05375" y="109166025"/>
          <a:ext cx="67627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595</xdr:row>
      <xdr:rowOff>57150</xdr:rowOff>
    </xdr:from>
    <xdr:to>
      <xdr:col>4</xdr:col>
      <xdr:colOff>819150</xdr:colOff>
      <xdr:row>598</xdr:row>
      <xdr:rowOff>180975</xdr:rowOff>
    </xdr:to>
    <xdr:pic>
      <xdr:nvPicPr>
        <xdr:cNvPr id="12" name="1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119224425"/>
          <a:ext cx="6667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645</xdr:row>
      <xdr:rowOff>57150</xdr:rowOff>
    </xdr:from>
    <xdr:to>
      <xdr:col>4</xdr:col>
      <xdr:colOff>714375</xdr:colOff>
      <xdr:row>648</xdr:row>
      <xdr:rowOff>9525</xdr:rowOff>
    </xdr:to>
    <xdr:pic>
      <xdr:nvPicPr>
        <xdr:cNvPr id="13" name="1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14875" y="129168525"/>
          <a:ext cx="6667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693</xdr:row>
      <xdr:rowOff>66675</xdr:rowOff>
    </xdr:from>
    <xdr:to>
      <xdr:col>4</xdr:col>
      <xdr:colOff>762000</xdr:colOff>
      <xdr:row>696</xdr:row>
      <xdr:rowOff>142875</xdr:rowOff>
    </xdr:to>
    <xdr:pic>
      <xdr:nvPicPr>
        <xdr:cNvPr id="14" name="14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138979275"/>
          <a:ext cx="6762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47625</xdr:colOff>
      <xdr:row>745</xdr:row>
      <xdr:rowOff>66675</xdr:rowOff>
    </xdr:from>
    <xdr:to>
      <xdr:col>4</xdr:col>
      <xdr:colOff>723900</xdr:colOff>
      <xdr:row>748</xdr:row>
      <xdr:rowOff>209550</xdr:rowOff>
    </xdr:to>
    <xdr:pic>
      <xdr:nvPicPr>
        <xdr:cNvPr id="15" name="15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14875" y="149056725"/>
          <a:ext cx="6762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219075</xdr:colOff>
      <xdr:row>795</xdr:row>
      <xdr:rowOff>66675</xdr:rowOff>
    </xdr:from>
    <xdr:to>
      <xdr:col>4</xdr:col>
      <xdr:colOff>847725</xdr:colOff>
      <xdr:row>799</xdr:row>
      <xdr:rowOff>0</xdr:rowOff>
    </xdr:to>
    <xdr:pic>
      <xdr:nvPicPr>
        <xdr:cNvPr id="16" name="16 Imagen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886325" y="158762700"/>
          <a:ext cx="6286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842</xdr:row>
      <xdr:rowOff>66675</xdr:rowOff>
    </xdr:from>
    <xdr:to>
      <xdr:col>4</xdr:col>
      <xdr:colOff>657225</xdr:colOff>
      <xdr:row>844</xdr:row>
      <xdr:rowOff>19050</xdr:rowOff>
    </xdr:to>
    <xdr:pic>
      <xdr:nvPicPr>
        <xdr:cNvPr id="17" name="17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52975" y="168716325"/>
          <a:ext cx="571500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152400</xdr:colOff>
      <xdr:row>294</xdr:row>
      <xdr:rowOff>295275</xdr:rowOff>
    </xdr:from>
    <xdr:to>
      <xdr:col>4</xdr:col>
      <xdr:colOff>876300</xdr:colOff>
      <xdr:row>297</xdr:row>
      <xdr:rowOff>152400</xdr:rowOff>
    </xdr:to>
    <xdr:pic>
      <xdr:nvPicPr>
        <xdr:cNvPr id="18" name="18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9845575"/>
          <a:ext cx="7239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123825</xdr:colOff>
      <xdr:row>886</xdr:row>
      <xdr:rowOff>76200</xdr:rowOff>
    </xdr:from>
    <xdr:to>
      <xdr:col>4</xdr:col>
      <xdr:colOff>838200</xdr:colOff>
      <xdr:row>888</xdr:row>
      <xdr:rowOff>323850</xdr:rowOff>
    </xdr:to>
    <xdr:pic>
      <xdr:nvPicPr>
        <xdr:cNvPr id="19" name="19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791075" y="178546125"/>
          <a:ext cx="71437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876300</xdr:colOff>
      <xdr:row>933</xdr:row>
      <xdr:rowOff>161925</xdr:rowOff>
    </xdr:from>
    <xdr:to>
      <xdr:col>4</xdr:col>
      <xdr:colOff>657225</xdr:colOff>
      <xdr:row>938</xdr:row>
      <xdr:rowOff>66675</xdr:rowOff>
    </xdr:to>
    <xdr:pic>
      <xdr:nvPicPr>
        <xdr:cNvPr id="20" name="20 Imagen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524375" y="188566425"/>
          <a:ext cx="8001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85725</xdr:colOff>
      <xdr:row>0</xdr:row>
      <xdr:rowOff>57150</xdr:rowOff>
    </xdr:from>
    <xdr:to>
      <xdr:col>6</xdr:col>
      <xdr:colOff>742950</xdr:colOff>
      <xdr:row>3</xdr:row>
      <xdr:rowOff>123825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43475" y="57150"/>
          <a:ext cx="65722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962025</xdr:colOff>
      <xdr:row>0</xdr:row>
      <xdr:rowOff>76200</xdr:rowOff>
    </xdr:from>
    <xdr:to>
      <xdr:col>8</xdr:col>
      <xdr:colOff>742950</xdr:colOff>
      <xdr:row>3</xdr:row>
      <xdr:rowOff>142875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01150" y="76200"/>
          <a:ext cx="7810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19050</xdr:colOff>
      <xdr:row>0</xdr:row>
      <xdr:rowOff>171450</xdr:rowOff>
    </xdr:from>
    <xdr:to>
      <xdr:col>12</xdr:col>
      <xdr:colOff>904875</xdr:colOff>
      <xdr:row>4</xdr:row>
      <xdr:rowOff>0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830050" y="171450"/>
          <a:ext cx="8858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619125</xdr:colOff>
      <xdr:row>2</xdr:row>
      <xdr:rowOff>0</xdr:rowOff>
    </xdr:from>
    <xdr:to>
      <xdr:col>10</xdr:col>
      <xdr:colOff>628650</xdr:colOff>
      <xdr:row>6</xdr:row>
      <xdr:rowOff>104775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323850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15</xdr:row>
      <xdr:rowOff>104775</xdr:rowOff>
    </xdr:from>
    <xdr:to>
      <xdr:col>8</xdr:col>
      <xdr:colOff>38100</xdr:colOff>
      <xdr:row>17</xdr:row>
      <xdr:rowOff>85725</xdr:rowOff>
    </xdr:to>
    <xdr:grpSp>
      <xdr:nvGrpSpPr>
        <xdr:cNvPr id="1" name="Group 1"/>
        <xdr:cNvGrpSpPr>
          <a:grpSpLocks/>
        </xdr:cNvGrpSpPr>
      </xdr:nvGrpSpPr>
      <xdr:grpSpPr>
        <a:xfrm>
          <a:off x="3305175" y="3352800"/>
          <a:ext cx="2790825" cy="304800"/>
          <a:chOff x="5870" y="5089"/>
          <a:chExt cx="4900" cy="4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870" y="5100"/>
            <a:ext cx="474" cy="464"/>
          </a:xfrm>
          <a:custGeom>
            <a:pathLst>
              <a:path h="820" w="838">
                <a:moveTo>
                  <a:pt x="9" y="0"/>
                </a:moveTo>
                <a:lnTo>
                  <a:pt x="205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3"/>
                </a:lnTo>
                <a:lnTo>
                  <a:pt x="452" y="302"/>
                </a:lnTo>
                <a:lnTo>
                  <a:pt x="514" y="386"/>
                </a:lnTo>
                <a:lnTo>
                  <a:pt x="514" y="393"/>
                </a:lnTo>
                <a:lnTo>
                  <a:pt x="629" y="536"/>
                </a:lnTo>
                <a:lnTo>
                  <a:pt x="668" y="575"/>
                </a:lnTo>
                <a:lnTo>
                  <a:pt x="668" y="121"/>
                </a:lnTo>
                <a:lnTo>
                  <a:pt x="660" y="111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7" y="6"/>
                </a:lnTo>
                <a:lnTo>
                  <a:pt x="837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5" y="103"/>
                </a:lnTo>
                <a:lnTo>
                  <a:pt x="735" y="811"/>
                </a:lnTo>
                <a:lnTo>
                  <a:pt x="724" y="819"/>
                </a:lnTo>
                <a:lnTo>
                  <a:pt x="704" y="819"/>
                </a:lnTo>
                <a:lnTo>
                  <a:pt x="668" y="785"/>
                </a:lnTo>
                <a:lnTo>
                  <a:pt x="320" y="339"/>
                </a:lnTo>
                <a:lnTo>
                  <a:pt x="282" y="302"/>
                </a:lnTo>
                <a:lnTo>
                  <a:pt x="205" y="205"/>
                </a:lnTo>
                <a:lnTo>
                  <a:pt x="205" y="198"/>
                </a:lnTo>
                <a:lnTo>
                  <a:pt x="179" y="168"/>
                </a:lnTo>
                <a:lnTo>
                  <a:pt x="179" y="709"/>
                </a:lnTo>
                <a:lnTo>
                  <a:pt x="187" y="717"/>
                </a:lnTo>
                <a:lnTo>
                  <a:pt x="198" y="746"/>
                </a:lnTo>
                <a:lnTo>
                  <a:pt x="198" y="753"/>
                </a:lnTo>
                <a:lnTo>
                  <a:pt x="205" y="766"/>
                </a:lnTo>
                <a:lnTo>
                  <a:pt x="226" y="775"/>
                </a:lnTo>
                <a:lnTo>
                  <a:pt x="253" y="785"/>
                </a:lnTo>
                <a:lnTo>
                  <a:pt x="282" y="785"/>
                </a:lnTo>
                <a:lnTo>
                  <a:pt x="292" y="793"/>
                </a:lnTo>
                <a:lnTo>
                  <a:pt x="292" y="803"/>
                </a:lnTo>
                <a:lnTo>
                  <a:pt x="282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83" y="766"/>
                </a:lnTo>
                <a:lnTo>
                  <a:pt x="92" y="753"/>
                </a:lnTo>
                <a:lnTo>
                  <a:pt x="104" y="735"/>
                </a:lnTo>
                <a:lnTo>
                  <a:pt x="111" y="709"/>
                </a:lnTo>
                <a:lnTo>
                  <a:pt x="111" y="93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6373" y="5089"/>
            <a:ext cx="454" cy="482"/>
          </a:xfrm>
          <a:custGeom>
            <a:pathLst>
              <a:path h="852" w="802">
                <a:moveTo>
                  <a:pt x="341" y="56"/>
                </a:moveTo>
                <a:lnTo>
                  <a:pt x="283" y="83"/>
                </a:lnTo>
                <a:lnTo>
                  <a:pt x="216" y="148"/>
                </a:lnTo>
                <a:lnTo>
                  <a:pt x="187" y="217"/>
                </a:lnTo>
                <a:lnTo>
                  <a:pt x="152" y="347"/>
                </a:lnTo>
                <a:lnTo>
                  <a:pt x="152" y="500"/>
                </a:lnTo>
                <a:lnTo>
                  <a:pt x="160" y="555"/>
                </a:lnTo>
                <a:lnTo>
                  <a:pt x="187" y="652"/>
                </a:lnTo>
                <a:lnTo>
                  <a:pt x="208" y="688"/>
                </a:lnTo>
                <a:lnTo>
                  <a:pt x="236" y="728"/>
                </a:lnTo>
                <a:lnTo>
                  <a:pt x="244" y="736"/>
                </a:lnTo>
                <a:lnTo>
                  <a:pt x="294" y="765"/>
                </a:lnTo>
                <a:lnTo>
                  <a:pt x="378" y="804"/>
                </a:lnTo>
                <a:lnTo>
                  <a:pt x="435" y="804"/>
                </a:lnTo>
                <a:lnTo>
                  <a:pt x="471" y="794"/>
                </a:lnTo>
                <a:lnTo>
                  <a:pt x="510" y="772"/>
                </a:lnTo>
                <a:lnTo>
                  <a:pt x="538" y="754"/>
                </a:lnTo>
                <a:lnTo>
                  <a:pt x="585" y="707"/>
                </a:lnTo>
                <a:lnTo>
                  <a:pt x="604" y="681"/>
                </a:lnTo>
                <a:lnTo>
                  <a:pt x="652" y="511"/>
                </a:lnTo>
                <a:lnTo>
                  <a:pt x="652" y="347"/>
                </a:lnTo>
                <a:lnTo>
                  <a:pt x="641" y="282"/>
                </a:lnTo>
                <a:lnTo>
                  <a:pt x="623" y="217"/>
                </a:lnTo>
                <a:lnTo>
                  <a:pt x="593" y="158"/>
                </a:lnTo>
                <a:lnTo>
                  <a:pt x="576" y="130"/>
                </a:lnTo>
                <a:lnTo>
                  <a:pt x="557" y="112"/>
                </a:lnTo>
                <a:lnTo>
                  <a:pt x="518" y="83"/>
                </a:lnTo>
                <a:lnTo>
                  <a:pt x="424" y="46"/>
                </a:lnTo>
                <a:lnTo>
                  <a:pt x="378" y="46"/>
                </a:lnTo>
                <a:lnTo>
                  <a:pt x="341" y="56"/>
                </a:lnTo>
                <a:close/>
                <a:moveTo>
                  <a:pt x="341" y="56"/>
                </a:moveTo>
                <a:lnTo>
                  <a:pt x="358" y="0"/>
                </a:lnTo>
                <a:lnTo>
                  <a:pt x="442" y="0"/>
                </a:lnTo>
                <a:lnTo>
                  <a:pt x="593" y="46"/>
                </a:lnTo>
                <a:lnTo>
                  <a:pt x="612" y="65"/>
                </a:lnTo>
                <a:lnTo>
                  <a:pt x="641" y="83"/>
                </a:lnTo>
                <a:lnTo>
                  <a:pt x="652" y="83"/>
                </a:lnTo>
                <a:lnTo>
                  <a:pt x="718" y="148"/>
                </a:lnTo>
                <a:lnTo>
                  <a:pt x="754" y="206"/>
                </a:lnTo>
                <a:lnTo>
                  <a:pt x="782" y="271"/>
                </a:lnTo>
                <a:lnTo>
                  <a:pt x="801" y="358"/>
                </a:lnTo>
                <a:lnTo>
                  <a:pt x="801" y="500"/>
                </a:lnTo>
                <a:lnTo>
                  <a:pt x="745" y="663"/>
                </a:lnTo>
                <a:lnTo>
                  <a:pt x="726" y="688"/>
                </a:lnTo>
                <a:lnTo>
                  <a:pt x="641" y="772"/>
                </a:lnTo>
                <a:lnTo>
                  <a:pt x="612" y="794"/>
                </a:lnTo>
                <a:lnTo>
                  <a:pt x="557" y="822"/>
                </a:lnTo>
                <a:lnTo>
                  <a:pt x="498" y="838"/>
                </a:lnTo>
                <a:lnTo>
                  <a:pt x="442" y="851"/>
                </a:lnTo>
                <a:lnTo>
                  <a:pt x="358" y="851"/>
                </a:lnTo>
                <a:lnTo>
                  <a:pt x="187" y="794"/>
                </a:lnTo>
                <a:lnTo>
                  <a:pt x="160" y="772"/>
                </a:lnTo>
                <a:lnTo>
                  <a:pt x="73" y="688"/>
                </a:lnTo>
                <a:lnTo>
                  <a:pt x="55" y="663"/>
                </a:lnTo>
                <a:lnTo>
                  <a:pt x="18" y="576"/>
                </a:lnTo>
                <a:lnTo>
                  <a:pt x="0" y="490"/>
                </a:lnTo>
                <a:lnTo>
                  <a:pt x="0" y="358"/>
                </a:lnTo>
                <a:lnTo>
                  <a:pt x="37" y="245"/>
                </a:lnTo>
                <a:lnTo>
                  <a:pt x="93" y="140"/>
                </a:lnTo>
                <a:lnTo>
                  <a:pt x="152" y="83"/>
                </a:lnTo>
                <a:lnTo>
                  <a:pt x="160" y="83"/>
                </a:lnTo>
                <a:lnTo>
                  <a:pt x="187" y="65"/>
                </a:lnTo>
                <a:lnTo>
                  <a:pt x="208" y="46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7026" y="5089"/>
            <a:ext cx="477" cy="470"/>
          </a:xfrm>
          <a:custGeom>
            <a:pathLst>
              <a:path h="830" w="842">
                <a:moveTo>
                  <a:pt x="385" y="197"/>
                </a:moveTo>
                <a:lnTo>
                  <a:pt x="256" y="499"/>
                </a:lnTo>
                <a:lnTo>
                  <a:pt x="256" y="510"/>
                </a:lnTo>
                <a:lnTo>
                  <a:pt x="519" y="510"/>
                </a:lnTo>
                <a:lnTo>
                  <a:pt x="519" y="499"/>
                </a:lnTo>
                <a:lnTo>
                  <a:pt x="385" y="197"/>
                </a:lnTo>
                <a:close/>
                <a:moveTo>
                  <a:pt x="385" y="197"/>
                </a:moveTo>
                <a:lnTo>
                  <a:pt x="405" y="0"/>
                </a:lnTo>
                <a:lnTo>
                  <a:pt x="424" y="0"/>
                </a:lnTo>
                <a:lnTo>
                  <a:pt x="435" y="5"/>
                </a:lnTo>
                <a:lnTo>
                  <a:pt x="605" y="396"/>
                </a:lnTo>
                <a:lnTo>
                  <a:pt x="755" y="745"/>
                </a:lnTo>
                <a:lnTo>
                  <a:pt x="801" y="793"/>
                </a:lnTo>
                <a:lnTo>
                  <a:pt x="830" y="793"/>
                </a:lnTo>
                <a:lnTo>
                  <a:pt x="841" y="803"/>
                </a:lnTo>
                <a:lnTo>
                  <a:pt x="841" y="821"/>
                </a:lnTo>
                <a:lnTo>
                  <a:pt x="830" y="829"/>
                </a:lnTo>
                <a:lnTo>
                  <a:pt x="537" y="829"/>
                </a:lnTo>
                <a:lnTo>
                  <a:pt x="527" y="821"/>
                </a:lnTo>
                <a:lnTo>
                  <a:pt x="527" y="803"/>
                </a:lnTo>
                <a:lnTo>
                  <a:pt x="537" y="793"/>
                </a:lnTo>
                <a:lnTo>
                  <a:pt x="585" y="793"/>
                </a:lnTo>
                <a:lnTo>
                  <a:pt x="605" y="784"/>
                </a:lnTo>
                <a:lnTo>
                  <a:pt x="613" y="764"/>
                </a:lnTo>
                <a:lnTo>
                  <a:pt x="613" y="745"/>
                </a:lnTo>
                <a:lnTo>
                  <a:pt x="605" y="735"/>
                </a:lnTo>
                <a:lnTo>
                  <a:pt x="546" y="575"/>
                </a:lnTo>
                <a:lnTo>
                  <a:pt x="537" y="564"/>
                </a:lnTo>
                <a:lnTo>
                  <a:pt x="227" y="564"/>
                </a:lnTo>
                <a:lnTo>
                  <a:pt x="169" y="716"/>
                </a:lnTo>
                <a:lnTo>
                  <a:pt x="169" y="771"/>
                </a:lnTo>
                <a:lnTo>
                  <a:pt x="179" y="784"/>
                </a:lnTo>
                <a:lnTo>
                  <a:pt x="197" y="793"/>
                </a:lnTo>
                <a:lnTo>
                  <a:pt x="235" y="793"/>
                </a:lnTo>
                <a:lnTo>
                  <a:pt x="244" y="803"/>
                </a:lnTo>
                <a:lnTo>
                  <a:pt x="244" y="821"/>
                </a:lnTo>
                <a:lnTo>
                  <a:pt x="235" y="829"/>
                </a:lnTo>
                <a:lnTo>
                  <a:pt x="7" y="829"/>
                </a:lnTo>
                <a:lnTo>
                  <a:pt x="0" y="821"/>
                </a:lnTo>
                <a:lnTo>
                  <a:pt x="0" y="803"/>
                </a:lnTo>
                <a:lnTo>
                  <a:pt x="7" y="793"/>
                </a:lnTo>
                <a:lnTo>
                  <a:pt x="39" y="793"/>
                </a:lnTo>
                <a:lnTo>
                  <a:pt x="86" y="745"/>
                </a:lnTo>
                <a:lnTo>
                  <a:pt x="122" y="662"/>
                </a:lnTo>
                <a:lnTo>
                  <a:pt x="397" y="5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7519" y="5100"/>
            <a:ext cx="363" cy="460"/>
          </a:xfrm>
          <a:custGeom>
            <a:pathLst>
              <a:path h="813" w="642">
                <a:moveTo>
                  <a:pt x="235" y="65"/>
                </a:moveTo>
                <a:lnTo>
                  <a:pt x="235" y="405"/>
                </a:lnTo>
                <a:lnTo>
                  <a:pt x="358" y="405"/>
                </a:lnTo>
                <a:lnTo>
                  <a:pt x="432" y="379"/>
                </a:lnTo>
                <a:lnTo>
                  <a:pt x="480" y="329"/>
                </a:lnTo>
                <a:lnTo>
                  <a:pt x="491" y="311"/>
                </a:lnTo>
                <a:lnTo>
                  <a:pt x="500" y="272"/>
                </a:lnTo>
                <a:lnTo>
                  <a:pt x="500" y="188"/>
                </a:lnTo>
                <a:lnTo>
                  <a:pt x="491" y="180"/>
                </a:lnTo>
                <a:lnTo>
                  <a:pt x="480" y="140"/>
                </a:lnTo>
                <a:lnTo>
                  <a:pt x="480" y="130"/>
                </a:lnTo>
                <a:lnTo>
                  <a:pt x="425" y="76"/>
                </a:lnTo>
                <a:lnTo>
                  <a:pt x="338" y="47"/>
                </a:lnTo>
                <a:lnTo>
                  <a:pt x="253" y="47"/>
                </a:lnTo>
                <a:lnTo>
                  <a:pt x="235" y="65"/>
                </a:lnTo>
                <a:close/>
                <a:moveTo>
                  <a:pt x="235" y="65"/>
                </a:moveTo>
                <a:lnTo>
                  <a:pt x="7" y="0"/>
                </a:lnTo>
                <a:lnTo>
                  <a:pt x="385" y="0"/>
                </a:lnTo>
                <a:lnTo>
                  <a:pt x="538" y="47"/>
                </a:lnTo>
                <a:lnTo>
                  <a:pt x="566" y="65"/>
                </a:lnTo>
                <a:lnTo>
                  <a:pt x="605" y="104"/>
                </a:lnTo>
                <a:lnTo>
                  <a:pt x="622" y="130"/>
                </a:lnTo>
                <a:lnTo>
                  <a:pt x="622" y="140"/>
                </a:lnTo>
                <a:lnTo>
                  <a:pt x="633" y="180"/>
                </a:lnTo>
                <a:lnTo>
                  <a:pt x="641" y="188"/>
                </a:lnTo>
                <a:lnTo>
                  <a:pt x="641" y="264"/>
                </a:lnTo>
                <a:lnTo>
                  <a:pt x="633" y="303"/>
                </a:lnTo>
                <a:lnTo>
                  <a:pt x="613" y="340"/>
                </a:lnTo>
                <a:lnTo>
                  <a:pt x="538" y="414"/>
                </a:lnTo>
                <a:lnTo>
                  <a:pt x="480" y="445"/>
                </a:lnTo>
                <a:lnTo>
                  <a:pt x="397" y="463"/>
                </a:lnTo>
                <a:lnTo>
                  <a:pt x="235" y="463"/>
                </a:lnTo>
                <a:lnTo>
                  <a:pt x="235" y="728"/>
                </a:lnTo>
                <a:lnTo>
                  <a:pt x="244" y="754"/>
                </a:lnTo>
                <a:lnTo>
                  <a:pt x="253" y="767"/>
                </a:lnTo>
                <a:lnTo>
                  <a:pt x="338" y="786"/>
                </a:lnTo>
                <a:lnTo>
                  <a:pt x="350" y="794"/>
                </a:lnTo>
                <a:lnTo>
                  <a:pt x="350" y="804"/>
                </a:lnTo>
                <a:lnTo>
                  <a:pt x="338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5" y="786"/>
                </a:lnTo>
                <a:lnTo>
                  <a:pt x="66" y="776"/>
                </a:lnTo>
                <a:lnTo>
                  <a:pt x="85" y="767"/>
                </a:lnTo>
                <a:lnTo>
                  <a:pt x="93" y="754"/>
                </a:lnTo>
                <a:lnTo>
                  <a:pt x="101" y="728"/>
                </a:lnTo>
                <a:lnTo>
                  <a:pt x="101" y="86"/>
                </a:lnTo>
                <a:lnTo>
                  <a:pt x="85" y="47"/>
                </a:lnTo>
                <a:lnTo>
                  <a:pt x="66" y="38"/>
                </a:lnTo>
                <a:lnTo>
                  <a:pt x="35" y="2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7899" y="5100"/>
            <a:ext cx="401" cy="460"/>
          </a:xfrm>
          <a:custGeom>
            <a:pathLst>
              <a:path h="813" w="708">
                <a:moveTo>
                  <a:pt x="11" y="0"/>
                </a:moveTo>
                <a:lnTo>
                  <a:pt x="340" y="0"/>
                </a:lnTo>
                <a:lnTo>
                  <a:pt x="348" y="8"/>
                </a:lnTo>
                <a:lnTo>
                  <a:pt x="348" y="20"/>
                </a:lnTo>
                <a:lnTo>
                  <a:pt x="340" y="28"/>
                </a:lnTo>
                <a:lnTo>
                  <a:pt x="293" y="38"/>
                </a:lnTo>
                <a:lnTo>
                  <a:pt x="266" y="47"/>
                </a:lnTo>
                <a:lnTo>
                  <a:pt x="254" y="56"/>
                </a:lnTo>
                <a:lnTo>
                  <a:pt x="235" y="86"/>
                </a:lnTo>
                <a:lnTo>
                  <a:pt x="235" y="736"/>
                </a:lnTo>
                <a:lnTo>
                  <a:pt x="246" y="747"/>
                </a:lnTo>
                <a:lnTo>
                  <a:pt x="266" y="754"/>
                </a:lnTo>
                <a:lnTo>
                  <a:pt x="482" y="754"/>
                </a:lnTo>
                <a:lnTo>
                  <a:pt x="529" y="747"/>
                </a:lnTo>
                <a:lnTo>
                  <a:pt x="557" y="736"/>
                </a:lnTo>
                <a:lnTo>
                  <a:pt x="576" y="728"/>
                </a:lnTo>
                <a:lnTo>
                  <a:pt x="605" y="710"/>
                </a:lnTo>
                <a:lnTo>
                  <a:pt x="624" y="689"/>
                </a:lnTo>
                <a:lnTo>
                  <a:pt x="660" y="634"/>
                </a:lnTo>
                <a:lnTo>
                  <a:pt x="660" y="626"/>
                </a:lnTo>
                <a:lnTo>
                  <a:pt x="671" y="606"/>
                </a:lnTo>
                <a:lnTo>
                  <a:pt x="679" y="595"/>
                </a:lnTo>
                <a:lnTo>
                  <a:pt x="699" y="595"/>
                </a:lnTo>
                <a:lnTo>
                  <a:pt x="707" y="606"/>
                </a:lnTo>
                <a:lnTo>
                  <a:pt x="707" y="634"/>
                </a:lnTo>
                <a:lnTo>
                  <a:pt x="699" y="663"/>
                </a:lnTo>
                <a:lnTo>
                  <a:pt x="660" y="804"/>
                </a:lnTo>
                <a:lnTo>
                  <a:pt x="652" y="812"/>
                </a:lnTo>
                <a:lnTo>
                  <a:pt x="11" y="812"/>
                </a:lnTo>
                <a:lnTo>
                  <a:pt x="0" y="804"/>
                </a:lnTo>
                <a:lnTo>
                  <a:pt x="0" y="794"/>
                </a:lnTo>
                <a:lnTo>
                  <a:pt x="11" y="786"/>
                </a:lnTo>
                <a:lnTo>
                  <a:pt x="38" y="786"/>
                </a:lnTo>
                <a:lnTo>
                  <a:pt x="67" y="776"/>
                </a:lnTo>
                <a:lnTo>
                  <a:pt x="93" y="747"/>
                </a:lnTo>
                <a:lnTo>
                  <a:pt x="105" y="728"/>
                </a:lnTo>
                <a:lnTo>
                  <a:pt x="105" y="86"/>
                </a:lnTo>
                <a:lnTo>
                  <a:pt x="93" y="65"/>
                </a:lnTo>
                <a:lnTo>
                  <a:pt x="67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8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8319" y="5100"/>
            <a:ext cx="206" cy="460"/>
          </a:xfrm>
          <a:custGeom>
            <a:pathLst>
              <a:path h="813" w="365">
                <a:moveTo>
                  <a:pt x="6" y="0"/>
                </a:moveTo>
                <a:lnTo>
                  <a:pt x="356" y="0"/>
                </a:lnTo>
                <a:lnTo>
                  <a:pt x="364" y="8"/>
                </a:lnTo>
                <a:lnTo>
                  <a:pt x="364" y="20"/>
                </a:lnTo>
                <a:lnTo>
                  <a:pt x="356" y="28"/>
                </a:lnTo>
                <a:lnTo>
                  <a:pt x="309" y="38"/>
                </a:lnTo>
                <a:lnTo>
                  <a:pt x="281" y="47"/>
                </a:lnTo>
                <a:lnTo>
                  <a:pt x="269" y="56"/>
                </a:lnTo>
                <a:lnTo>
                  <a:pt x="250" y="86"/>
                </a:lnTo>
                <a:lnTo>
                  <a:pt x="250" y="728"/>
                </a:lnTo>
                <a:lnTo>
                  <a:pt x="269" y="767"/>
                </a:lnTo>
                <a:lnTo>
                  <a:pt x="290" y="776"/>
                </a:lnTo>
                <a:lnTo>
                  <a:pt x="317" y="786"/>
                </a:lnTo>
                <a:lnTo>
                  <a:pt x="356" y="786"/>
                </a:lnTo>
                <a:lnTo>
                  <a:pt x="364" y="794"/>
                </a:lnTo>
                <a:lnTo>
                  <a:pt x="364" y="804"/>
                </a:lnTo>
                <a:lnTo>
                  <a:pt x="356" y="812"/>
                </a:lnTo>
                <a:lnTo>
                  <a:pt x="6" y="812"/>
                </a:lnTo>
                <a:lnTo>
                  <a:pt x="0" y="804"/>
                </a:lnTo>
                <a:lnTo>
                  <a:pt x="0" y="794"/>
                </a:lnTo>
                <a:lnTo>
                  <a:pt x="6" y="786"/>
                </a:lnTo>
                <a:lnTo>
                  <a:pt x="62" y="776"/>
                </a:lnTo>
                <a:lnTo>
                  <a:pt x="91" y="767"/>
                </a:lnTo>
                <a:lnTo>
                  <a:pt x="100" y="754"/>
                </a:lnTo>
                <a:lnTo>
                  <a:pt x="120" y="728"/>
                </a:lnTo>
                <a:lnTo>
                  <a:pt x="120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8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8560" y="5089"/>
            <a:ext cx="417" cy="482"/>
          </a:xfrm>
          <a:custGeom>
            <a:pathLst>
              <a:path h="852" w="737">
                <a:moveTo>
                  <a:pt x="365" y="0"/>
                </a:moveTo>
                <a:lnTo>
                  <a:pt x="451" y="0"/>
                </a:lnTo>
                <a:lnTo>
                  <a:pt x="592" y="38"/>
                </a:lnTo>
                <a:lnTo>
                  <a:pt x="648" y="38"/>
                </a:lnTo>
                <a:lnTo>
                  <a:pt x="668" y="17"/>
                </a:lnTo>
                <a:lnTo>
                  <a:pt x="668" y="6"/>
                </a:lnTo>
                <a:lnTo>
                  <a:pt x="680" y="0"/>
                </a:lnTo>
                <a:lnTo>
                  <a:pt x="696" y="0"/>
                </a:lnTo>
                <a:lnTo>
                  <a:pt x="707" y="6"/>
                </a:lnTo>
                <a:lnTo>
                  <a:pt x="715" y="83"/>
                </a:lnTo>
                <a:lnTo>
                  <a:pt x="715" y="271"/>
                </a:lnTo>
                <a:lnTo>
                  <a:pt x="707" y="282"/>
                </a:lnTo>
                <a:lnTo>
                  <a:pt x="687" y="282"/>
                </a:lnTo>
                <a:lnTo>
                  <a:pt x="680" y="271"/>
                </a:lnTo>
                <a:lnTo>
                  <a:pt x="680" y="256"/>
                </a:lnTo>
                <a:lnTo>
                  <a:pt x="648" y="187"/>
                </a:lnTo>
                <a:lnTo>
                  <a:pt x="631" y="158"/>
                </a:lnTo>
                <a:lnTo>
                  <a:pt x="573" y="104"/>
                </a:lnTo>
                <a:lnTo>
                  <a:pt x="545" y="83"/>
                </a:lnTo>
                <a:lnTo>
                  <a:pt x="525" y="74"/>
                </a:lnTo>
                <a:lnTo>
                  <a:pt x="459" y="56"/>
                </a:lnTo>
                <a:lnTo>
                  <a:pt x="395" y="56"/>
                </a:lnTo>
                <a:lnTo>
                  <a:pt x="271" y="104"/>
                </a:lnTo>
                <a:lnTo>
                  <a:pt x="215" y="158"/>
                </a:lnTo>
                <a:lnTo>
                  <a:pt x="206" y="180"/>
                </a:lnTo>
                <a:lnTo>
                  <a:pt x="149" y="347"/>
                </a:lnTo>
                <a:lnTo>
                  <a:pt x="149" y="500"/>
                </a:lnTo>
                <a:lnTo>
                  <a:pt x="157" y="555"/>
                </a:lnTo>
                <a:lnTo>
                  <a:pt x="188" y="644"/>
                </a:lnTo>
                <a:lnTo>
                  <a:pt x="197" y="663"/>
                </a:lnTo>
                <a:lnTo>
                  <a:pt x="215" y="688"/>
                </a:lnTo>
                <a:lnTo>
                  <a:pt x="253" y="728"/>
                </a:lnTo>
                <a:lnTo>
                  <a:pt x="282" y="746"/>
                </a:lnTo>
                <a:lnTo>
                  <a:pt x="318" y="765"/>
                </a:lnTo>
                <a:lnTo>
                  <a:pt x="349" y="772"/>
                </a:lnTo>
                <a:lnTo>
                  <a:pt x="395" y="785"/>
                </a:lnTo>
                <a:lnTo>
                  <a:pt x="478" y="785"/>
                </a:lnTo>
                <a:lnTo>
                  <a:pt x="620" y="736"/>
                </a:lnTo>
                <a:lnTo>
                  <a:pt x="659" y="707"/>
                </a:lnTo>
                <a:lnTo>
                  <a:pt x="707" y="663"/>
                </a:lnTo>
                <a:lnTo>
                  <a:pt x="736" y="688"/>
                </a:lnTo>
                <a:lnTo>
                  <a:pt x="715" y="717"/>
                </a:lnTo>
                <a:lnTo>
                  <a:pt x="687" y="746"/>
                </a:lnTo>
                <a:lnTo>
                  <a:pt x="620" y="794"/>
                </a:lnTo>
                <a:lnTo>
                  <a:pt x="564" y="822"/>
                </a:lnTo>
                <a:lnTo>
                  <a:pt x="536" y="830"/>
                </a:lnTo>
                <a:lnTo>
                  <a:pt x="451" y="851"/>
                </a:lnTo>
                <a:lnTo>
                  <a:pt x="357" y="851"/>
                </a:lnTo>
                <a:lnTo>
                  <a:pt x="235" y="812"/>
                </a:lnTo>
                <a:lnTo>
                  <a:pt x="168" y="785"/>
                </a:lnTo>
                <a:lnTo>
                  <a:pt x="129" y="754"/>
                </a:lnTo>
                <a:lnTo>
                  <a:pt x="82" y="707"/>
                </a:lnTo>
                <a:lnTo>
                  <a:pt x="46" y="652"/>
                </a:lnTo>
                <a:lnTo>
                  <a:pt x="16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8"/>
                </a:lnTo>
                <a:lnTo>
                  <a:pt x="74" y="169"/>
                </a:lnTo>
                <a:lnTo>
                  <a:pt x="157" y="83"/>
                </a:lnTo>
                <a:lnTo>
                  <a:pt x="168" y="83"/>
                </a:lnTo>
                <a:lnTo>
                  <a:pt x="197" y="65"/>
                </a:lnTo>
                <a:lnTo>
                  <a:pt x="215" y="46"/>
                </a:lnTo>
                <a:lnTo>
                  <a:pt x="365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9005" y="5089"/>
            <a:ext cx="474" cy="470"/>
          </a:xfrm>
          <a:custGeom>
            <a:pathLst>
              <a:path h="830" w="838">
                <a:moveTo>
                  <a:pt x="384" y="197"/>
                </a:moveTo>
                <a:lnTo>
                  <a:pt x="253" y="499"/>
                </a:lnTo>
                <a:lnTo>
                  <a:pt x="253" y="510"/>
                </a:lnTo>
                <a:lnTo>
                  <a:pt x="514" y="510"/>
                </a:lnTo>
                <a:lnTo>
                  <a:pt x="514" y="499"/>
                </a:lnTo>
                <a:lnTo>
                  <a:pt x="384" y="197"/>
                </a:lnTo>
                <a:close/>
                <a:moveTo>
                  <a:pt x="384" y="197"/>
                </a:moveTo>
                <a:lnTo>
                  <a:pt x="403" y="0"/>
                </a:lnTo>
                <a:lnTo>
                  <a:pt x="420" y="0"/>
                </a:lnTo>
                <a:lnTo>
                  <a:pt x="429" y="5"/>
                </a:lnTo>
                <a:lnTo>
                  <a:pt x="601" y="396"/>
                </a:lnTo>
                <a:lnTo>
                  <a:pt x="751" y="745"/>
                </a:lnTo>
                <a:lnTo>
                  <a:pt x="798" y="793"/>
                </a:lnTo>
                <a:lnTo>
                  <a:pt x="825" y="793"/>
                </a:lnTo>
                <a:lnTo>
                  <a:pt x="837" y="803"/>
                </a:lnTo>
                <a:lnTo>
                  <a:pt x="837" y="821"/>
                </a:lnTo>
                <a:lnTo>
                  <a:pt x="825" y="829"/>
                </a:lnTo>
                <a:lnTo>
                  <a:pt x="535" y="829"/>
                </a:lnTo>
                <a:lnTo>
                  <a:pt x="523" y="821"/>
                </a:lnTo>
                <a:lnTo>
                  <a:pt x="523" y="803"/>
                </a:lnTo>
                <a:lnTo>
                  <a:pt x="535" y="793"/>
                </a:lnTo>
                <a:lnTo>
                  <a:pt x="581" y="793"/>
                </a:lnTo>
                <a:lnTo>
                  <a:pt x="601" y="784"/>
                </a:lnTo>
                <a:lnTo>
                  <a:pt x="609" y="764"/>
                </a:lnTo>
                <a:lnTo>
                  <a:pt x="609" y="745"/>
                </a:lnTo>
                <a:lnTo>
                  <a:pt x="601" y="735"/>
                </a:lnTo>
                <a:lnTo>
                  <a:pt x="542" y="575"/>
                </a:lnTo>
                <a:lnTo>
                  <a:pt x="535" y="564"/>
                </a:lnTo>
                <a:lnTo>
                  <a:pt x="224" y="564"/>
                </a:lnTo>
                <a:lnTo>
                  <a:pt x="167" y="716"/>
                </a:lnTo>
                <a:lnTo>
                  <a:pt x="167" y="771"/>
                </a:lnTo>
                <a:lnTo>
                  <a:pt x="178" y="784"/>
                </a:lnTo>
                <a:lnTo>
                  <a:pt x="194" y="793"/>
                </a:lnTo>
                <a:lnTo>
                  <a:pt x="232" y="793"/>
                </a:lnTo>
                <a:lnTo>
                  <a:pt x="241" y="803"/>
                </a:lnTo>
                <a:lnTo>
                  <a:pt x="241" y="821"/>
                </a:lnTo>
                <a:lnTo>
                  <a:pt x="232" y="829"/>
                </a:lnTo>
                <a:lnTo>
                  <a:pt x="5" y="829"/>
                </a:lnTo>
                <a:lnTo>
                  <a:pt x="0" y="821"/>
                </a:lnTo>
                <a:lnTo>
                  <a:pt x="0" y="803"/>
                </a:lnTo>
                <a:lnTo>
                  <a:pt x="5" y="793"/>
                </a:lnTo>
                <a:lnTo>
                  <a:pt x="36" y="793"/>
                </a:lnTo>
                <a:lnTo>
                  <a:pt x="83" y="745"/>
                </a:lnTo>
                <a:lnTo>
                  <a:pt x="119" y="662"/>
                </a:lnTo>
                <a:lnTo>
                  <a:pt x="394" y="5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9497" y="5100"/>
            <a:ext cx="399" cy="460"/>
          </a:xfrm>
          <a:custGeom>
            <a:pathLst>
              <a:path h="813" w="706">
                <a:moveTo>
                  <a:pt x="242" y="65"/>
                </a:moveTo>
                <a:lnTo>
                  <a:pt x="242" y="360"/>
                </a:lnTo>
                <a:lnTo>
                  <a:pt x="413" y="360"/>
                </a:lnTo>
                <a:lnTo>
                  <a:pt x="449" y="348"/>
                </a:lnTo>
                <a:lnTo>
                  <a:pt x="469" y="340"/>
                </a:lnTo>
                <a:lnTo>
                  <a:pt x="524" y="285"/>
                </a:lnTo>
                <a:lnTo>
                  <a:pt x="535" y="253"/>
                </a:lnTo>
                <a:lnTo>
                  <a:pt x="535" y="180"/>
                </a:lnTo>
                <a:lnTo>
                  <a:pt x="524" y="151"/>
                </a:lnTo>
                <a:lnTo>
                  <a:pt x="516" y="130"/>
                </a:lnTo>
                <a:lnTo>
                  <a:pt x="496" y="104"/>
                </a:lnTo>
                <a:lnTo>
                  <a:pt x="488" y="94"/>
                </a:lnTo>
                <a:lnTo>
                  <a:pt x="375" y="47"/>
                </a:lnTo>
                <a:lnTo>
                  <a:pt x="261" y="47"/>
                </a:lnTo>
                <a:lnTo>
                  <a:pt x="242" y="65"/>
                </a:lnTo>
                <a:close/>
                <a:moveTo>
                  <a:pt x="242" y="65"/>
                </a:moveTo>
                <a:lnTo>
                  <a:pt x="242" y="736"/>
                </a:lnTo>
                <a:lnTo>
                  <a:pt x="261" y="754"/>
                </a:lnTo>
                <a:lnTo>
                  <a:pt x="280" y="767"/>
                </a:lnTo>
                <a:lnTo>
                  <a:pt x="382" y="767"/>
                </a:lnTo>
                <a:lnTo>
                  <a:pt x="488" y="728"/>
                </a:lnTo>
                <a:lnTo>
                  <a:pt x="535" y="681"/>
                </a:lnTo>
                <a:lnTo>
                  <a:pt x="535" y="671"/>
                </a:lnTo>
                <a:lnTo>
                  <a:pt x="544" y="645"/>
                </a:lnTo>
                <a:lnTo>
                  <a:pt x="555" y="634"/>
                </a:lnTo>
                <a:lnTo>
                  <a:pt x="555" y="547"/>
                </a:lnTo>
                <a:lnTo>
                  <a:pt x="544" y="522"/>
                </a:lnTo>
                <a:lnTo>
                  <a:pt x="535" y="503"/>
                </a:lnTo>
                <a:lnTo>
                  <a:pt x="488" y="454"/>
                </a:lnTo>
                <a:lnTo>
                  <a:pt x="413" y="427"/>
                </a:lnTo>
                <a:lnTo>
                  <a:pt x="328" y="414"/>
                </a:lnTo>
                <a:lnTo>
                  <a:pt x="242" y="414"/>
                </a:lnTo>
                <a:close/>
                <a:moveTo>
                  <a:pt x="242" y="414"/>
                </a:moveTo>
                <a:lnTo>
                  <a:pt x="242" y="736"/>
                </a:lnTo>
                <a:lnTo>
                  <a:pt x="5" y="0"/>
                </a:lnTo>
                <a:lnTo>
                  <a:pt x="422" y="0"/>
                </a:lnTo>
                <a:lnTo>
                  <a:pt x="524" y="28"/>
                </a:lnTo>
                <a:lnTo>
                  <a:pt x="591" y="56"/>
                </a:lnTo>
                <a:lnTo>
                  <a:pt x="638" y="104"/>
                </a:lnTo>
                <a:lnTo>
                  <a:pt x="657" y="140"/>
                </a:lnTo>
                <a:lnTo>
                  <a:pt x="665" y="169"/>
                </a:lnTo>
                <a:lnTo>
                  <a:pt x="665" y="246"/>
                </a:lnTo>
                <a:lnTo>
                  <a:pt x="638" y="311"/>
                </a:lnTo>
                <a:lnTo>
                  <a:pt x="602" y="348"/>
                </a:lnTo>
                <a:lnTo>
                  <a:pt x="571" y="369"/>
                </a:lnTo>
                <a:lnTo>
                  <a:pt x="544" y="379"/>
                </a:lnTo>
                <a:lnTo>
                  <a:pt x="535" y="379"/>
                </a:lnTo>
                <a:lnTo>
                  <a:pt x="524" y="387"/>
                </a:lnTo>
                <a:lnTo>
                  <a:pt x="535" y="394"/>
                </a:lnTo>
                <a:lnTo>
                  <a:pt x="555" y="394"/>
                </a:lnTo>
                <a:lnTo>
                  <a:pt x="583" y="405"/>
                </a:lnTo>
                <a:lnTo>
                  <a:pt x="602" y="414"/>
                </a:lnTo>
                <a:lnTo>
                  <a:pt x="630" y="435"/>
                </a:lnTo>
                <a:lnTo>
                  <a:pt x="665" y="472"/>
                </a:lnTo>
                <a:lnTo>
                  <a:pt x="686" y="503"/>
                </a:lnTo>
                <a:lnTo>
                  <a:pt x="697" y="522"/>
                </a:lnTo>
                <a:lnTo>
                  <a:pt x="705" y="547"/>
                </a:lnTo>
                <a:lnTo>
                  <a:pt x="705" y="634"/>
                </a:lnTo>
                <a:lnTo>
                  <a:pt x="677" y="699"/>
                </a:lnTo>
                <a:lnTo>
                  <a:pt x="609" y="767"/>
                </a:lnTo>
                <a:lnTo>
                  <a:pt x="555" y="794"/>
                </a:lnTo>
                <a:lnTo>
                  <a:pt x="469" y="812"/>
                </a:lnTo>
                <a:lnTo>
                  <a:pt x="5" y="812"/>
                </a:lnTo>
                <a:lnTo>
                  <a:pt x="0" y="804"/>
                </a:lnTo>
                <a:lnTo>
                  <a:pt x="0" y="794"/>
                </a:lnTo>
                <a:lnTo>
                  <a:pt x="5" y="786"/>
                </a:lnTo>
                <a:lnTo>
                  <a:pt x="64" y="776"/>
                </a:lnTo>
                <a:lnTo>
                  <a:pt x="80" y="776"/>
                </a:lnTo>
                <a:lnTo>
                  <a:pt x="101" y="754"/>
                </a:lnTo>
                <a:lnTo>
                  <a:pt x="112" y="728"/>
                </a:lnTo>
                <a:lnTo>
                  <a:pt x="112" y="86"/>
                </a:lnTo>
                <a:lnTo>
                  <a:pt x="101" y="56"/>
                </a:lnTo>
                <a:lnTo>
                  <a:pt x="92" y="47"/>
                </a:lnTo>
                <a:lnTo>
                  <a:pt x="5" y="28"/>
                </a:lnTo>
                <a:lnTo>
                  <a:pt x="0" y="20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9950" y="5100"/>
            <a:ext cx="401" cy="460"/>
          </a:xfrm>
          <a:custGeom>
            <a:pathLst>
              <a:path h="813" w="708">
                <a:moveTo>
                  <a:pt x="7" y="0"/>
                </a:moveTo>
                <a:lnTo>
                  <a:pt x="337" y="0"/>
                </a:lnTo>
                <a:lnTo>
                  <a:pt x="347" y="8"/>
                </a:lnTo>
                <a:lnTo>
                  <a:pt x="347" y="20"/>
                </a:lnTo>
                <a:lnTo>
                  <a:pt x="337" y="28"/>
                </a:lnTo>
                <a:lnTo>
                  <a:pt x="290" y="38"/>
                </a:lnTo>
                <a:lnTo>
                  <a:pt x="262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6"/>
                </a:lnTo>
                <a:lnTo>
                  <a:pt x="242" y="747"/>
                </a:lnTo>
                <a:lnTo>
                  <a:pt x="262" y="754"/>
                </a:lnTo>
                <a:lnTo>
                  <a:pt x="480" y="754"/>
                </a:lnTo>
                <a:lnTo>
                  <a:pt x="526" y="747"/>
                </a:lnTo>
                <a:lnTo>
                  <a:pt x="557" y="736"/>
                </a:lnTo>
                <a:lnTo>
                  <a:pt x="573" y="728"/>
                </a:lnTo>
                <a:lnTo>
                  <a:pt x="605" y="710"/>
                </a:lnTo>
                <a:lnTo>
                  <a:pt x="621" y="689"/>
                </a:lnTo>
                <a:lnTo>
                  <a:pt x="660" y="634"/>
                </a:lnTo>
                <a:lnTo>
                  <a:pt x="660" y="626"/>
                </a:lnTo>
                <a:lnTo>
                  <a:pt x="668" y="606"/>
                </a:lnTo>
                <a:lnTo>
                  <a:pt x="679" y="595"/>
                </a:lnTo>
                <a:lnTo>
                  <a:pt x="700" y="595"/>
                </a:lnTo>
                <a:lnTo>
                  <a:pt x="707" y="606"/>
                </a:lnTo>
                <a:lnTo>
                  <a:pt x="707" y="634"/>
                </a:lnTo>
                <a:lnTo>
                  <a:pt x="700" y="663"/>
                </a:lnTo>
                <a:lnTo>
                  <a:pt x="660" y="804"/>
                </a:lnTo>
                <a:lnTo>
                  <a:pt x="652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1" y="728"/>
                </a:lnTo>
                <a:lnTo>
                  <a:pt x="101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10369" y="5100"/>
            <a:ext cx="399" cy="460"/>
          </a:xfrm>
          <a:custGeom>
            <a:pathLst>
              <a:path h="813" w="706">
                <a:moveTo>
                  <a:pt x="10" y="0"/>
                </a:moveTo>
                <a:lnTo>
                  <a:pt x="641" y="0"/>
                </a:lnTo>
                <a:lnTo>
                  <a:pt x="650" y="8"/>
                </a:lnTo>
                <a:lnTo>
                  <a:pt x="650" y="180"/>
                </a:lnTo>
                <a:lnTo>
                  <a:pt x="641" y="188"/>
                </a:lnTo>
                <a:lnTo>
                  <a:pt x="623" y="188"/>
                </a:lnTo>
                <a:lnTo>
                  <a:pt x="602" y="169"/>
                </a:lnTo>
                <a:lnTo>
                  <a:pt x="602" y="140"/>
                </a:lnTo>
                <a:lnTo>
                  <a:pt x="592" y="112"/>
                </a:lnTo>
                <a:lnTo>
                  <a:pt x="583" y="94"/>
                </a:lnTo>
                <a:lnTo>
                  <a:pt x="564" y="76"/>
                </a:lnTo>
                <a:lnTo>
                  <a:pt x="545" y="65"/>
                </a:lnTo>
                <a:lnTo>
                  <a:pt x="508" y="56"/>
                </a:lnTo>
                <a:lnTo>
                  <a:pt x="245" y="56"/>
                </a:lnTo>
                <a:lnTo>
                  <a:pt x="235" y="65"/>
                </a:lnTo>
                <a:lnTo>
                  <a:pt x="235" y="360"/>
                </a:lnTo>
                <a:lnTo>
                  <a:pt x="461" y="360"/>
                </a:lnTo>
                <a:lnTo>
                  <a:pt x="489" y="348"/>
                </a:lnTo>
                <a:lnTo>
                  <a:pt x="508" y="340"/>
                </a:lnTo>
                <a:lnTo>
                  <a:pt x="516" y="329"/>
                </a:lnTo>
                <a:lnTo>
                  <a:pt x="527" y="303"/>
                </a:lnTo>
                <a:lnTo>
                  <a:pt x="536" y="253"/>
                </a:lnTo>
                <a:lnTo>
                  <a:pt x="545" y="246"/>
                </a:lnTo>
                <a:lnTo>
                  <a:pt x="564" y="246"/>
                </a:lnTo>
                <a:lnTo>
                  <a:pt x="574" y="253"/>
                </a:lnTo>
                <a:lnTo>
                  <a:pt x="574" y="522"/>
                </a:lnTo>
                <a:lnTo>
                  <a:pt x="564" y="529"/>
                </a:lnTo>
                <a:lnTo>
                  <a:pt x="545" y="529"/>
                </a:lnTo>
                <a:lnTo>
                  <a:pt x="536" y="522"/>
                </a:lnTo>
                <a:lnTo>
                  <a:pt x="536" y="482"/>
                </a:lnTo>
                <a:lnTo>
                  <a:pt x="516" y="445"/>
                </a:lnTo>
                <a:lnTo>
                  <a:pt x="498" y="427"/>
                </a:lnTo>
                <a:lnTo>
                  <a:pt x="469" y="414"/>
                </a:lnTo>
                <a:lnTo>
                  <a:pt x="235" y="414"/>
                </a:lnTo>
                <a:lnTo>
                  <a:pt x="235" y="747"/>
                </a:lnTo>
                <a:lnTo>
                  <a:pt x="253" y="754"/>
                </a:lnTo>
                <a:lnTo>
                  <a:pt x="300" y="767"/>
                </a:lnTo>
                <a:lnTo>
                  <a:pt x="469" y="767"/>
                </a:lnTo>
                <a:lnTo>
                  <a:pt x="564" y="736"/>
                </a:lnTo>
                <a:lnTo>
                  <a:pt x="592" y="718"/>
                </a:lnTo>
                <a:lnTo>
                  <a:pt x="623" y="689"/>
                </a:lnTo>
                <a:lnTo>
                  <a:pt x="641" y="663"/>
                </a:lnTo>
                <a:lnTo>
                  <a:pt x="658" y="626"/>
                </a:lnTo>
                <a:lnTo>
                  <a:pt x="658" y="613"/>
                </a:lnTo>
                <a:lnTo>
                  <a:pt x="678" y="595"/>
                </a:lnTo>
                <a:lnTo>
                  <a:pt x="697" y="595"/>
                </a:lnTo>
                <a:lnTo>
                  <a:pt x="705" y="606"/>
                </a:lnTo>
                <a:lnTo>
                  <a:pt x="705" y="634"/>
                </a:lnTo>
                <a:lnTo>
                  <a:pt x="658" y="804"/>
                </a:lnTo>
                <a:lnTo>
                  <a:pt x="650" y="812"/>
                </a:lnTo>
                <a:lnTo>
                  <a:pt x="10" y="812"/>
                </a:lnTo>
                <a:lnTo>
                  <a:pt x="0" y="804"/>
                </a:lnTo>
                <a:lnTo>
                  <a:pt x="0" y="794"/>
                </a:lnTo>
                <a:lnTo>
                  <a:pt x="10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3" y="728"/>
                </a:lnTo>
                <a:lnTo>
                  <a:pt x="103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10" y="28"/>
                </a:lnTo>
                <a:lnTo>
                  <a:pt x="0" y="20"/>
                </a:lnTo>
                <a:lnTo>
                  <a:pt x="0" y="8"/>
                </a:lnTo>
                <a:lnTo>
                  <a:pt x="10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4</xdr:col>
      <xdr:colOff>0</xdr:colOff>
      <xdr:row>26</xdr:row>
      <xdr:rowOff>28575</xdr:rowOff>
    </xdr:from>
    <xdr:to>
      <xdr:col>8</xdr:col>
      <xdr:colOff>38100</xdr:colOff>
      <xdr:row>28</xdr:row>
      <xdr:rowOff>9525</xdr:rowOff>
    </xdr:to>
    <xdr:grpSp>
      <xdr:nvGrpSpPr>
        <xdr:cNvPr id="13" name="Group 13"/>
        <xdr:cNvGrpSpPr>
          <a:grpSpLocks/>
        </xdr:cNvGrpSpPr>
      </xdr:nvGrpSpPr>
      <xdr:grpSpPr>
        <a:xfrm>
          <a:off x="3305175" y="5057775"/>
          <a:ext cx="2790825" cy="304800"/>
          <a:chOff x="5870" y="8041"/>
          <a:chExt cx="4900" cy="482"/>
        </a:xfrm>
        <a:solidFill>
          <a:srgbClr val="FFFFFF"/>
        </a:solidFill>
      </xdr:grpSpPr>
      <xdr:sp>
        <xdr:nvSpPr>
          <xdr:cNvPr id="14" name="Freeform 14"/>
          <xdr:cNvSpPr>
            <a:spLocks/>
          </xdr:cNvSpPr>
        </xdr:nvSpPr>
        <xdr:spPr>
          <a:xfrm>
            <a:off x="5870" y="8052"/>
            <a:ext cx="474" cy="464"/>
          </a:xfrm>
          <a:custGeom>
            <a:pathLst>
              <a:path h="820" w="838">
                <a:moveTo>
                  <a:pt x="9" y="0"/>
                </a:moveTo>
                <a:lnTo>
                  <a:pt x="205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3"/>
                </a:lnTo>
                <a:lnTo>
                  <a:pt x="452" y="302"/>
                </a:lnTo>
                <a:lnTo>
                  <a:pt x="514" y="386"/>
                </a:lnTo>
                <a:lnTo>
                  <a:pt x="514" y="393"/>
                </a:lnTo>
                <a:lnTo>
                  <a:pt x="629" y="536"/>
                </a:lnTo>
                <a:lnTo>
                  <a:pt x="668" y="575"/>
                </a:lnTo>
                <a:lnTo>
                  <a:pt x="668" y="121"/>
                </a:lnTo>
                <a:lnTo>
                  <a:pt x="660" y="111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7" y="6"/>
                </a:lnTo>
                <a:lnTo>
                  <a:pt x="837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5" y="103"/>
                </a:lnTo>
                <a:lnTo>
                  <a:pt x="735" y="811"/>
                </a:lnTo>
                <a:lnTo>
                  <a:pt x="724" y="819"/>
                </a:lnTo>
                <a:lnTo>
                  <a:pt x="704" y="819"/>
                </a:lnTo>
                <a:lnTo>
                  <a:pt x="668" y="785"/>
                </a:lnTo>
                <a:lnTo>
                  <a:pt x="320" y="339"/>
                </a:lnTo>
                <a:lnTo>
                  <a:pt x="282" y="302"/>
                </a:lnTo>
                <a:lnTo>
                  <a:pt x="205" y="205"/>
                </a:lnTo>
                <a:lnTo>
                  <a:pt x="205" y="198"/>
                </a:lnTo>
                <a:lnTo>
                  <a:pt x="179" y="168"/>
                </a:lnTo>
                <a:lnTo>
                  <a:pt x="179" y="709"/>
                </a:lnTo>
                <a:lnTo>
                  <a:pt x="187" y="717"/>
                </a:lnTo>
                <a:lnTo>
                  <a:pt x="198" y="746"/>
                </a:lnTo>
                <a:lnTo>
                  <a:pt x="198" y="753"/>
                </a:lnTo>
                <a:lnTo>
                  <a:pt x="205" y="766"/>
                </a:lnTo>
                <a:lnTo>
                  <a:pt x="226" y="775"/>
                </a:lnTo>
                <a:lnTo>
                  <a:pt x="253" y="785"/>
                </a:lnTo>
                <a:lnTo>
                  <a:pt x="282" y="785"/>
                </a:lnTo>
                <a:lnTo>
                  <a:pt x="292" y="793"/>
                </a:lnTo>
                <a:lnTo>
                  <a:pt x="292" y="803"/>
                </a:lnTo>
                <a:lnTo>
                  <a:pt x="282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83" y="766"/>
                </a:lnTo>
                <a:lnTo>
                  <a:pt x="92" y="753"/>
                </a:lnTo>
                <a:lnTo>
                  <a:pt x="104" y="735"/>
                </a:lnTo>
                <a:lnTo>
                  <a:pt x="111" y="709"/>
                </a:lnTo>
                <a:lnTo>
                  <a:pt x="111" y="93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6373" y="8041"/>
            <a:ext cx="454" cy="482"/>
          </a:xfrm>
          <a:custGeom>
            <a:pathLst>
              <a:path h="852" w="802">
                <a:moveTo>
                  <a:pt x="341" y="56"/>
                </a:moveTo>
                <a:lnTo>
                  <a:pt x="283" y="83"/>
                </a:lnTo>
                <a:lnTo>
                  <a:pt x="216" y="148"/>
                </a:lnTo>
                <a:lnTo>
                  <a:pt x="187" y="217"/>
                </a:lnTo>
                <a:lnTo>
                  <a:pt x="152" y="347"/>
                </a:lnTo>
                <a:lnTo>
                  <a:pt x="152" y="500"/>
                </a:lnTo>
                <a:lnTo>
                  <a:pt x="160" y="555"/>
                </a:lnTo>
                <a:lnTo>
                  <a:pt x="187" y="652"/>
                </a:lnTo>
                <a:lnTo>
                  <a:pt x="208" y="688"/>
                </a:lnTo>
                <a:lnTo>
                  <a:pt x="236" y="728"/>
                </a:lnTo>
                <a:lnTo>
                  <a:pt x="244" y="736"/>
                </a:lnTo>
                <a:lnTo>
                  <a:pt x="294" y="765"/>
                </a:lnTo>
                <a:lnTo>
                  <a:pt x="378" y="804"/>
                </a:lnTo>
                <a:lnTo>
                  <a:pt x="435" y="804"/>
                </a:lnTo>
                <a:lnTo>
                  <a:pt x="471" y="794"/>
                </a:lnTo>
                <a:lnTo>
                  <a:pt x="510" y="772"/>
                </a:lnTo>
                <a:lnTo>
                  <a:pt x="538" y="754"/>
                </a:lnTo>
                <a:lnTo>
                  <a:pt x="585" y="707"/>
                </a:lnTo>
                <a:lnTo>
                  <a:pt x="604" y="681"/>
                </a:lnTo>
                <a:lnTo>
                  <a:pt x="652" y="511"/>
                </a:lnTo>
                <a:lnTo>
                  <a:pt x="652" y="347"/>
                </a:lnTo>
                <a:lnTo>
                  <a:pt x="641" y="282"/>
                </a:lnTo>
                <a:lnTo>
                  <a:pt x="623" y="217"/>
                </a:lnTo>
                <a:lnTo>
                  <a:pt x="593" y="158"/>
                </a:lnTo>
                <a:lnTo>
                  <a:pt x="576" y="130"/>
                </a:lnTo>
                <a:lnTo>
                  <a:pt x="557" y="112"/>
                </a:lnTo>
                <a:lnTo>
                  <a:pt x="518" y="83"/>
                </a:lnTo>
                <a:lnTo>
                  <a:pt x="424" y="46"/>
                </a:lnTo>
                <a:lnTo>
                  <a:pt x="378" y="46"/>
                </a:lnTo>
                <a:lnTo>
                  <a:pt x="341" y="56"/>
                </a:lnTo>
                <a:close/>
                <a:moveTo>
                  <a:pt x="341" y="56"/>
                </a:moveTo>
                <a:lnTo>
                  <a:pt x="358" y="0"/>
                </a:lnTo>
                <a:lnTo>
                  <a:pt x="442" y="0"/>
                </a:lnTo>
                <a:lnTo>
                  <a:pt x="593" y="46"/>
                </a:lnTo>
                <a:lnTo>
                  <a:pt x="612" y="65"/>
                </a:lnTo>
                <a:lnTo>
                  <a:pt x="641" y="83"/>
                </a:lnTo>
                <a:lnTo>
                  <a:pt x="652" y="83"/>
                </a:lnTo>
                <a:lnTo>
                  <a:pt x="718" y="148"/>
                </a:lnTo>
                <a:lnTo>
                  <a:pt x="754" y="206"/>
                </a:lnTo>
                <a:lnTo>
                  <a:pt x="782" y="271"/>
                </a:lnTo>
                <a:lnTo>
                  <a:pt x="801" y="358"/>
                </a:lnTo>
                <a:lnTo>
                  <a:pt x="801" y="500"/>
                </a:lnTo>
                <a:lnTo>
                  <a:pt x="745" y="663"/>
                </a:lnTo>
                <a:lnTo>
                  <a:pt x="726" y="688"/>
                </a:lnTo>
                <a:lnTo>
                  <a:pt x="641" y="772"/>
                </a:lnTo>
                <a:lnTo>
                  <a:pt x="612" y="794"/>
                </a:lnTo>
                <a:lnTo>
                  <a:pt x="557" y="822"/>
                </a:lnTo>
                <a:lnTo>
                  <a:pt x="498" y="838"/>
                </a:lnTo>
                <a:lnTo>
                  <a:pt x="442" y="851"/>
                </a:lnTo>
                <a:lnTo>
                  <a:pt x="358" y="851"/>
                </a:lnTo>
                <a:lnTo>
                  <a:pt x="187" y="794"/>
                </a:lnTo>
                <a:lnTo>
                  <a:pt x="160" y="772"/>
                </a:lnTo>
                <a:lnTo>
                  <a:pt x="73" y="688"/>
                </a:lnTo>
                <a:lnTo>
                  <a:pt x="55" y="663"/>
                </a:lnTo>
                <a:lnTo>
                  <a:pt x="18" y="576"/>
                </a:lnTo>
                <a:lnTo>
                  <a:pt x="0" y="490"/>
                </a:lnTo>
                <a:lnTo>
                  <a:pt x="0" y="358"/>
                </a:lnTo>
                <a:lnTo>
                  <a:pt x="37" y="245"/>
                </a:lnTo>
                <a:lnTo>
                  <a:pt x="93" y="140"/>
                </a:lnTo>
                <a:lnTo>
                  <a:pt x="152" y="83"/>
                </a:lnTo>
                <a:lnTo>
                  <a:pt x="160" y="83"/>
                </a:lnTo>
                <a:lnTo>
                  <a:pt x="187" y="65"/>
                </a:lnTo>
                <a:lnTo>
                  <a:pt x="208" y="46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7026" y="8041"/>
            <a:ext cx="477" cy="470"/>
          </a:xfrm>
          <a:custGeom>
            <a:pathLst>
              <a:path h="830" w="842">
                <a:moveTo>
                  <a:pt x="385" y="197"/>
                </a:moveTo>
                <a:lnTo>
                  <a:pt x="256" y="499"/>
                </a:lnTo>
                <a:lnTo>
                  <a:pt x="256" y="510"/>
                </a:lnTo>
                <a:lnTo>
                  <a:pt x="519" y="510"/>
                </a:lnTo>
                <a:lnTo>
                  <a:pt x="519" y="499"/>
                </a:lnTo>
                <a:lnTo>
                  <a:pt x="385" y="197"/>
                </a:lnTo>
                <a:close/>
                <a:moveTo>
                  <a:pt x="385" y="197"/>
                </a:moveTo>
                <a:lnTo>
                  <a:pt x="405" y="0"/>
                </a:lnTo>
                <a:lnTo>
                  <a:pt x="424" y="0"/>
                </a:lnTo>
                <a:lnTo>
                  <a:pt x="435" y="5"/>
                </a:lnTo>
                <a:lnTo>
                  <a:pt x="605" y="396"/>
                </a:lnTo>
                <a:lnTo>
                  <a:pt x="755" y="745"/>
                </a:lnTo>
                <a:lnTo>
                  <a:pt x="801" y="793"/>
                </a:lnTo>
                <a:lnTo>
                  <a:pt x="830" y="793"/>
                </a:lnTo>
                <a:lnTo>
                  <a:pt x="841" y="803"/>
                </a:lnTo>
                <a:lnTo>
                  <a:pt x="841" y="821"/>
                </a:lnTo>
                <a:lnTo>
                  <a:pt x="830" y="829"/>
                </a:lnTo>
                <a:lnTo>
                  <a:pt x="537" y="829"/>
                </a:lnTo>
                <a:lnTo>
                  <a:pt x="527" y="821"/>
                </a:lnTo>
                <a:lnTo>
                  <a:pt x="527" y="803"/>
                </a:lnTo>
                <a:lnTo>
                  <a:pt x="537" y="793"/>
                </a:lnTo>
                <a:lnTo>
                  <a:pt x="585" y="793"/>
                </a:lnTo>
                <a:lnTo>
                  <a:pt x="605" y="784"/>
                </a:lnTo>
                <a:lnTo>
                  <a:pt x="613" y="764"/>
                </a:lnTo>
                <a:lnTo>
                  <a:pt x="613" y="745"/>
                </a:lnTo>
                <a:lnTo>
                  <a:pt x="605" y="735"/>
                </a:lnTo>
                <a:lnTo>
                  <a:pt x="546" y="575"/>
                </a:lnTo>
                <a:lnTo>
                  <a:pt x="537" y="564"/>
                </a:lnTo>
                <a:lnTo>
                  <a:pt x="227" y="564"/>
                </a:lnTo>
                <a:lnTo>
                  <a:pt x="169" y="716"/>
                </a:lnTo>
                <a:lnTo>
                  <a:pt x="169" y="771"/>
                </a:lnTo>
                <a:lnTo>
                  <a:pt x="179" y="784"/>
                </a:lnTo>
                <a:lnTo>
                  <a:pt x="197" y="793"/>
                </a:lnTo>
                <a:lnTo>
                  <a:pt x="235" y="793"/>
                </a:lnTo>
                <a:lnTo>
                  <a:pt x="244" y="803"/>
                </a:lnTo>
                <a:lnTo>
                  <a:pt x="244" y="821"/>
                </a:lnTo>
                <a:lnTo>
                  <a:pt x="235" y="829"/>
                </a:lnTo>
                <a:lnTo>
                  <a:pt x="7" y="829"/>
                </a:lnTo>
                <a:lnTo>
                  <a:pt x="0" y="821"/>
                </a:lnTo>
                <a:lnTo>
                  <a:pt x="0" y="803"/>
                </a:lnTo>
                <a:lnTo>
                  <a:pt x="7" y="793"/>
                </a:lnTo>
                <a:lnTo>
                  <a:pt x="39" y="793"/>
                </a:lnTo>
                <a:lnTo>
                  <a:pt x="86" y="745"/>
                </a:lnTo>
                <a:lnTo>
                  <a:pt x="122" y="662"/>
                </a:lnTo>
                <a:lnTo>
                  <a:pt x="397" y="5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7519" y="8052"/>
            <a:ext cx="363" cy="460"/>
          </a:xfrm>
          <a:custGeom>
            <a:pathLst>
              <a:path h="813" w="642">
                <a:moveTo>
                  <a:pt x="235" y="65"/>
                </a:moveTo>
                <a:lnTo>
                  <a:pt x="235" y="405"/>
                </a:lnTo>
                <a:lnTo>
                  <a:pt x="358" y="405"/>
                </a:lnTo>
                <a:lnTo>
                  <a:pt x="432" y="379"/>
                </a:lnTo>
                <a:lnTo>
                  <a:pt x="480" y="329"/>
                </a:lnTo>
                <a:lnTo>
                  <a:pt x="491" y="311"/>
                </a:lnTo>
                <a:lnTo>
                  <a:pt x="500" y="272"/>
                </a:lnTo>
                <a:lnTo>
                  <a:pt x="500" y="188"/>
                </a:lnTo>
                <a:lnTo>
                  <a:pt x="491" y="180"/>
                </a:lnTo>
                <a:lnTo>
                  <a:pt x="480" y="140"/>
                </a:lnTo>
                <a:lnTo>
                  <a:pt x="480" y="130"/>
                </a:lnTo>
                <a:lnTo>
                  <a:pt x="425" y="76"/>
                </a:lnTo>
                <a:lnTo>
                  <a:pt x="338" y="47"/>
                </a:lnTo>
                <a:lnTo>
                  <a:pt x="253" y="47"/>
                </a:lnTo>
                <a:lnTo>
                  <a:pt x="235" y="65"/>
                </a:lnTo>
                <a:close/>
                <a:moveTo>
                  <a:pt x="235" y="65"/>
                </a:moveTo>
                <a:lnTo>
                  <a:pt x="7" y="0"/>
                </a:lnTo>
                <a:lnTo>
                  <a:pt x="385" y="0"/>
                </a:lnTo>
                <a:lnTo>
                  <a:pt x="538" y="47"/>
                </a:lnTo>
                <a:lnTo>
                  <a:pt x="566" y="65"/>
                </a:lnTo>
                <a:lnTo>
                  <a:pt x="605" y="104"/>
                </a:lnTo>
                <a:lnTo>
                  <a:pt x="622" y="130"/>
                </a:lnTo>
                <a:lnTo>
                  <a:pt x="622" y="140"/>
                </a:lnTo>
                <a:lnTo>
                  <a:pt x="633" y="180"/>
                </a:lnTo>
                <a:lnTo>
                  <a:pt x="641" y="188"/>
                </a:lnTo>
                <a:lnTo>
                  <a:pt x="641" y="264"/>
                </a:lnTo>
                <a:lnTo>
                  <a:pt x="633" y="303"/>
                </a:lnTo>
                <a:lnTo>
                  <a:pt x="613" y="340"/>
                </a:lnTo>
                <a:lnTo>
                  <a:pt x="538" y="414"/>
                </a:lnTo>
                <a:lnTo>
                  <a:pt x="480" y="445"/>
                </a:lnTo>
                <a:lnTo>
                  <a:pt x="397" y="463"/>
                </a:lnTo>
                <a:lnTo>
                  <a:pt x="235" y="463"/>
                </a:lnTo>
                <a:lnTo>
                  <a:pt x="235" y="728"/>
                </a:lnTo>
                <a:lnTo>
                  <a:pt x="244" y="754"/>
                </a:lnTo>
                <a:lnTo>
                  <a:pt x="253" y="767"/>
                </a:lnTo>
                <a:lnTo>
                  <a:pt x="338" y="786"/>
                </a:lnTo>
                <a:lnTo>
                  <a:pt x="350" y="794"/>
                </a:lnTo>
                <a:lnTo>
                  <a:pt x="350" y="804"/>
                </a:lnTo>
                <a:lnTo>
                  <a:pt x="338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5" y="786"/>
                </a:lnTo>
                <a:lnTo>
                  <a:pt x="66" y="776"/>
                </a:lnTo>
                <a:lnTo>
                  <a:pt x="85" y="767"/>
                </a:lnTo>
                <a:lnTo>
                  <a:pt x="93" y="754"/>
                </a:lnTo>
                <a:lnTo>
                  <a:pt x="101" y="728"/>
                </a:lnTo>
                <a:lnTo>
                  <a:pt x="101" y="86"/>
                </a:lnTo>
                <a:lnTo>
                  <a:pt x="85" y="47"/>
                </a:lnTo>
                <a:lnTo>
                  <a:pt x="66" y="38"/>
                </a:lnTo>
                <a:lnTo>
                  <a:pt x="35" y="2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7899" y="8052"/>
            <a:ext cx="401" cy="460"/>
          </a:xfrm>
          <a:custGeom>
            <a:pathLst>
              <a:path h="813" w="708">
                <a:moveTo>
                  <a:pt x="11" y="0"/>
                </a:moveTo>
                <a:lnTo>
                  <a:pt x="340" y="0"/>
                </a:lnTo>
                <a:lnTo>
                  <a:pt x="348" y="8"/>
                </a:lnTo>
                <a:lnTo>
                  <a:pt x="348" y="20"/>
                </a:lnTo>
                <a:lnTo>
                  <a:pt x="340" y="28"/>
                </a:lnTo>
                <a:lnTo>
                  <a:pt x="293" y="38"/>
                </a:lnTo>
                <a:lnTo>
                  <a:pt x="266" y="47"/>
                </a:lnTo>
                <a:lnTo>
                  <a:pt x="254" y="56"/>
                </a:lnTo>
                <a:lnTo>
                  <a:pt x="235" y="86"/>
                </a:lnTo>
                <a:lnTo>
                  <a:pt x="235" y="736"/>
                </a:lnTo>
                <a:lnTo>
                  <a:pt x="246" y="747"/>
                </a:lnTo>
                <a:lnTo>
                  <a:pt x="266" y="754"/>
                </a:lnTo>
                <a:lnTo>
                  <a:pt x="482" y="754"/>
                </a:lnTo>
                <a:lnTo>
                  <a:pt x="529" y="747"/>
                </a:lnTo>
                <a:lnTo>
                  <a:pt x="557" y="736"/>
                </a:lnTo>
                <a:lnTo>
                  <a:pt x="576" y="728"/>
                </a:lnTo>
                <a:lnTo>
                  <a:pt x="605" y="710"/>
                </a:lnTo>
                <a:lnTo>
                  <a:pt x="624" y="689"/>
                </a:lnTo>
                <a:lnTo>
                  <a:pt x="660" y="634"/>
                </a:lnTo>
                <a:lnTo>
                  <a:pt x="660" y="626"/>
                </a:lnTo>
                <a:lnTo>
                  <a:pt x="671" y="606"/>
                </a:lnTo>
                <a:lnTo>
                  <a:pt x="679" y="595"/>
                </a:lnTo>
                <a:lnTo>
                  <a:pt x="699" y="595"/>
                </a:lnTo>
                <a:lnTo>
                  <a:pt x="707" y="606"/>
                </a:lnTo>
                <a:lnTo>
                  <a:pt x="707" y="634"/>
                </a:lnTo>
                <a:lnTo>
                  <a:pt x="699" y="663"/>
                </a:lnTo>
                <a:lnTo>
                  <a:pt x="660" y="804"/>
                </a:lnTo>
                <a:lnTo>
                  <a:pt x="652" y="812"/>
                </a:lnTo>
                <a:lnTo>
                  <a:pt x="11" y="812"/>
                </a:lnTo>
                <a:lnTo>
                  <a:pt x="0" y="804"/>
                </a:lnTo>
                <a:lnTo>
                  <a:pt x="0" y="794"/>
                </a:lnTo>
                <a:lnTo>
                  <a:pt x="11" y="786"/>
                </a:lnTo>
                <a:lnTo>
                  <a:pt x="38" y="786"/>
                </a:lnTo>
                <a:lnTo>
                  <a:pt x="67" y="776"/>
                </a:lnTo>
                <a:lnTo>
                  <a:pt x="93" y="747"/>
                </a:lnTo>
                <a:lnTo>
                  <a:pt x="105" y="728"/>
                </a:lnTo>
                <a:lnTo>
                  <a:pt x="105" y="86"/>
                </a:lnTo>
                <a:lnTo>
                  <a:pt x="93" y="65"/>
                </a:lnTo>
                <a:lnTo>
                  <a:pt x="67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8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8319" y="8052"/>
            <a:ext cx="206" cy="460"/>
          </a:xfrm>
          <a:custGeom>
            <a:pathLst>
              <a:path h="813" w="365">
                <a:moveTo>
                  <a:pt x="6" y="0"/>
                </a:moveTo>
                <a:lnTo>
                  <a:pt x="356" y="0"/>
                </a:lnTo>
                <a:lnTo>
                  <a:pt x="364" y="8"/>
                </a:lnTo>
                <a:lnTo>
                  <a:pt x="364" y="20"/>
                </a:lnTo>
                <a:lnTo>
                  <a:pt x="356" y="28"/>
                </a:lnTo>
                <a:lnTo>
                  <a:pt x="309" y="38"/>
                </a:lnTo>
                <a:lnTo>
                  <a:pt x="281" y="47"/>
                </a:lnTo>
                <a:lnTo>
                  <a:pt x="269" y="56"/>
                </a:lnTo>
                <a:lnTo>
                  <a:pt x="250" y="86"/>
                </a:lnTo>
                <a:lnTo>
                  <a:pt x="250" y="728"/>
                </a:lnTo>
                <a:lnTo>
                  <a:pt x="269" y="767"/>
                </a:lnTo>
                <a:lnTo>
                  <a:pt x="290" y="776"/>
                </a:lnTo>
                <a:lnTo>
                  <a:pt x="317" y="786"/>
                </a:lnTo>
                <a:lnTo>
                  <a:pt x="356" y="786"/>
                </a:lnTo>
                <a:lnTo>
                  <a:pt x="364" y="794"/>
                </a:lnTo>
                <a:lnTo>
                  <a:pt x="364" y="804"/>
                </a:lnTo>
                <a:lnTo>
                  <a:pt x="356" y="812"/>
                </a:lnTo>
                <a:lnTo>
                  <a:pt x="6" y="812"/>
                </a:lnTo>
                <a:lnTo>
                  <a:pt x="0" y="804"/>
                </a:lnTo>
                <a:lnTo>
                  <a:pt x="0" y="794"/>
                </a:lnTo>
                <a:lnTo>
                  <a:pt x="6" y="786"/>
                </a:lnTo>
                <a:lnTo>
                  <a:pt x="62" y="776"/>
                </a:lnTo>
                <a:lnTo>
                  <a:pt x="91" y="767"/>
                </a:lnTo>
                <a:lnTo>
                  <a:pt x="100" y="754"/>
                </a:lnTo>
                <a:lnTo>
                  <a:pt x="120" y="728"/>
                </a:lnTo>
                <a:lnTo>
                  <a:pt x="120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8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8560" y="8041"/>
            <a:ext cx="417" cy="482"/>
          </a:xfrm>
          <a:custGeom>
            <a:pathLst>
              <a:path h="852" w="737">
                <a:moveTo>
                  <a:pt x="365" y="0"/>
                </a:moveTo>
                <a:lnTo>
                  <a:pt x="451" y="0"/>
                </a:lnTo>
                <a:lnTo>
                  <a:pt x="592" y="38"/>
                </a:lnTo>
                <a:lnTo>
                  <a:pt x="648" y="38"/>
                </a:lnTo>
                <a:lnTo>
                  <a:pt x="668" y="17"/>
                </a:lnTo>
                <a:lnTo>
                  <a:pt x="668" y="6"/>
                </a:lnTo>
                <a:lnTo>
                  <a:pt x="680" y="0"/>
                </a:lnTo>
                <a:lnTo>
                  <a:pt x="696" y="0"/>
                </a:lnTo>
                <a:lnTo>
                  <a:pt x="707" y="6"/>
                </a:lnTo>
                <a:lnTo>
                  <a:pt x="715" y="83"/>
                </a:lnTo>
                <a:lnTo>
                  <a:pt x="715" y="271"/>
                </a:lnTo>
                <a:lnTo>
                  <a:pt x="707" y="282"/>
                </a:lnTo>
                <a:lnTo>
                  <a:pt x="687" y="282"/>
                </a:lnTo>
                <a:lnTo>
                  <a:pt x="680" y="271"/>
                </a:lnTo>
                <a:lnTo>
                  <a:pt x="680" y="256"/>
                </a:lnTo>
                <a:lnTo>
                  <a:pt x="648" y="187"/>
                </a:lnTo>
                <a:lnTo>
                  <a:pt x="631" y="158"/>
                </a:lnTo>
                <a:lnTo>
                  <a:pt x="573" y="104"/>
                </a:lnTo>
                <a:lnTo>
                  <a:pt x="545" y="83"/>
                </a:lnTo>
                <a:lnTo>
                  <a:pt x="525" y="74"/>
                </a:lnTo>
                <a:lnTo>
                  <a:pt x="459" y="56"/>
                </a:lnTo>
                <a:lnTo>
                  <a:pt x="395" y="56"/>
                </a:lnTo>
                <a:lnTo>
                  <a:pt x="271" y="104"/>
                </a:lnTo>
                <a:lnTo>
                  <a:pt x="215" y="158"/>
                </a:lnTo>
                <a:lnTo>
                  <a:pt x="206" y="180"/>
                </a:lnTo>
                <a:lnTo>
                  <a:pt x="149" y="347"/>
                </a:lnTo>
                <a:lnTo>
                  <a:pt x="149" y="500"/>
                </a:lnTo>
                <a:lnTo>
                  <a:pt x="157" y="555"/>
                </a:lnTo>
                <a:lnTo>
                  <a:pt x="188" y="644"/>
                </a:lnTo>
                <a:lnTo>
                  <a:pt x="197" y="663"/>
                </a:lnTo>
                <a:lnTo>
                  <a:pt x="215" y="688"/>
                </a:lnTo>
                <a:lnTo>
                  <a:pt x="253" y="728"/>
                </a:lnTo>
                <a:lnTo>
                  <a:pt x="282" y="746"/>
                </a:lnTo>
                <a:lnTo>
                  <a:pt x="318" y="765"/>
                </a:lnTo>
                <a:lnTo>
                  <a:pt x="349" y="772"/>
                </a:lnTo>
                <a:lnTo>
                  <a:pt x="395" y="785"/>
                </a:lnTo>
                <a:lnTo>
                  <a:pt x="478" y="785"/>
                </a:lnTo>
                <a:lnTo>
                  <a:pt x="620" y="736"/>
                </a:lnTo>
                <a:lnTo>
                  <a:pt x="659" y="707"/>
                </a:lnTo>
                <a:lnTo>
                  <a:pt x="707" y="663"/>
                </a:lnTo>
                <a:lnTo>
                  <a:pt x="736" y="688"/>
                </a:lnTo>
                <a:lnTo>
                  <a:pt x="715" y="717"/>
                </a:lnTo>
                <a:lnTo>
                  <a:pt x="687" y="746"/>
                </a:lnTo>
                <a:lnTo>
                  <a:pt x="620" y="794"/>
                </a:lnTo>
                <a:lnTo>
                  <a:pt x="564" y="822"/>
                </a:lnTo>
                <a:lnTo>
                  <a:pt x="536" y="830"/>
                </a:lnTo>
                <a:lnTo>
                  <a:pt x="451" y="851"/>
                </a:lnTo>
                <a:lnTo>
                  <a:pt x="357" y="851"/>
                </a:lnTo>
                <a:lnTo>
                  <a:pt x="235" y="812"/>
                </a:lnTo>
                <a:lnTo>
                  <a:pt x="168" y="785"/>
                </a:lnTo>
                <a:lnTo>
                  <a:pt x="129" y="754"/>
                </a:lnTo>
                <a:lnTo>
                  <a:pt x="82" y="707"/>
                </a:lnTo>
                <a:lnTo>
                  <a:pt x="46" y="652"/>
                </a:lnTo>
                <a:lnTo>
                  <a:pt x="16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8"/>
                </a:lnTo>
                <a:lnTo>
                  <a:pt x="74" y="169"/>
                </a:lnTo>
                <a:lnTo>
                  <a:pt x="157" y="83"/>
                </a:lnTo>
                <a:lnTo>
                  <a:pt x="168" y="83"/>
                </a:lnTo>
                <a:lnTo>
                  <a:pt x="197" y="65"/>
                </a:lnTo>
                <a:lnTo>
                  <a:pt x="215" y="46"/>
                </a:lnTo>
                <a:lnTo>
                  <a:pt x="365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9005" y="8041"/>
            <a:ext cx="474" cy="470"/>
          </a:xfrm>
          <a:custGeom>
            <a:pathLst>
              <a:path h="830" w="838">
                <a:moveTo>
                  <a:pt x="384" y="197"/>
                </a:moveTo>
                <a:lnTo>
                  <a:pt x="253" y="499"/>
                </a:lnTo>
                <a:lnTo>
                  <a:pt x="253" y="510"/>
                </a:lnTo>
                <a:lnTo>
                  <a:pt x="514" y="510"/>
                </a:lnTo>
                <a:lnTo>
                  <a:pt x="514" y="499"/>
                </a:lnTo>
                <a:lnTo>
                  <a:pt x="384" y="197"/>
                </a:lnTo>
                <a:close/>
                <a:moveTo>
                  <a:pt x="384" y="197"/>
                </a:moveTo>
                <a:lnTo>
                  <a:pt x="403" y="0"/>
                </a:lnTo>
                <a:lnTo>
                  <a:pt x="420" y="0"/>
                </a:lnTo>
                <a:lnTo>
                  <a:pt x="429" y="5"/>
                </a:lnTo>
                <a:lnTo>
                  <a:pt x="601" y="396"/>
                </a:lnTo>
                <a:lnTo>
                  <a:pt x="751" y="745"/>
                </a:lnTo>
                <a:lnTo>
                  <a:pt x="798" y="793"/>
                </a:lnTo>
                <a:lnTo>
                  <a:pt x="825" y="793"/>
                </a:lnTo>
                <a:lnTo>
                  <a:pt x="837" y="803"/>
                </a:lnTo>
                <a:lnTo>
                  <a:pt x="837" y="821"/>
                </a:lnTo>
                <a:lnTo>
                  <a:pt x="825" y="829"/>
                </a:lnTo>
                <a:lnTo>
                  <a:pt x="535" y="829"/>
                </a:lnTo>
                <a:lnTo>
                  <a:pt x="523" y="821"/>
                </a:lnTo>
                <a:lnTo>
                  <a:pt x="523" y="803"/>
                </a:lnTo>
                <a:lnTo>
                  <a:pt x="535" y="793"/>
                </a:lnTo>
                <a:lnTo>
                  <a:pt x="581" y="793"/>
                </a:lnTo>
                <a:lnTo>
                  <a:pt x="601" y="784"/>
                </a:lnTo>
                <a:lnTo>
                  <a:pt x="609" y="764"/>
                </a:lnTo>
                <a:lnTo>
                  <a:pt x="609" y="745"/>
                </a:lnTo>
                <a:lnTo>
                  <a:pt x="601" y="735"/>
                </a:lnTo>
                <a:lnTo>
                  <a:pt x="542" y="575"/>
                </a:lnTo>
                <a:lnTo>
                  <a:pt x="535" y="564"/>
                </a:lnTo>
                <a:lnTo>
                  <a:pt x="224" y="564"/>
                </a:lnTo>
                <a:lnTo>
                  <a:pt x="167" y="716"/>
                </a:lnTo>
                <a:lnTo>
                  <a:pt x="167" y="771"/>
                </a:lnTo>
                <a:lnTo>
                  <a:pt x="178" y="784"/>
                </a:lnTo>
                <a:lnTo>
                  <a:pt x="194" y="793"/>
                </a:lnTo>
                <a:lnTo>
                  <a:pt x="232" y="793"/>
                </a:lnTo>
                <a:lnTo>
                  <a:pt x="241" y="803"/>
                </a:lnTo>
                <a:lnTo>
                  <a:pt x="241" y="821"/>
                </a:lnTo>
                <a:lnTo>
                  <a:pt x="232" y="829"/>
                </a:lnTo>
                <a:lnTo>
                  <a:pt x="5" y="829"/>
                </a:lnTo>
                <a:lnTo>
                  <a:pt x="0" y="821"/>
                </a:lnTo>
                <a:lnTo>
                  <a:pt x="0" y="803"/>
                </a:lnTo>
                <a:lnTo>
                  <a:pt x="5" y="793"/>
                </a:lnTo>
                <a:lnTo>
                  <a:pt x="36" y="793"/>
                </a:lnTo>
                <a:lnTo>
                  <a:pt x="83" y="745"/>
                </a:lnTo>
                <a:lnTo>
                  <a:pt x="119" y="662"/>
                </a:lnTo>
                <a:lnTo>
                  <a:pt x="394" y="5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9497" y="8052"/>
            <a:ext cx="399" cy="460"/>
          </a:xfrm>
          <a:custGeom>
            <a:pathLst>
              <a:path h="813" w="706">
                <a:moveTo>
                  <a:pt x="242" y="65"/>
                </a:moveTo>
                <a:lnTo>
                  <a:pt x="242" y="360"/>
                </a:lnTo>
                <a:lnTo>
                  <a:pt x="413" y="360"/>
                </a:lnTo>
                <a:lnTo>
                  <a:pt x="449" y="348"/>
                </a:lnTo>
                <a:lnTo>
                  <a:pt x="469" y="340"/>
                </a:lnTo>
                <a:lnTo>
                  <a:pt x="524" y="285"/>
                </a:lnTo>
                <a:lnTo>
                  <a:pt x="535" y="253"/>
                </a:lnTo>
                <a:lnTo>
                  <a:pt x="535" y="180"/>
                </a:lnTo>
                <a:lnTo>
                  <a:pt x="524" y="151"/>
                </a:lnTo>
                <a:lnTo>
                  <a:pt x="516" y="130"/>
                </a:lnTo>
                <a:lnTo>
                  <a:pt x="496" y="104"/>
                </a:lnTo>
                <a:lnTo>
                  <a:pt x="488" y="94"/>
                </a:lnTo>
                <a:lnTo>
                  <a:pt x="375" y="47"/>
                </a:lnTo>
                <a:lnTo>
                  <a:pt x="261" y="47"/>
                </a:lnTo>
                <a:lnTo>
                  <a:pt x="242" y="65"/>
                </a:lnTo>
                <a:close/>
                <a:moveTo>
                  <a:pt x="242" y="65"/>
                </a:moveTo>
                <a:lnTo>
                  <a:pt x="242" y="736"/>
                </a:lnTo>
                <a:lnTo>
                  <a:pt x="261" y="754"/>
                </a:lnTo>
                <a:lnTo>
                  <a:pt x="280" y="767"/>
                </a:lnTo>
                <a:lnTo>
                  <a:pt x="382" y="767"/>
                </a:lnTo>
                <a:lnTo>
                  <a:pt x="488" y="728"/>
                </a:lnTo>
                <a:lnTo>
                  <a:pt x="535" y="681"/>
                </a:lnTo>
                <a:lnTo>
                  <a:pt x="535" y="671"/>
                </a:lnTo>
                <a:lnTo>
                  <a:pt x="544" y="645"/>
                </a:lnTo>
                <a:lnTo>
                  <a:pt x="555" y="634"/>
                </a:lnTo>
                <a:lnTo>
                  <a:pt x="555" y="547"/>
                </a:lnTo>
                <a:lnTo>
                  <a:pt x="544" y="522"/>
                </a:lnTo>
                <a:lnTo>
                  <a:pt x="535" y="503"/>
                </a:lnTo>
                <a:lnTo>
                  <a:pt x="488" y="454"/>
                </a:lnTo>
                <a:lnTo>
                  <a:pt x="413" y="427"/>
                </a:lnTo>
                <a:lnTo>
                  <a:pt x="328" y="414"/>
                </a:lnTo>
                <a:lnTo>
                  <a:pt x="242" y="414"/>
                </a:lnTo>
                <a:close/>
                <a:moveTo>
                  <a:pt x="242" y="414"/>
                </a:moveTo>
                <a:lnTo>
                  <a:pt x="242" y="736"/>
                </a:lnTo>
                <a:lnTo>
                  <a:pt x="5" y="0"/>
                </a:lnTo>
                <a:lnTo>
                  <a:pt x="422" y="0"/>
                </a:lnTo>
                <a:lnTo>
                  <a:pt x="524" y="28"/>
                </a:lnTo>
                <a:lnTo>
                  <a:pt x="591" y="56"/>
                </a:lnTo>
                <a:lnTo>
                  <a:pt x="638" y="104"/>
                </a:lnTo>
                <a:lnTo>
                  <a:pt x="657" y="140"/>
                </a:lnTo>
                <a:lnTo>
                  <a:pt x="665" y="169"/>
                </a:lnTo>
                <a:lnTo>
                  <a:pt x="665" y="246"/>
                </a:lnTo>
                <a:lnTo>
                  <a:pt x="638" y="311"/>
                </a:lnTo>
                <a:lnTo>
                  <a:pt x="602" y="348"/>
                </a:lnTo>
                <a:lnTo>
                  <a:pt x="571" y="369"/>
                </a:lnTo>
                <a:lnTo>
                  <a:pt x="544" y="379"/>
                </a:lnTo>
                <a:lnTo>
                  <a:pt x="535" y="379"/>
                </a:lnTo>
                <a:lnTo>
                  <a:pt x="524" y="387"/>
                </a:lnTo>
                <a:lnTo>
                  <a:pt x="535" y="394"/>
                </a:lnTo>
                <a:lnTo>
                  <a:pt x="555" y="394"/>
                </a:lnTo>
                <a:lnTo>
                  <a:pt x="583" y="405"/>
                </a:lnTo>
                <a:lnTo>
                  <a:pt x="602" y="414"/>
                </a:lnTo>
                <a:lnTo>
                  <a:pt x="630" y="435"/>
                </a:lnTo>
                <a:lnTo>
                  <a:pt x="665" y="472"/>
                </a:lnTo>
                <a:lnTo>
                  <a:pt x="686" y="503"/>
                </a:lnTo>
                <a:lnTo>
                  <a:pt x="697" y="522"/>
                </a:lnTo>
                <a:lnTo>
                  <a:pt x="705" y="547"/>
                </a:lnTo>
                <a:lnTo>
                  <a:pt x="705" y="634"/>
                </a:lnTo>
                <a:lnTo>
                  <a:pt x="677" y="699"/>
                </a:lnTo>
                <a:lnTo>
                  <a:pt x="609" y="767"/>
                </a:lnTo>
                <a:lnTo>
                  <a:pt x="555" y="794"/>
                </a:lnTo>
                <a:lnTo>
                  <a:pt x="469" y="812"/>
                </a:lnTo>
                <a:lnTo>
                  <a:pt x="5" y="812"/>
                </a:lnTo>
                <a:lnTo>
                  <a:pt x="0" y="804"/>
                </a:lnTo>
                <a:lnTo>
                  <a:pt x="0" y="794"/>
                </a:lnTo>
                <a:lnTo>
                  <a:pt x="5" y="786"/>
                </a:lnTo>
                <a:lnTo>
                  <a:pt x="64" y="776"/>
                </a:lnTo>
                <a:lnTo>
                  <a:pt x="80" y="776"/>
                </a:lnTo>
                <a:lnTo>
                  <a:pt x="101" y="754"/>
                </a:lnTo>
                <a:lnTo>
                  <a:pt x="112" y="728"/>
                </a:lnTo>
                <a:lnTo>
                  <a:pt x="112" y="86"/>
                </a:lnTo>
                <a:lnTo>
                  <a:pt x="101" y="56"/>
                </a:lnTo>
                <a:lnTo>
                  <a:pt x="92" y="47"/>
                </a:lnTo>
                <a:lnTo>
                  <a:pt x="5" y="28"/>
                </a:lnTo>
                <a:lnTo>
                  <a:pt x="0" y="20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9950" y="8052"/>
            <a:ext cx="401" cy="460"/>
          </a:xfrm>
          <a:custGeom>
            <a:pathLst>
              <a:path h="813" w="708">
                <a:moveTo>
                  <a:pt x="7" y="0"/>
                </a:moveTo>
                <a:lnTo>
                  <a:pt x="337" y="0"/>
                </a:lnTo>
                <a:lnTo>
                  <a:pt x="347" y="8"/>
                </a:lnTo>
                <a:lnTo>
                  <a:pt x="347" y="20"/>
                </a:lnTo>
                <a:lnTo>
                  <a:pt x="337" y="28"/>
                </a:lnTo>
                <a:lnTo>
                  <a:pt x="290" y="38"/>
                </a:lnTo>
                <a:lnTo>
                  <a:pt x="262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6"/>
                </a:lnTo>
                <a:lnTo>
                  <a:pt x="242" y="747"/>
                </a:lnTo>
                <a:lnTo>
                  <a:pt x="262" y="754"/>
                </a:lnTo>
                <a:lnTo>
                  <a:pt x="480" y="754"/>
                </a:lnTo>
                <a:lnTo>
                  <a:pt x="526" y="747"/>
                </a:lnTo>
                <a:lnTo>
                  <a:pt x="557" y="736"/>
                </a:lnTo>
                <a:lnTo>
                  <a:pt x="573" y="728"/>
                </a:lnTo>
                <a:lnTo>
                  <a:pt x="605" y="710"/>
                </a:lnTo>
                <a:lnTo>
                  <a:pt x="621" y="689"/>
                </a:lnTo>
                <a:lnTo>
                  <a:pt x="660" y="634"/>
                </a:lnTo>
                <a:lnTo>
                  <a:pt x="660" y="626"/>
                </a:lnTo>
                <a:lnTo>
                  <a:pt x="668" y="606"/>
                </a:lnTo>
                <a:lnTo>
                  <a:pt x="679" y="595"/>
                </a:lnTo>
                <a:lnTo>
                  <a:pt x="700" y="595"/>
                </a:lnTo>
                <a:lnTo>
                  <a:pt x="707" y="606"/>
                </a:lnTo>
                <a:lnTo>
                  <a:pt x="707" y="634"/>
                </a:lnTo>
                <a:lnTo>
                  <a:pt x="700" y="663"/>
                </a:lnTo>
                <a:lnTo>
                  <a:pt x="660" y="804"/>
                </a:lnTo>
                <a:lnTo>
                  <a:pt x="652" y="812"/>
                </a:lnTo>
                <a:lnTo>
                  <a:pt x="7" y="812"/>
                </a:lnTo>
                <a:lnTo>
                  <a:pt x="0" y="804"/>
                </a:lnTo>
                <a:lnTo>
                  <a:pt x="0" y="794"/>
                </a:lnTo>
                <a:lnTo>
                  <a:pt x="7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1" y="728"/>
                </a:lnTo>
                <a:lnTo>
                  <a:pt x="101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8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10369" y="8052"/>
            <a:ext cx="399" cy="460"/>
          </a:xfrm>
          <a:custGeom>
            <a:pathLst>
              <a:path h="813" w="706">
                <a:moveTo>
                  <a:pt x="10" y="0"/>
                </a:moveTo>
                <a:lnTo>
                  <a:pt x="641" y="0"/>
                </a:lnTo>
                <a:lnTo>
                  <a:pt x="650" y="8"/>
                </a:lnTo>
                <a:lnTo>
                  <a:pt x="650" y="180"/>
                </a:lnTo>
                <a:lnTo>
                  <a:pt x="641" y="188"/>
                </a:lnTo>
                <a:lnTo>
                  <a:pt x="623" y="188"/>
                </a:lnTo>
                <a:lnTo>
                  <a:pt x="602" y="169"/>
                </a:lnTo>
                <a:lnTo>
                  <a:pt x="602" y="140"/>
                </a:lnTo>
                <a:lnTo>
                  <a:pt x="592" y="112"/>
                </a:lnTo>
                <a:lnTo>
                  <a:pt x="583" y="94"/>
                </a:lnTo>
                <a:lnTo>
                  <a:pt x="564" y="76"/>
                </a:lnTo>
                <a:lnTo>
                  <a:pt x="545" y="65"/>
                </a:lnTo>
                <a:lnTo>
                  <a:pt x="508" y="56"/>
                </a:lnTo>
                <a:lnTo>
                  <a:pt x="245" y="56"/>
                </a:lnTo>
                <a:lnTo>
                  <a:pt x="235" y="65"/>
                </a:lnTo>
                <a:lnTo>
                  <a:pt x="235" y="360"/>
                </a:lnTo>
                <a:lnTo>
                  <a:pt x="461" y="360"/>
                </a:lnTo>
                <a:lnTo>
                  <a:pt x="489" y="348"/>
                </a:lnTo>
                <a:lnTo>
                  <a:pt x="508" y="340"/>
                </a:lnTo>
                <a:lnTo>
                  <a:pt x="516" y="329"/>
                </a:lnTo>
                <a:lnTo>
                  <a:pt x="527" y="303"/>
                </a:lnTo>
                <a:lnTo>
                  <a:pt x="536" y="253"/>
                </a:lnTo>
                <a:lnTo>
                  <a:pt x="545" y="246"/>
                </a:lnTo>
                <a:lnTo>
                  <a:pt x="564" y="246"/>
                </a:lnTo>
                <a:lnTo>
                  <a:pt x="574" y="253"/>
                </a:lnTo>
                <a:lnTo>
                  <a:pt x="574" y="522"/>
                </a:lnTo>
                <a:lnTo>
                  <a:pt x="564" y="529"/>
                </a:lnTo>
                <a:lnTo>
                  <a:pt x="545" y="529"/>
                </a:lnTo>
                <a:lnTo>
                  <a:pt x="536" y="522"/>
                </a:lnTo>
                <a:lnTo>
                  <a:pt x="536" y="482"/>
                </a:lnTo>
                <a:lnTo>
                  <a:pt x="516" y="445"/>
                </a:lnTo>
                <a:lnTo>
                  <a:pt x="498" y="427"/>
                </a:lnTo>
                <a:lnTo>
                  <a:pt x="469" y="414"/>
                </a:lnTo>
                <a:lnTo>
                  <a:pt x="235" y="414"/>
                </a:lnTo>
                <a:lnTo>
                  <a:pt x="235" y="747"/>
                </a:lnTo>
                <a:lnTo>
                  <a:pt x="253" y="754"/>
                </a:lnTo>
                <a:lnTo>
                  <a:pt x="300" y="767"/>
                </a:lnTo>
                <a:lnTo>
                  <a:pt x="469" y="767"/>
                </a:lnTo>
                <a:lnTo>
                  <a:pt x="564" y="736"/>
                </a:lnTo>
                <a:lnTo>
                  <a:pt x="592" y="718"/>
                </a:lnTo>
                <a:lnTo>
                  <a:pt x="623" y="689"/>
                </a:lnTo>
                <a:lnTo>
                  <a:pt x="641" y="663"/>
                </a:lnTo>
                <a:lnTo>
                  <a:pt x="658" y="626"/>
                </a:lnTo>
                <a:lnTo>
                  <a:pt x="658" y="613"/>
                </a:lnTo>
                <a:lnTo>
                  <a:pt x="678" y="595"/>
                </a:lnTo>
                <a:lnTo>
                  <a:pt x="697" y="595"/>
                </a:lnTo>
                <a:lnTo>
                  <a:pt x="705" y="606"/>
                </a:lnTo>
                <a:lnTo>
                  <a:pt x="705" y="634"/>
                </a:lnTo>
                <a:lnTo>
                  <a:pt x="658" y="804"/>
                </a:lnTo>
                <a:lnTo>
                  <a:pt x="650" y="812"/>
                </a:lnTo>
                <a:lnTo>
                  <a:pt x="10" y="812"/>
                </a:lnTo>
                <a:lnTo>
                  <a:pt x="0" y="804"/>
                </a:lnTo>
                <a:lnTo>
                  <a:pt x="0" y="794"/>
                </a:lnTo>
                <a:lnTo>
                  <a:pt x="10" y="786"/>
                </a:lnTo>
                <a:lnTo>
                  <a:pt x="37" y="786"/>
                </a:lnTo>
                <a:lnTo>
                  <a:pt x="65" y="776"/>
                </a:lnTo>
                <a:lnTo>
                  <a:pt x="92" y="747"/>
                </a:lnTo>
                <a:lnTo>
                  <a:pt x="103" y="728"/>
                </a:lnTo>
                <a:lnTo>
                  <a:pt x="103" y="86"/>
                </a:lnTo>
                <a:lnTo>
                  <a:pt x="92" y="65"/>
                </a:lnTo>
                <a:lnTo>
                  <a:pt x="65" y="38"/>
                </a:lnTo>
                <a:lnTo>
                  <a:pt x="37" y="38"/>
                </a:lnTo>
                <a:lnTo>
                  <a:pt x="10" y="28"/>
                </a:lnTo>
                <a:lnTo>
                  <a:pt x="0" y="20"/>
                </a:lnTo>
                <a:lnTo>
                  <a:pt x="0" y="8"/>
                </a:lnTo>
                <a:lnTo>
                  <a:pt x="10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11</xdr:col>
      <xdr:colOff>542925</xdr:colOff>
      <xdr:row>1</xdr:row>
      <xdr:rowOff>47625</xdr:rowOff>
    </xdr:from>
    <xdr:to>
      <xdr:col>12</xdr:col>
      <xdr:colOff>676275</xdr:colOff>
      <xdr:row>4</xdr:row>
      <xdr:rowOff>85725</xdr:rowOff>
    </xdr:to>
    <xdr:pic>
      <xdr:nvPicPr>
        <xdr:cNvPr id="25" name="25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96325" y="209550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809625</xdr:colOff>
      <xdr:row>15</xdr:row>
      <xdr:rowOff>123825</xdr:rowOff>
    </xdr:from>
    <xdr:to>
      <xdr:col>4</xdr:col>
      <xdr:colOff>819150</xdr:colOff>
      <xdr:row>17</xdr:row>
      <xdr:rowOff>104775</xdr:rowOff>
    </xdr:to>
    <xdr:grpSp>
      <xdr:nvGrpSpPr>
        <xdr:cNvPr id="1" name="Group 1"/>
        <xdr:cNvGrpSpPr>
          <a:grpSpLocks/>
        </xdr:cNvGrpSpPr>
      </xdr:nvGrpSpPr>
      <xdr:grpSpPr>
        <a:xfrm>
          <a:off x="2581275" y="3333750"/>
          <a:ext cx="2981325" cy="304800"/>
          <a:chOff x="4243" y="5048"/>
          <a:chExt cx="4901" cy="481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4243" y="5058"/>
            <a:ext cx="475" cy="463"/>
          </a:xfrm>
          <a:custGeom>
            <a:pathLst>
              <a:path h="819" w="83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4747" y="5048"/>
            <a:ext cx="455" cy="481"/>
          </a:xfrm>
          <a:custGeom>
            <a:pathLst>
              <a:path h="851" w="803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43" y="56"/>
                </a:moveTo>
                <a:lnTo>
                  <a:pt x="358" y="0"/>
                </a:ln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4"/>
          <xdr:cNvSpPr>
            <a:spLocks/>
          </xdr:cNvSpPr>
        </xdr:nvSpPr>
        <xdr:spPr>
          <a:xfrm>
            <a:off x="5401" y="5048"/>
            <a:ext cx="475" cy="469"/>
          </a:xfrm>
          <a:custGeom>
            <a:pathLst>
              <a:path h="829" w="841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385" y="196"/>
                </a:moveTo>
                <a:lnTo>
                  <a:pt x="403" y="0"/>
                </a:ln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5"/>
          <xdr:cNvSpPr>
            <a:spLocks/>
          </xdr:cNvSpPr>
        </xdr:nvSpPr>
        <xdr:spPr>
          <a:xfrm>
            <a:off x="5893" y="5058"/>
            <a:ext cx="361" cy="459"/>
          </a:xfrm>
          <a:custGeom>
            <a:pathLst>
              <a:path h="812" w="640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234" y="65"/>
                </a:moveTo>
                <a:lnTo>
                  <a:pt x="6" y="0"/>
                </a:ln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6" name="Freeform 6"/>
          <xdr:cNvSpPr>
            <a:spLocks/>
          </xdr:cNvSpPr>
        </xdr:nvSpPr>
        <xdr:spPr>
          <a:xfrm>
            <a:off x="6274" y="5058"/>
            <a:ext cx="399" cy="459"/>
          </a:xfrm>
          <a:custGeom>
            <a:pathLst>
              <a:path h="812" w="708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7" name="Freeform 7"/>
          <xdr:cNvSpPr>
            <a:spLocks/>
          </xdr:cNvSpPr>
        </xdr:nvSpPr>
        <xdr:spPr>
          <a:xfrm>
            <a:off x="6694" y="5058"/>
            <a:ext cx="206" cy="459"/>
          </a:xfrm>
          <a:custGeom>
            <a:pathLst>
              <a:path h="812" w="365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Freeform 8"/>
          <xdr:cNvSpPr>
            <a:spLocks/>
          </xdr:cNvSpPr>
        </xdr:nvSpPr>
        <xdr:spPr>
          <a:xfrm>
            <a:off x="6934" y="5048"/>
            <a:ext cx="417" cy="481"/>
          </a:xfrm>
          <a:custGeom>
            <a:pathLst>
              <a:path h="851" w="736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9" name="Freeform 9"/>
          <xdr:cNvSpPr>
            <a:spLocks/>
          </xdr:cNvSpPr>
        </xdr:nvSpPr>
        <xdr:spPr>
          <a:xfrm>
            <a:off x="7378" y="5048"/>
            <a:ext cx="475" cy="469"/>
          </a:xfrm>
          <a:custGeom>
            <a:pathLst>
              <a:path h="829" w="83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384" y="196"/>
                </a:moveTo>
                <a:lnTo>
                  <a:pt x="404" y="0"/>
                </a:ln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0" name="Freeform 10"/>
          <xdr:cNvSpPr>
            <a:spLocks/>
          </xdr:cNvSpPr>
        </xdr:nvSpPr>
        <xdr:spPr>
          <a:xfrm>
            <a:off x="7870" y="5058"/>
            <a:ext cx="402" cy="459"/>
          </a:xfrm>
          <a:custGeom>
            <a:pathLst>
              <a:path h="812" w="710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65"/>
                </a:moveTo>
                <a:lnTo>
                  <a:pt x="246" y="735"/>
                </a:ln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close/>
                <a:moveTo>
                  <a:pt x="246" y="414"/>
                </a:moveTo>
                <a:lnTo>
                  <a:pt x="246" y="735"/>
                </a:lnTo>
                <a:lnTo>
                  <a:pt x="9" y="0"/>
                </a:ln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1" name="Freeform 11"/>
          <xdr:cNvSpPr>
            <a:spLocks/>
          </xdr:cNvSpPr>
        </xdr:nvSpPr>
        <xdr:spPr>
          <a:xfrm>
            <a:off x="8327" y="5058"/>
            <a:ext cx="399" cy="459"/>
          </a:xfrm>
          <a:custGeom>
            <a:pathLst>
              <a:path h="812" w="705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2" name="Freeform 12"/>
          <xdr:cNvSpPr>
            <a:spLocks/>
          </xdr:cNvSpPr>
        </xdr:nvSpPr>
        <xdr:spPr>
          <a:xfrm>
            <a:off x="8743" y="5058"/>
            <a:ext cx="399" cy="459"/>
          </a:xfrm>
          <a:custGeom>
            <a:pathLst>
              <a:path h="812" w="708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800100</xdr:colOff>
      <xdr:row>21</xdr:row>
      <xdr:rowOff>123825</xdr:rowOff>
    </xdr:from>
    <xdr:to>
      <xdr:col>4</xdr:col>
      <xdr:colOff>809625</xdr:colOff>
      <xdr:row>23</xdr:row>
      <xdr:rowOff>104775</xdr:rowOff>
    </xdr:to>
    <xdr:grpSp>
      <xdr:nvGrpSpPr>
        <xdr:cNvPr id="13" name="Group 13"/>
        <xdr:cNvGrpSpPr>
          <a:grpSpLocks/>
        </xdr:cNvGrpSpPr>
      </xdr:nvGrpSpPr>
      <xdr:grpSpPr>
        <a:xfrm>
          <a:off x="2571750" y="4305300"/>
          <a:ext cx="2981325" cy="304800"/>
          <a:chOff x="4227" y="6584"/>
          <a:chExt cx="4901" cy="481"/>
        </a:xfrm>
        <a:solidFill>
          <a:srgbClr val="FFFFFF"/>
        </a:solidFill>
      </xdr:grpSpPr>
      <xdr:sp>
        <xdr:nvSpPr>
          <xdr:cNvPr id="14" name="Freeform 14"/>
          <xdr:cNvSpPr>
            <a:spLocks/>
          </xdr:cNvSpPr>
        </xdr:nvSpPr>
        <xdr:spPr>
          <a:xfrm>
            <a:off x="4227" y="6594"/>
            <a:ext cx="475" cy="463"/>
          </a:xfrm>
          <a:custGeom>
            <a:pathLst>
              <a:path h="819" w="83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5" name="Freeform 15"/>
          <xdr:cNvSpPr>
            <a:spLocks/>
          </xdr:cNvSpPr>
        </xdr:nvSpPr>
        <xdr:spPr>
          <a:xfrm>
            <a:off x="4731" y="6584"/>
            <a:ext cx="455" cy="481"/>
          </a:xfrm>
          <a:custGeom>
            <a:pathLst>
              <a:path h="851" w="803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43" y="56"/>
                </a:moveTo>
                <a:lnTo>
                  <a:pt x="358" y="0"/>
                </a:ln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6" name="Freeform 16"/>
          <xdr:cNvSpPr>
            <a:spLocks/>
          </xdr:cNvSpPr>
        </xdr:nvSpPr>
        <xdr:spPr>
          <a:xfrm>
            <a:off x="5385" y="6584"/>
            <a:ext cx="475" cy="469"/>
          </a:xfrm>
          <a:custGeom>
            <a:pathLst>
              <a:path h="829" w="841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385" y="196"/>
                </a:moveTo>
                <a:lnTo>
                  <a:pt x="403" y="0"/>
                </a:ln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7" name="Freeform 17"/>
          <xdr:cNvSpPr>
            <a:spLocks/>
          </xdr:cNvSpPr>
        </xdr:nvSpPr>
        <xdr:spPr>
          <a:xfrm>
            <a:off x="5877" y="6594"/>
            <a:ext cx="361" cy="459"/>
          </a:xfrm>
          <a:custGeom>
            <a:pathLst>
              <a:path h="812" w="640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234" y="65"/>
                </a:moveTo>
                <a:lnTo>
                  <a:pt x="6" y="0"/>
                </a:ln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8" name="Freeform 18"/>
          <xdr:cNvSpPr>
            <a:spLocks/>
          </xdr:cNvSpPr>
        </xdr:nvSpPr>
        <xdr:spPr>
          <a:xfrm>
            <a:off x="6258" y="6594"/>
            <a:ext cx="399" cy="459"/>
          </a:xfrm>
          <a:custGeom>
            <a:pathLst>
              <a:path h="812" w="708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19" name="Freeform 19"/>
          <xdr:cNvSpPr>
            <a:spLocks/>
          </xdr:cNvSpPr>
        </xdr:nvSpPr>
        <xdr:spPr>
          <a:xfrm>
            <a:off x="6678" y="6594"/>
            <a:ext cx="206" cy="459"/>
          </a:xfrm>
          <a:custGeom>
            <a:pathLst>
              <a:path h="812" w="365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0" name="Freeform 20"/>
          <xdr:cNvSpPr>
            <a:spLocks/>
          </xdr:cNvSpPr>
        </xdr:nvSpPr>
        <xdr:spPr>
          <a:xfrm>
            <a:off x="6918" y="6584"/>
            <a:ext cx="417" cy="481"/>
          </a:xfrm>
          <a:custGeom>
            <a:pathLst>
              <a:path h="851" w="736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1" name="Freeform 21"/>
          <xdr:cNvSpPr>
            <a:spLocks/>
          </xdr:cNvSpPr>
        </xdr:nvSpPr>
        <xdr:spPr>
          <a:xfrm>
            <a:off x="7362" y="6584"/>
            <a:ext cx="475" cy="469"/>
          </a:xfrm>
          <a:custGeom>
            <a:pathLst>
              <a:path h="829" w="83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384" y="196"/>
                </a:moveTo>
                <a:lnTo>
                  <a:pt x="404" y="0"/>
                </a:ln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2" name="Freeform 22"/>
          <xdr:cNvSpPr>
            <a:spLocks/>
          </xdr:cNvSpPr>
        </xdr:nvSpPr>
        <xdr:spPr>
          <a:xfrm>
            <a:off x="7854" y="6594"/>
            <a:ext cx="402" cy="459"/>
          </a:xfrm>
          <a:custGeom>
            <a:pathLst>
              <a:path h="812" w="710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65"/>
                </a:moveTo>
                <a:lnTo>
                  <a:pt x="246" y="735"/>
                </a:ln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close/>
                <a:moveTo>
                  <a:pt x="246" y="414"/>
                </a:moveTo>
                <a:lnTo>
                  <a:pt x="246" y="735"/>
                </a:lnTo>
                <a:lnTo>
                  <a:pt x="9" y="0"/>
                </a:ln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3" name="Freeform 23"/>
          <xdr:cNvSpPr>
            <a:spLocks/>
          </xdr:cNvSpPr>
        </xdr:nvSpPr>
        <xdr:spPr>
          <a:xfrm>
            <a:off x="8311" y="6594"/>
            <a:ext cx="399" cy="459"/>
          </a:xfrm>
          <a:custGeom>
            <a:pathLst>
              <a:path h="812" w="705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4" name="Freeform 24"/>
          <xdr:cNvSpPr>
            <a:spLocks/>
          </xdr:cNvSpPr>
        </xdr:nvSpPr>
        <xdr:spPr>
          <a:xfrm>
            <a:off x="8727" y="6594"/>
            <a:ext cx="399" cy="459"/>
          </a:xfrm>
          <a:custGeom>
            <a:pathLst>
              <a:path h="812" w="708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809625</xdr:colOff>
      <xdr:row>15</xdr:row>
      <xdr:rowOff>123825</xdr:rowOff>
    </xdr:from>
    <xdr:to>
      <xdr:col>4</xdr:col>
      <xdr:colOff>819150</xdr:colOff>
      <xdr:row>17</xdr:row>
      <xdr:rowOff>104775</xdr:rowOff>
    </xdr:to>
    <xdr:grpSp>
      <xdr:nvGrpSpPr>
        <xdr:cNvPr id="25" name="Group 25"/>
        <xdr:cNvGrpSpPr>
          <a:grpSpLocks/>
        </xdr:cNvGrpSpPr>
      </xdr:nvGrpSpPr>
      <xdr:grpSpPr>
        <a:xfrm>
          <a:off x="2581275" y="3333750"/>
          <a:ext cx="2981325" cy="304800"/>
          <a:chOff x="4243" y="5048"/>
          <a:chExt cx="4901" cy="481"/>
        </a:xfrm>
        <a:solidFill>
          <a:srgbClr val="FFFFFF"/>
        </a:solidFill>
      </xdr:grpSpPr>
      <xdr:sp>
        <xdr:nvSpPr>
          <xdr:cNvPr id="26" name="Freeform 26"/>
          <xdr:cNvSpPr>
            <a:spLocks/>
          </xdr:cNvSpPr>
        </xdr:nvSpPr>
        <xdr:spPr>
          <a:xfrm>
            <a:off x="4243" y="5058"/>
            <a:ext cx="475" cy="463"/>
          </a:xfrm>
          <a:custGeom>
            <a:pathLst>
              <a:path h="819" w="83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7" name="Freeform 27"/>
          <xdr:cNvSpPr>
            <a:spLocks/>
          </xdr:cNvSpPr>
        </xdr:nvSpPr>
        <xdr:spPr>
          <a:xfrm>
            <a:off x="4747" y="5048"/>
            <a:ext cx="455" cy="481"/>
          </a:xfrm>
          <a:custGeom>
            <a:pathLst>
              <a:path h="851" w="803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43" y="56"/>
                </a:moveTo>
                <a:lnTo>
                  <a:pt x="358" y="0"/>
                </a:ln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8" name="Freeform 28"/>
          <xdr:cNvSpPr>
            <a:spLocks/>
          </xdr:cNvSpPr>
        </xdr:nvSpPr>
        <xdr:spPr>
          <a:xfrm>
            <a:off x="5401" y="5048"/>
            <a:ext cx="475" cy="469"/>
          </a:xfrm>
          <a:custGeom>
            <a:pathLst>
              <a:path h="829" w="841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385" y="196"/>
                </a:moveTo>
                <a:lnTo>
                  <a:pt x="403" y="0"/>
                </a:ln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29" name="Freeform 29"/>
          <xdr:cNvSpPr>
            <a:spLocks/>
          </xdr:cNvSpPr>
        </xdr:nvSpPr>
        <xdr:spPr>
          <a:xfrm>
            <a:off x="5893" y="5058"/>
            <a:ext cx="361" cy="459"/>
          </a:xfrm>
          <a:custGeom>
            <a:pathLst>
              <a:path h="812" w="640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234" y="65"/>
                </a:moveTo>
                <a:lnTo>
                  <a:pt x="6" y="0"/>
                </a:ln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0" name="Freeform 30"/>
          <xdr:cNvSpPr>
            <a:spLocks/>
          </xdr:cNvSpPr>
        </xdr:nvSpPr>
        <xdr:spPr>
          <a:xfrm>
            <a:off x="6274" y="5058"/>
            <a:ext cx="399" cy="459"/>
          </a:xfrm>
          <a:custGeom>
            <a:pathLst>
              <a:path h="812" w="708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1" name="Freeform 31"/>
          <xdr:cNvSpPr>
            <a:spLocks/>
          </xdr:cNvSpPr>
        </xdr:nvSpPr>
        <xdr:spPr>
          <a:xfrm>
            <a:off x="6694" y="5058"/>
            <a:ext cx="206" cy="459"/>
          </a:xfrm>
          <a:custGeom>
            <a:pathLst>
              <a:path h="812" w="365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2" name="Freeform 32"/>
          <xdr:cNvSpPr>
            <a:spLocks/>
          </xdr:cNvSpPr>
        </xdr:nvSpPr>
        <xdr:spPr>
          <a:xfrm>
            <a:off x="6934" y="5048"/>
            <a:ext cx="417" cy="481"/>
          </a:xfrm>
          <a:custGeom>
            <a:pathLst>
              <a:path h="851" w="736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3" name="Freeform 33"/>
          <xdr:cNvSpPr>
            <a:spLocks/>
          </xdr:cNvSpPr>
        </xdr:nvSpPr>
        <xdr:spPr>
          <a:xfrm>
            <a:off x="7378" y="5048"/>
            <a:ext cx="475" cy="469"/>
          </a:xfrm>
          <a:custGeom>
            <a:pathLst>
              <a:path h="829" w="83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384" y="196"/>
                </a:moveTo>
                <a:lnTo>
                  <a:pt x="404" y="0"/>
                </a:ln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4" name="Freeform 34"/>
          <xdr:cNvSpPr>
            <a:spLocks/>
          </xdr:cNvSpPr>
        </xdr:nvSpPr>
        <xdr:spPr>
          <a:xfrm>
            <a:off x="7870" y="5058"/>
            <a:ext cx="402" cy="459"/>
          </a:xfrm>
          <a:custGeom>
            <a:pathLst>
              <a:path h="812" w="710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65"/>
                </a:moveTo>
                <a:lnTo>
                  <a:pt x="246" y="735"/>
                </a:ln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close/>
                <a:moveTo>
                  <a:pt x="246" y="414"/>
                </a:moveTo>
                <a:lnTo>
                  <a:pt x="246" y="735"/>
                </a:lnTo>
                <a:lnTo>
                  <a:pt x="9" y="0"/>
                </a:ln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5" name="Freeform 35"/>
          <xdr:cNvSpPr>
            <a:spLocks/>
          </xdr:cNvSpPr>
        </xdr:nvSpPr>
        <xdr:spPr>
          <a:xfrm>
            <a:off x="8327" y="5058"/>
            <a:ext cx="399" cy="459"/>
          </a:xfrm>
          <a:custGeom>
            <a:pathLst>
              <a:path h="812" w="705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6" name="Freeform 36"/>
          <xdr:cNvSpPr>
            <a:spLocks/>
          </xdr:cNvSpPr>
        </xdr:nvSpPr>
        <xdr:spPr>
          <a:xfrm>
            <a:off x="8743" y="5058"/>
            <a:ext cx="399" cy="459"/>
          </a:xfrm>
          <a:custGeom>
            <a:pathLst>
              <a:path h="812" w="708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>
    <xdr:from>
      <xdr:col>1</xdr:col>
      <xdr:colOff>800100</xdr:colOff>
      <xdr:row>21</xdr:row>
      <xdr:rowOff>123825</xdr:rowOff>
    </xdr:from>
    <xdr:to>
      <xdr:col>4</xdr:col>
      <xdr:colOff>809625</xdr:colOff>
      <xdr:row>23</xdr:row>
      <xdr:rowOff>104775</xdr:rowOff>
    </xdr:to>
    <xdr:grpSp>
      <xdr:nvGrpSpPr>
        <xdr:cNvPr id="37" name="Group 37"/>
        <xdr:cNvGrpSpPr>
          <a:grpSpLocks/>
        </xdr:cNvGrpSpPr>
      </xdr:nvGrpSpPr>
      <xdr:grpSpPr>
        <a:xfrm>
          <a:off x="2571750" y="4305300"/>
          <a:ext cx="2981325" cy="304800"/>
          <a:chOff x="4227" y="6584"/>
          <a:chExt cx="4901" cy="481"/>
        </a:xfrm>
        <a:solidFill>
          <a:srgbClr val="FFFFFF"/>
        </a:solidFill>
      </xdr:grpSpPr>
      <xdr:sp>
        <xdr:nvSpPr>
          <xdr:cNvPr id="38" name="Freeform 38"/>
          <xdr:cNvSpPr>
            <a:spLocks/>
          </xdr:cNvSpPr>
        </xdr:nvSpPr>
        <xdr:spPr>
          <a:xfrm>
            <a:off x="4227" y="6594"/>
            <a:ext cx="475" cy="463"/>
          </a:xfrm>
          <a:custGeom>
            <a:pathLst>
              <a:path h="819" w="839">
                <a:moveTo>
                  <a:pt x="9" y="0"/>
                </a:moveTo>
                <a:lnTo>
                  <a:pt x="206" y="0"/>
                </a:lnTo>
                <a:lnTo>
                  <a:pt x="226" y="19"/>
                </a:lnTo>
                <a:lnTo>
                  <a:pt x="376" y="205"/>
                </a:lnTo>
                <a:lnTo>
                  <a:pt x="376" y="218"/>
                </a:lnTo>
                <a:lnTo>
                  <a:pt x="414" y="262"/>
                </a:lnTo>
                <a:lnTo>
                  <a:pt x="452" y="301"/>
                </a:lnTo>
                <a:lnTo>
                  <a:pt x="515" y="385"/>
                </a:lnTo>
                <a:lnTo>
                  <a:pt x="515" y="393"/>
                </a:lnTo>
                <a:lnTo>
                  <a:pt x="629" y="535"/>
                </a:lnTo>
                <a:lnTo>
                  <a:pt x="668" y="574"/>
                </a:lnTo>
                <a:lnTo>
                  <a:pt x="668" y="121"/>
                </a:lnTo>
                <a:lnTo>
                  <a:pt x="660" y="110"/>
                </a:lnTo>
                <a:lnTo>
                  <a:pt x="648" y="74"/>
                </a:lnTo>
                <a:lnTo>
                  <a:pt x="648" y="64"/>
                </a:lnTo>
                <a:lnTo>
                  <a:pt x="629" y="46"/>
                </a:lnTo>
                <a:lnTo>
                  <a:pt x="555" y="27"/>
                </a:lnTo>
                <a:lnTo>
                  <a:pt x="546" y="19"/>
                </a:lnTo>
                <a:lnTo>
                  <a:pt x="546" y="6"/>
                </a:lnTo>
                <a:lnTo>
                  <a:pt x="555" y="0"/>
                </a:lnTo>
                <a:lnTo>
                  <a:pt x="829" y="0"/>
                </a:lnTo>
                <a:lnTo>
                  <a:pt x="838" y="6"/>
                </a:lnTo>
                <a:lnTo>
                  <a:pt x="838" y="19"/>
                </a:lnTo>
                <a:lnTo>
                  <a:pt x="829" y="27"/>
                </a:lnTo>
                <a:lnTo>
                  <a:pt x="810" y="27"/>
                </a:lnTo>
                <a:lnTo>
                  <a:pt x="782" y="37"/>
                </a:lnTo>
                <a:lnTo>
                  <a:pt x="742" y="74"/>
                </a:lnTo>
                <a:lnTo>
                  <a:pt x="736" y="103"/>
                </a:lnTo>
                <a:lnTo>
                  <a:pt x="736" y="810"/>
                </a:lnTo>
                <a:lnTo>
                  <a:pt x="724" y="818"/>
                </a:lnTo>
                <a:lnTo>
                  <a:pt x="704" y="818"/>
                </a:lnTo>
                <a:lnTo>
                  <a:pt x="668" y="784"/>
                </a:lnTo>
                <a:lnTo>
                  <a:pt x="320" y="338"/>
                </a:lnTo>
                <a:lnTo>
                  <a:pt x="282" y="301"/>
                </a:lnTo>
                <a:lnTo>
                  <a:pt x="206" y="205"/>
                </a:lnTo>
                <a:lnTo>
                  <a:pt x="206" y="197"/>
                </a:lnTo>
                <a:lnTo>
                  <a:pt x="179" y="168"/>
                </a:lnTo>
                <a:lnTo>
                  <a:pt x="179" y="708"/>
                </a:lnTo>
                <a:lnTo>
                  <a:pt x="187" y="716"/>
                </a:lnTo>
                <a:lnTo>
                  <a:pt x="198" y="745"/>
                </a:lnTo>
                <a:lnTo>
                  <a:pt x="198" y="752"/>
                </a:lnTo>
                <a:lnTo>
                  <a:pt x="206" y="765"/>
                </a:lnTo>
                <a:lnTo>
                  <a:pt x="226" y="774"/>
                </a:lnTo>
                <a:lnTo>
                  <a:pt x="253" y="784"/>
                </a:lnTo>
                <a:lnTo>
                  <a:pt x="282" y="784"/>
                </a:lnTo>
                <a:lnTo>
                  <a:pt x="292" y="792"/>
                </a:lnTo>
                <a:lnTo>
                  <a:pt x="292" y="802"/>
                </a:lnTo>
                <a:lnTo>
                  <a:pt x="282" y="810"/>
                </a:lnTo>
                <a:lnTo>
                  <a:pt x="9" y="810"/>
                </a:lnTo>
                <a:lnTo>
                  <a:pt x="0" y="802"/>
                </a:lnTo>
                <a:lnTo>
                  <a:pt x="0" y="792"/>
                </a:lnTo>
                <a:lnTo>
                  <a:pt x="9" y="784"/>
                </a:lnTo>
                <a:lnTo>
                  <a:pt x="83" y="765"/>
                </a:lnTo>
                <a:lnTo>
                  <a:pt x="92" y="752"/>
                </a:lnTo>
                <a:lnTo>
                  <a:pt x="104" y="734"/>
                </a:lnTo>
                <a:lnTo>
                  <a:pt x="111" y="708"/>
                </a:lnTo>
                <a:lnTo>
                  <a:pt x="111" y="92"/>
                </a:lnTo>
                <a:lnTo>
                  <a:pt x="56" y="37"/>
                </a:lnTo>
                <a:lnTo>
                  <a:pt x="45" y="37"/>
                </a:lnTo>
                <a:lnTo>
                  <a:pt x="9" y="27"/>
                </a:lnTo>
                <a:lnTo>
                  <a:pt x="0" y="19"/>
                </a:lnTo>
                <a:lnTo>
                  <a:pt x="0" y="6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9" name="Freeform 39"/>
          <xdr:cNvSpPr>
            <a:spLocks/>
          </xdr:cNvSpPr>
        </xdr:nvSpPr>
        <xdr:spPr>
          <a:xfrm>
            <a:off x="4731" y="6584"/>
            <a:ext cx="455" cy="481"/>
          </a:xfrm>
          <a:custGeom>
            <a:pathLst>
              <a:path h="851" w="803">
                <a:moveTo>
                  <a:pt x="343" y="56"/>
                </a:moveTo>
                <a:lnTo>
                  <a:pt x="284" y="83"/>
                </a:lnTo>
                <a:lnTo>
                  <a:pt x="216" y="148"/>
                </a:lnTo>
                <a:lnTo>
                  <a:pt x="188" y="216"/>
                </a:lnTo>
                <a:lnTo>
                  <a:pt x="153" y="347"/>
                </a:lnTo>
                <a:lnTo>
                  <a:pt x="153" y="500"/>
                </a:lnTo>
                <a:lnTo>
                  <a:pt x="162" y="554"/>
                </a:lnTo>
                <a:lnTo>
                  <a:pt x="188" y="652"/>
                </a:lnTo>
                <a:lnTo>
                  <a:pt x="209" y="688"/>
                </a:lnTo>
                <a:lnTo>
                  <a:pt x="236" y="727"/>
                </a:lnTo>
                <a:lnTo>
                  <a:pt x="244" y="735"/>
                </a:lnTo>
                <a:lnTo>
                  <a:pt x="294" y="764"/>
                </a:lnTo>
                <a:lnTo>
                  <a:pt x="378" y="803"/>
                </a:lnTo>
                <a:lnTo>
                  <a:pt x="436" y="803"/>
                </a:lnTo>
                <a:lnTo>
                  <a:pt x="472" y="793"/>
                </a:lnTo>
                <a:lnTo>
                  <a:pt x="511" y="771"/>
                </a:lnTo>
                <a:lnTo>
                  <a:pt x="539" y="753"/>
                </a:lnTo>
                <a:lnTo>
                  <a:pt x="586" y="706"/>
                </a:lnTo>
                <a:lnTo>
                  <a:pt x="606" y="680"/>
                </a:lnTo>
                <a:lnTo>
                  <a:pt x="653" y="510"/>
                </a:lnTo>
                <a:lnTo>
                  <a:pt x="653" y="347"/>
                </a:lnTo>
                <a:lnTo>
                  <a:pt x="642" y="281"/>
                </a:lnTo>
                <a:lnTo>
                  <a:pt x="624" y="216"/>
                </a:lnTo>
                <a:lnTo>
                  <a:pt x="595" y="158"/>
                </a:lnTo>
                <a:lnTo>
                  <a:pt x="577" y="129"/>
                </a:lnTo>
                <a:lnTo>
                  <a:pt x="559" y="111"/>
                </a:lnTo>
                <a:lnTo>
                  <a:pt x="520" y="83"/>
                </a:lnTo>
                <a:lnTo>
                  <a:pt x="425" y="46"/>
                </a:lnTo>
                <a:lnTo>
                  <a:pt x="378" y="46"/>
                </a:lnTo>
                <a:lnTo>
                  <a:pt x="343" y="56"/>
                </a:lnTo>
                <a:close/>
                <a:moveTo>
                  <a:pt x="343" y="56"/>
                </a:moveTo>
                <a:lnTo>
                  <a:pt x="358" y="0"/>
                </a:lnTo>
                <a:lnTo>
                  <a:pt x="444" y="0"/>
                </a:lnTo>
                <a:lnTo>
                  <a:pt x="595" y="46"/>
                </a:lnTo>
                <a:lnTo>
                  <a:pt x="614" y="65"/>
                </a:lnTo>
                <a:lnTo>
                  <a:pt x="642" y="83"/>
                </a:lnTo>
                <a:lnTo>
                  <a:pt x="653" y="83"/>
                </a:lnTo>
                <a:lnTo>
                  <a:pt x="720" y="148"/>
                </a:lnTo>
                <a:lnTo>
                  <a:pt x="755" y="206"/>
                </a:lnTo>
                <a:lnTo>
                  <a:pt x="783" y="271"/>
                </a:lnTo>
                <a:lnTo>
                  <a:pt x="802" y="358"/>
                </a:lnTo>
                <a:lnTo>
                  <a:pt x="802" y="500"/>
                </a:lnTo>
                <a:lnTo>
                  <a:pt x="747" y="662"/>
                </a:lnTo>
                <a:lnTo>
                  <a:pt x="727" y="688"/>
                </a:lnTo>
                <a:lnTo>
                  <a:pt x="642" y="771"/>
                </a:lnTo>
                <a:lnTo>
                  <a:pt x="614" y="793"/>
                </a:lnTo>
                <a:lnTo>
                  <a:pt x="559" y="821"/>
                </a:lnTo>
                <a:lnTo>
                  <a:pt x="500" y="837"/>
                </a:lnTo>
                <a:lnTo>
                  <a:pt x="444" y="850"/>
                </a:lnTo>
                <a:lnTo>
                  <a:pt x="358" y="850"/>
                </a:lnTo>
                <a:lnTo>
                  <a:pt x="188" y="793"/>
                </a:lnTo>
                <a:lnTo>
                  <a:pt x="162" y="771"/>
                </a:lnTo>
                <a:lnTo>
                  <a:pt x="74" y="688"/>
                </a:lnTo>
                <a:lnTo>
                  <a:pt x="56" y="662"/>
                </a:lnTo>
                <a:lnTo>
                  <a:pt x="19" y="575"/>
                </a:lnTo>
                <a:lnTo>
                  <a:pt x="0" y="489"/>
                </a:lnTo>
                <a:lnTo>
                  <a:pt x="0" y="358"/>
                </a:lnTo>
                <a:lnTo>
                  <a:pt x="38" y="245"/>
                </a:lnTo>
                <a:lnTo>
                  <a:pt x="94" y="140"/>
                </a:lnTo>
                <a:lnTo>
                  <a:pt x="153" y="83"/>
                </a:lnTo>
                <a:lnTo>
                  <a:pt x="162" y="83"/>
                </a:lnTo>
                <a:lnTo>
                  <a:pt x="188" y="65"/>
                </a:lnTo>
                <a:lnTo>
                  <a:pt x="209" y="46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0" name="Freeform 40"/>
          <xdr:cNvSpPr>
            <a:spLocks/>
          </xdr:cNvSpPr>
        </xdr:nvSpPr>
        <xdr:spPr>
          <a:xfrm>
            <a:off x="5385" y="6584"/>
            <a:ext cx="475" cy="469"/>
          </a:xfrm>
          <a:custGeom>
            <a:pathLst>
              <a:path h="829" w="841">
                <a:moveTo>
                  <a:pt x="385" y="196"/>
                </a:moveTo>
                <a:lnTo>
                  <a:pt x="254" y="499"/>
                </a:lnTo>
                <a:lnTo>
                  <a:pt x="254" y="509"/>
                </a:lnTo>
                <a:lnTo>
                  <a:pt x="517" y="509"/>
                </a:lnTo>
                <a:lnTo>
                  <a:pt x="517" y="499"/>
                </a:lnTo>
                <a:lnTo>
                  <a:pt x="385" y="196"/>
                </a:lnTo>
                <a:close/>
                <a:moveTo>
                  <a:pt x="385" y="196"/>
                </a:moveTo>
                <a:lnTo>
                  <a:pt x="403" y="0"/>
                </a:lnTo>
                <a:lnTo>
                  <a:pt x="423" y="0"/>
                </a:lnTo>
                <a:lnTo>
                  <a:pt x="435" y="5"/>
                </a:lnTo>
                <a:lnTo>
                  <a:pt x="604" y="396"/>
                </a:lnTo>
                <a:lnTo>
                  <a:pt x="754" y="744"/>
                </a:lnTo>
                <a:lnTo>
                  <a:pt x="801" y="792"/>
                </a:lnTo>
                <a:lnTo>
                  <a:pt x="829" y="792"/>
                </a:lnTo>
                <a:lnTo>
                  <a:pt x="840" y="802"/>
                </a:lnTo>
                <a:lnTo>
                  <a:pt x="840" y="820"/>
                </a:lnTo>
                <a:lnTo>
                  <a:pt x="829" y="828"/>
                </a:lnTo>
                <a:lnTo>
                  <a:pt x="537" y="828"/>
                </a:lnTo>
                <a:lnTo>
                  <a:pt x="526" y="820"/>
                </a:lnTo>
                <a:lnTo>
                  <a:pt x="526" y="802"/>
                </a:lnTo>
                <a:lnTo>
                  <a:pt x="537" y="792"/>
                </a:lnTo>
                <a:lnTo>
                  <a:pt x="584" y="792"/>
                </a:lnTo>
                <a:lnTo>
                  <a:pt x="604" y="783"/>
                </a:lnTo>
                <a:lnTo>
                  <a:pt x="612" y="763"/>
                </a:lnTo>
                <a:lnTo>
                  <a:pt x="612" y="744"/>
                </a:lnTo>
                <a:lnTo>
                  <a:pt x="604" y="734"/>
                </a:lnTo>
                <a:lnTo>
                  <a:pt x="545" y="574"/>
                </a:lnTo>
                <a:lnTo>
                  <a:pt x="537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8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0" y="661"/>
                </a:lnTo>
                <a:lnTo>
                  <a:pt x="395" y="5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1" name="Freeform 41"/>
          <xdr:cNvSpPr>
            <a:spLocks/>
          </xdr:cNvSpPr>
        </xdr:nvSpPr>
        <xdr:spPr>
          <a:xfrm>
            <a:off x="5877" y="6594"/>
            <a:ext cx="361" cy="459"/>
          </a:xfrm>
          <a:custGeom>
            <a:pathLst>
              <a:path h="812" w="640">
                <a:moveTo>
                  <a:pt x="234" y="65"/>
                </a:moveTo>
                <a:lnTo>
                  <a:pt x="234" y="404"/>
                </a:lnTo>
                <a:lnTo>
                  <a:pt x="355" y="404"/>
                </a:lnTo>
                <a:lnTo>
                  <a:pt x="430" y="379"/>
                </a:lnTo>
                <a:lnTo>
                  <a:pt x="477" y="329"/>
                </a:lnTo>
                <a:lnTo>
                  <a:pt x="489" y="311"/>
                </a:lnTo>
                <a:lnTo>
                  <a:pt x="497" y="272"/>
                </a:lnTo>
                <a:lnTo>
                  <a:pt x="497" y="188"/>
                </a:lnTo>
                <a:lnTo>
                  <a:pt x="489" y="179"/>
                </a:lnTo>
                <a:lnTo>
                  <a:pt x="477" y="140"/>
                </a:lnTo>
                <a:lnTo>
                  <a:pt x="477" y="129"/>
                </a:lnTo>
                <a:lnTo>
                  <a:pt x="422" y="75"/>
                </a:lnTo>
                <a:lnTo>
                  <a:pt x="335" y="47"/>
                </a:lnTo>
                <a:lnTo>
                  <a:pt x="253" y="47"/>
                </a:lnTo>
                <a:lnTo>
                  <a:pt x="234" y="65"/>
                </a:lnTo>
                <a:close/>
                <a:moveTo>
                  <a:pt x="234" y="65"/>
                </a:moveTo>
                <a:lnTo>
                  <a:pt x="6" y="0"/>
                </a:lnTo>
                <a:lnTo>
                  <a:pt x="383" y="0"/>
                </a:lnTo>
                <a:lnTo>
                  <a:pt x="536" y="47"/>
                </a:lnTo>
                <a:lnTo>
                  <a:pt x="563" y="65"/>
                </a:lnTo>
                <a:lnTo>
                  <a:pt x="602" y="104"/>
                </a:lnTo>
                <a:lnTo>
                  <a:pt x="618" y="129"/>
                </a:lnTo>
                <a:lnTo>
                  <a:pt x="618" y="140"/>
                </a:lnTo>
                <a:lnTo>
                  <a:pt x="630" y="179"/>
                </a:lnTo>
                <a:lnTo>
                  <a:pt x="639" y="188"/>
                </a:lnTo>
                <a:lnTo>
                  <a:pt x="639" y="263"/>
                </a:lnTo>
                <a:lnTo>
                  <a:pt x="630" y="302"/>
                </a:lnTo>
                <a:lnTo>
                  <a:pt x="611" y="340"/>
                </a:lnTo>
                <a:lnTo>
                  <a:pt x="536" y="414"/>
                </a:lnTo>
                <a:lnTo>
                  <a:pt x="477" y="445"/>
                </a:lnTo>
                <a:lnTo>
                  <a:pt x="394" y="463"/>
                </a:lnTo>
                <a:lnTo>
                  <a:pt x="234" y="463"/>
                </a:lnTo>
                <a:lnTo>
                  <a:pt x="234" y="727"/>
                </a:lnTo>
                <a:lnTo>
                  <a:pt x="242" y="753"/>
                </a:lnTo>
                <a:lnTo>
                  <a:pt x="253" y="766"/>
                </a:lnTo>
                <a:lnTo>
                  <a:pt x="335" y="785"/>
                </a:lnTo>
                <a:lnTo>
                  <a:pt x="346" y="793"/>
                </a:lnTo>
                <a:lnTo>
                  <a:pt x="346" y="803"/>
                </a:lnTo>
                <a:lnTo>
                  <a:pt x="335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33" y="785"/>
                </a:lnTo>
                <a:lnTo>
                  <a:pt x="65" y="775"/>
                </a:lnTo>
                <a:lnTo>
                  <a:pt x="83" y="766"/>
                </a:lnTo>
                <a:lnTo>
                  <a:pt x="92" y="753"/>
                </a:lnTo>
                <a:lnTo>
                  <a:pt x="101" y="727"/>
                </a:lnTo>
                <a:lnTo>
                  <a:pt x="101" y="86"/>
                </a:lnTo>
                <a:lnTo>
                  <a:pt x="83" y="47"/>
                </a:lnTo>
                <a:lnTo>
                  <a:pt x="65" y="38"/>
                </a:lnTo>
                <a:lnTo>
                  <a:pt x="33" y="2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2" name="Freeform 42"/>
          <xdr:cNvSpPr>
            <a:spLocks/>
          </xdr:cNvSpPr>
        </xdr:nvSpPr>
        <xdr:spPr>
          <a:xfrm>
            <a:off x="6258" y="6594"/>
            <a:ext cx="399" cy="459"/>
          </a:xfrm>
          <a:custGeom>
            <a:pathLst>
              <a:path h="812" w="708">
                <a:moveTo>
                  <a:pt x="9" y="0"/>
                </a:moveTo>
                <a:lnTo>
                  <a:pt x="339" y="0"/>
                </a:lnTo>
                <a:lnTo>
                  <a:pt x="348" y="7"/>
                </a:lnTo>
                <a:lnTo>
                  <a:pt x="348" y="20"/>
                </a:lnTo>
                <a:lnTo>
                  <a:pt x="339" y="28"/>
                </a:lnTo>
                <a:lnTo>
                  <a:pt x="292" y="38"/>
                </a:lnTo>
                <a:lnTo>
                  <a:pt x="265" y="47"/>
                </a:lnTo>
                <a:lnTo>
                  <a:pt x="254" y="56"/>
                </a:lnTo>
                <a:lnTo>
                  <a:pt x="234" y="86"/>
                </a:lnTo>
                <a:lnTo>
                  <a:pt x="234" y="735"/>
                </a:lnTo>
                <a:lnTo>
                  <a:pt x="246" y="746"/>
                </a:lnTo>
                <a:lnTo>
                  <a:pt x="265" y="753"/>
                </a:lnTo>
                <a:lnTo>
                  <a:pt x="482" y="753"/>
                </a:lnTo>
                <a:lnTo>
                  <a:pt x="529" y="746"/>
                </a:lnTo>
                <a:lnTo>
                  <a:pt x="557" y="735"/>
                </a:lnTo>
                <a:lnTo>
                  <a:pt x="576" y="727"/>
                </a:lnTo>
                <a:lnTo>
                  <a:pt x="604" y="709"/>
                </a:lnTo>
                <a:lnTo>
                  <a:pt x="623" y="688"/>
                </a:lnTo>
                <a:lnTo>
                  <a:pt x="659" y="633"/>
                </a:lnTo>
                <a:lnTo>
                  <a:pt x="659" y="625"/>
                </a:lnTo>
                <a:lnTo>
                  <a:pt x="670" y="605"/>
                </a:lnTo>
                <a:lnTo>
                  <a:pt x="679" y="594"/>
                </a:lnTo>
                <a:lnTo>
                  <a:pt x="698" y="594"/>
                </a:lnTo>
                <a:lnTo>
                  <a:pt x="707" y="605"/>
                </a:lnTo>
                <a:lnTo>
                  <a:pt x="707" y="633"/>
                </a:lnTo>
                <a:lnTo>
                  <a:pt x="698" y="662"/>
                </a:lnTo>
                <a:lnTo>
                  <a:pt x="659" y="803"/>
                </a:lnTo>
                <a:lnTo>
                  <a:pt x="651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9" y="28"/>
                </a:lnTo>
                <a:lnTo>
                  <a:pt x="0" y="20"/>
                </a:lnTo>
                <a:lnTo>
                  <a:pt x="0" y="7"/>
                </a:lnTo>
                <a:lnTo>
                  <a:pt x="9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3" name="Freeform 43"/>
          <xdr:cNvSpPr>
            <a:spLocks/>
          </xdr:cNvSpPr>
        </xdr:nvSpPr>
        <xdr:spPr>
          <a:xfrm>
            <a:off x="6678" y="6594"/>
            <a:ext cx="206" cy="459"/>
          </a:xfrm>
          <a:custGeom>
            <a:pathLst>
              <a:path h="812" w="365">
                <a:moveTo>
                  <a:pt x="6" y="0"/>
                </a:moveTo>
                <a:lnTo>
                  <a:pt x="357" y="0"/>
                </a:lnTo>
                <a:lnTo>
                  <a:pt x="364" y="7"/>
                </a:lnTo>
                <a:lnTo>
                  <a:pt x="364" y="20"/>
                </a:lnTo>
                <a:lnTo>
                  <a:pt x="357" y="28"/>
                </a:lnTo>
                <a:lnTo>
                  <a:pt x="309" y="38"/>
                </a:lnTo>
                <a:lnTo>
                  <a:pt x="282" y="47"/>
                </a:lnTo>
                <a:lnTo>
                  <a:pt x="270" y="56"/>
                </a:lnTo>
                <a:lnTo>
                  <a:pt x="251" y="86"/>
                </a:lnTo>
                <a:lnTo>
                  <a:pt x="251" y="727"/>
                </a:lnTo>
                <a:lnTo>
                  <a:pt x="270" y="766"/>
                </a:lnTo>
                <a:lnTo>
                  <a:pt x="290" y="775"/>
                </a:lnTo>
                <a:lnTo>
                  <a:pt x="317" y="785"/>
                </a:lnTo>
                <a:lnTo>
                  <a:pt x="357" y="785"/>
                </a:lnTo>
                <a:lnTo>
                  <a:pt x="364" y="793"/>
                </a:lnTo>
                <a:lnTo>
                  <a:pt x="364" y="803"/>
                </a:lnTo>
                <a:lnTo>
                  <a:pt x="357" y="811"/>
                </a:lnTo>
                <a:lnTo>
                  <a:pt x="6" y="811"/>
                </a:lnTo>
                <a:lnTo>
                  <a:pt x="0" y="803"/>
                </a:lnTo>
                <a:lnTo>
                  <a:pt x="0" y="793"/>
                </a:lnTo>
                <a:lnTo>
                  <a:pt x="6" y="785"/>
                </a:lnTo>
                <a:lnTo>
                  <a:pt x="62" y="775"/>
                </a:lnTo>
                <a:lnTo>
                  <a:pt x="92" y="766"/>
                </a:lnTo>
                <a:lnTo>
                  <a:pt x="101" y="753"/>
                </a:lnTo>
                <a:lnTo>
                  <a:pt x="121" y="727"/>
                </a:lnTo>
                <a:lnTo>
                  <a:pt x="121" y="86"/>
                </a:lnTo>
                <a:lnTo>
                  <a:pt x="109" y="65"/>
                </a:lnTo>
                <a:lnTo>
                  <a:pt x="82" y="38"/>
                </a:lnTo>
                <a:lnTo>
                  <a:pt x="53" y="38"/>
                </a:lnTo>
                <a:lnTo>
                  <a:pt x="6" y="28"/>
                </a:lnTo>
                <a:lnTo>
                  <a:pt x="0" y="20"/>
                </a:lnTo>
                <a:lnTo>
                  <a:pt x="0" y="7"/>
                </a:lnTo>
                <a:lnTo>
                  <a:pt x="6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4" name="Freeform 44"/>
          <xdr:cNvSpPr>
            <a:spLocks/>
          </xdr:cNvSpPr>
        </xdr:nvSpPr>
        <xdr:spPr>
          <a:xfrm>
            <a:off x="6918" y="6584"/>
            <a:ext cx="417" cy="481"/>
          </a:xfrm>
          <a:custGeom>
            <a:pathLst>
              <a:path h="851" w="736">
                <a:moveTo>
                  <a:pt x="366" y="0"/>
                </a:moveTo>
                <a:lnTo>
                  <a:pt x="451" y="0"/>
                </a:lnTo>
                <a:lnTo>
                  <a:pt x="593" y="38"/>
                </a:lnTo>
                <a:lnTo>
                  <a:pt x="649" y="38"/>
                </a:lnTo>
                <a:lnTo>
                  <a:pt x="668" y="17"/>
                </a:lnTo>
                <a:lnTo>
                  <a:pt x="668" y="6"/>
                </a:lnTo>
                <a:lnTo>
                  <a:pt x="679" y="0"/>
                </a:lnTo>
                <a:lnTo>
                  <a:pt x="696" y="0"/>
                </a:lnTo>
                <a:lnTo>
                  <a:pt x="706" y="6"/>
                </a:lnTo>
                <a:lnTo>
                  <a:pt x="715" y="83"/>
                </a:lnTo>
                <a:lnTo>
                  <a:pt x="715" y="271"/>
                </a:lnTo>
                <a:lnTo>
                  <a:pt x="706" y="281"/>
                </a:lnTo>
                <a:lnTo>
                  <a:pt x="688" y="281"/>
                </a:lnTo>
                <a:lnTo>
                  <a:pt x="679" y="271"/>
                </a:lnTo>
                <a:lnTo>
                  <a:pt x="679" y="256"/>
                </a:lnTo>
                <a:lnTo>
                  <a:pt x="649" y="187"/>
                </a:lnTo>
                <a:lnTo>
                  <a:pt x="632" y="158"/>
                </a:lnTo>
                <a:lnTo>
                  <a:pt x="574" y="104"/>
                </a:lnTo>
                <a:lnTo>
                  <a:pt x="546" y="83"/>
                </a:lnTo>
                <a:lnTo>
                  <a:pt x="526" y="74"/>
                </a:lnTo>
                <a:lnTo>
                  <a:pt x="460" y="56"/>
                </a:lnTo>
                <a:lnTo>
                  <a:pt x="395" y="56"/>
                </a:lnTo>
                <a:lnTo>
                  <a:pt x="270" y="104"/>
                </a:lnTo>
                <a:lnTo>
                  <a:pt x="215" y="158"/>
                </a:lnTo>
                <a:lnTo>
                  <a:pt x="206" y="179"/>
                </a:lnTo>
                <a:lnTo>
                  <a:pt x="149" y="347"/>
                </a:lnTo>
                <a:lnTo>
                  <a:pt x="149" y="500"/>
                </a:lnTo>
                <a:lnTo>
                  <a:pt x="157" y="554"/>
                </a:lnTo>
                <a:lnTo>
                  <a:pt x="188" y="643"/>
                </a:lnTo>
                <a:lnTo>
                  <a:pt x="196" y="662"/>
                </a:lnTo>
                <a:lnTo>
                  <a:pt x="215" y="688"/>
                </a:lnTo>
                <a:lnTo>
                  <a:pt x="254" y="727"/>
                </a:lnTo>
                <a:lnTo>
                  <a:pt x="282" y="745"/>
                </a:lnTo>
                <a:lnTo>
                  <a:pt x="318" y="764"/>
                </a:lnTo>
                <a:lnTo>
                  <a:pt x="348" y="771"/>
                </a:lnTo>
                <a:lnTo>
                  <a:pt x="395" y="784"/>
                </a:lnTo>
                <a:lnTo>
                  <a:pt x="478" y="784"/>
                </a:lnTo>
                <a:lnTo>
                  <a:pt x="621" y="735"/>
                </a:lnTo>
                <a:lnTo>
                  <a:pt x="659" y="706"/>
                </a:lnTo>
                <a:lnTo>
                  <a:pt x="706" y="662"/>
                </a:lnTo>
                <a:lnTo>
                  <a:pt x="735" y="688"/>
                </a:lnTo>
                <a:lnTo>
                  <a:pt x="715" y="716"/>
                </a:lnTo>
                <a:lnTo>
                  <a:pt x="688" y="745"/>
                </a:lnTo>
                <a:lnTo>
                  <a:pt x="621" y="793"/>
                </a:lnTo>
                <a:lnTo>
                  <a:pt x="565" y="821"/>
                </a:lnTo>
                <a:lnTo>
                  <a:pt x="537" y="829"/>
                </a:lnTo>
                <a:lnTo>
                  <a:pt x="451" y="850"/>
                </a:lnTo>
                <a:lnTo>
                  <a:pt x="357" y="850"/>
                </a:lnTo>
                <a:lnTo>
                  <a:pt x="235" y="811"/>
                </a:lnTo>
                <a:lnTo>
                  <a:pt x="167" y="784"/>
                </a:lnTo>
                <a:lnTo>
                  <a:pt x="129" y="753"/>
                </a:lnTo>
                <a:lnTo>
                  <a:pt x="82" y="706"/>
                </a:lnTo>
                <a:lnTo>
                  <a:pt x="45" y="652"/>
                </a:lnTo>
                <a:lnTo>
                  <a:pt x="15" y="586"/>
                </a:lnTo>
                <a:lnTo>
                  <a:pt x="0" y="500"/>
                </a:lnTo>
                <a:lnTo>
                  <a:pt x="0" y="365"/>
                </a:lnTo>
                <a:lnTo>
                  <a:pt x="54" y="197"/>
                </a:lnTo>
                <a:lnTo>
                  <a:pt x="73" y="169"/>
                </a:lnTo>
                <a:lnTo>
                  <a:pt x="157" y="83"/>
                </a:lnTo>
                <a:lnTo>
                  <a:pt x="167" y="83"/>
                </a:lnTo>
                <a:lnTo>
                  <a:pt x="196" y="65"/>
                </a:lnTo>
                <a:lnTo>
                  <a:pt x="215" y="46"/>
                </a:lnTo>
                <a:lnTo>
                  <a:pt x="366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5" name="Freeform 45"/>
          <xdr:cNvSpPr>
            <a:spLocks/>
          </xdr:cNvSpPr>
        </xdr:nvSpPr>
        <xdr:spPr>
          <a:xfrm>
            <a:off x="7362" y="6584"/>
            <a:ext cx="475" cy="469"/>
          </a:xfrm>
          <a:custGeom>
            <a:pathLst>
              <a:path h="829" w="839">
                <a:moveTo>
                  <a:pt x="384" y="196"/>
                </a:moveTo>
                <a:lnTo>
                  <a:pt x="253" y="499"/>
                </a:lnTo>
                <a:lnTo>
                  <a:pt x="253" y="509"/>
                </a:lnTo>
                <a:lnTo>
                  <a:pt x="515" y="509"/>
                </a:lnTo>
                <a:lnTo>
                  <a:pt x="515" y="499"/>
                </a:lnTo>
                <a:lnTo>
                  <a:pt x="384" y="196"/>
                </a:lnTo>
                <a:close/>
                <a:moveTo>
                  <a:pt x="384" y="196"/>
                </a:moveTo>
                <a:lnTo>
                  <a:pt x="404" y="0"/>
                </a:lnTo>
                <a:lnTo>
                  <a:pt x="421" y="0"/>
                </a:lnTo>
                <a:lnTo>
                  <a:pt x="429" y="5"/>
                </a:lnTo>
                <a:lnTo>
                  <a:pt x="602" y="396"/>
                </a:lnTo>
                <a:lnTo>
                  <a:pt x="752" y="744"/>
                </a:lnTo>
                <a:lnTo>
                  <a:pt x="799" y="792"/>
                </a:lnTo>
                <a:lnTo>
                  <a:pt x="827" y="792"/>
                </a:lnTo>
                <a:lnTo>
                  <a:pt x="838" y="802"/>
                </a:lnTo>
                <a:lnTo>
                  <a:pt x="838" y="820"/>
                </a:lnTo>
                <a:lnTo>
                  <a:pt x="827" y="828"/>
                </a:lnTo>
                <a:lnTo>
                  <a:pt x="535" y="828"/>
                </a:lnTo>
                <a:lnTo>
                  <a:pt x="524" y="820"/>
                </a:lnTo>
                <a:lnTo>
                  <a:pt x="524" y="802"/>
                </a:lnTo>
                <a:lnTo>
                  <a:pt x="535" y="792"/>
                </a:lnTo>
                <a:lnTo>
                  <a:pt x="582" y="792"/>
                </a:lnTo>
                <a:lnTo>
                  <a:pt x="602" y="783"/>
                </a:lnTo>
                <a:lnTo>
                  <a:pt x="610" y="763"/>
                </a:lnTo>
                <a:lnTo>
                  <a:pt x="610" y="744"/>
                </a:lnTo>
                <a:lnTo>
                  <a:pt x="602" y="734"/>
                </a:lnTo>
                <a:lnTo>
                  <a:pt x="543" y="574"/>
                </a:lnTo>
                <a:lnTo>
                  <a:pt x="535" y="563"/>
                </a:lnTo>
                <a:lnTo>
                  <a:pt x="226" y="563"/>
                </a:lnTo>
                <a:lnTo>
                  <a:pt x="168" y="715"/>
                </a:lnTo>
                <a:lnTo>
                  <a:pt x="168" y="770"/>
                </a:lnTo>
                <a:lnTo>
                  <a:pt x="179" y="783"/>
                </a:lnTo>
                <a:lnTo>
                  <a:pt x="195" y="792"/>
                </a:lnTo>
                <a:lnTo>
                  <a:pt x="234" y="792"/>
                </a:lnTo>
                <a:lnTo>
                  <a:pt x="242" y="802"/>
                </a:lnTo>
                <a:lnTo>
                  <a:pt x="242" y="820"/>
                </a:lnTo>
                <a:lnTo>
                  <a:pt x="234" y="828"/>
                </a:lnTo>
                <a:lnTo>
                  <a:pt x="6" y="828"/>
                </a:lnTo>
                <a:lnTo>
                  <a:pt x="0" y="820"/>
                </a:lnTo>
                <a:lnTo>
                  <a:pt x="0" y="802"/>
                </a:lnTo>
                <a:lnTo>
                  <a:pt x="6" y="792"/>
                </a:lnTo>
                <a:lnTo>
                  <a:pt x="37" y="792"/>
                </a:lnTo>
                <a:lnTo>
                  <a:pt x="84" y="744"/>
                </a:lnTo>
                <a:lnTo>
                  <a:pt x="121" y="661"/>
                </a:lnTo>
                <a:lnTo>
                  <a:pt x="396" y="5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6" name="Freeform 46"/>
          <xdr:cNvSpPr>
            <a:spLocks/>
          </xdr:cNvSpPr>
        </xdr:nvSpPr>
        <xdr:spPr>
          <a:xfrm>
            <a:off x="7854" y="6594"/>
            <a:ext cx="402" cy="459"/>
          </a:xfrm>
          <a:custGeom>
            <a:pathLst>
              <a:path h="812" w="710">
                <a:moveTo>
                  <a:pt x="246" y="65"/>
                </a:moveTo>
                <a:lnTo>
                  <a:pt x="246" y="360"/>
                </a:lnTo>
                <a:lnTo>
                  <a:pt x="417" y="360"/>
                </a:lnTo>
                <a:lnTo>
                  <a:pt x="454" y="347"/>
                </a:lnTo>
                <a:lnTo>
                  <a:pt x="473" y="340"/>
                </a:lnTo>
                <a:lnTo>
                  <a:pt x="528" y="284"/>
                </a:lnTo>
                <a:lnTo>
                  <a:pt x="539" y="253"/>
                </a:lnTo>
                <a:lnTo>
                  <a:pt x="539" y="179"/>
                </a:lnTo>
                <a:lnTo>
                  <a:pt x="528" y="151"/>
                </a:lnTo>
                <a:lnTo>
                  <a:pt x="521" y="129"/>
                </a:lnTo>
                <a:lnTo>
                  <a:pt x="501" y="104"/>
                </a:lnTo>
                <a:lnTo>
                  <a:pt x="492" y="93"/>
                </a:lnTo>
                <a:lnTo>
                  <a:pt x="379" y="47"/>
                </a:lnTo>
                <a:lnTo>
                  <a:pt x="264" y="47"/>
                </a:lnTo>
                <a:lnTo>
                  <a:pt x="246" y="65"/>
                </a:lnTo>
                <a:close/>
                <a:moveTo>
                  <a:pt x="246" y="65"/>
                </a:moveTo>
                <a:lnTo>
                  <a:pt x="246" y="735"/>
                </a:lnTo>
                <a:lnTo>
                  <a:pt x="264" y="753"/>
                </a:lnTo>
                <a:lnTo>
                  <a:pt x="284" y="766"/>
                </a:lnTo>
                <a:lnTo>
                  <a:pt x="387" y="766"/>
                </a:lnTo>
                <a:lnTo>
                  <a:pt x="492" y="727"/>
                </a:lnTo>
                <a:lnTo>
                  <a:pt x="539" y="680"/>
                </a:lnTo>
                <a:lnTo>
                  <a:pt x="539" y="670"/>
                </a:lnTo>
                <a:lnTo>
                  <a:pt x="548" y="644"/>
                </a:lnTo>
                <a:lnTo>
                  <a:pt x="559" y="633"/>
                </a:lnTo>
                <a:lnTo>
                  <a:pt x="559" y="546"/>
                </a:lnTo>
                <a:lnTo>
                  <a:pt x="548" y="521"/>
                </a:lnTo>
                <a:lnTo>
                  <a:pt x="539" y="502"/>
                </a:lnTo>
                <a:lnTo>
                  <a:pt x="492" y="453"/>
                </a:lnTo>
                <a:lnTo>
                  <a:pt x="417" y="427"/>
                </a:lnTo>
                <a:lnTo>
                  <a:pt x="331" y="414"/>
                </a:lnTo>
                <a:lnTo>
                  <a:pt x="246" y="414"/>
                </a:lnTo>
                <a:close/>
                <a:moveTo>
                  <a:pt x="246" y="414"/>
                </a:moveTo>
                <a:lnTo>
                  <a:pt x="246" y="735"/>
                </a:lnTo>
                <a:lnTo>
                  <a:pt x="9" y="0"/>
                </a:lnTo>
                <a:lnTo>
                  <a:pt x="426" y="0"/>
                </a:lnTo>
                <a:lnTo>
                  <a:pt x="528" y="28"/>
                </a:lnTo>
                <a:lnTo>
                  <a:pt x="595" y="56"/>
                </a:lnTo>
                <a:lnTo>
                  <a:pt x="642" y="104"/>
                </a:lnTo>
                <a:lnTo>
                  <a:pt x="661" y="140"/>
                </a:lnTo>
                <a:lnTo>
                  <a:pt x="670" y="169"/>
                </a:lnTo>
                <a:lnTo>
                  <a:pt x="670" y="245"/>
                </a:lnTo>
                <a:lnTo>
                  <a:pt x="642" y="311"/>
                </a:lnTo>
                <a:lnTo>
                  <a:pt x="607" y="347"/>
                </a:lnTo>
                <a:lnTo>
                  <a:pt x="576" y="368"/>
                </a:lnTo>
                <a:lnTo>
                  <a:pt x="548" y="379"/>
                </a:lnTo>
                <a:lnTo>
                  <a:pt x="539" y="379"/>
                </a:lnTo>
                <a:lnTo>
                  <a:pt x="528" y="386"/>
                </a:lnTo>
                <a:lnTo>
                  <a:pt x="539" y="394"/>
                </a:lnTo>
                <a:lnTo>
                  <a:pt x="559" y="394"/>
                </a:lnTo>
                <a:lnTo>
                  <a:pt x="586" y="404"/>
                </a:lnTo>
                <a:lnTo>
                  <a:pt x="607" y="414"/>
                </a:lnTo>
                <a:lnTo>
                  <a:pt x="634" y="434"/>
                </a:lnTo>
                <a:lnTo>
                  <a:pt x="670" y="471"/>
                </a:lnTo>
                <a:lnTo>
                  <a:pt x="689" y="502"/>
                </a:lnTo>
                <a:lnTo>
                  <a:pt x="701" y="521"/>
                </a:lnTo>
                <a:lnTo>
                  <a:pt x="709" y="546"/>
                </a:lnTo>
                <a:lnTo>
                  <a:pt x="709" y="633"/>
                </a:lnTo>
                <a:lnTo>
                  <a:pt x="682" y="698"/>
                </a:lnTo>
                <a:lnTo>
                  <a:pt x="614" y="766"/>
                </a:lnTo>
                <a:lnTo>
                  <a:pt x="559" y="793"/>
                </a:lnTo>
                <a:lnTo>
                  <a:pt x="473" y="811"/>
                </a:lnTo>
                <a:lnTo>
                  <a:pt x="9" y="811"/>
                </a:lnTo>
                <a:lnTo>
                  <a:pt x="0" y="803"/>
                </a:lnTo>
                <a:lnTo>
                  <a:pt x="0" y="793"/>
                </a:lnTo>
                <a:lnTo>
                  <a:pt x="9" y="785"/>
                </a:lnTo>
                <a:lnTo>
                  <a:pt x="68" y="775"/>
                </a:lnTo>
                <a:lnTo>
                  <a:pt x="84" y="775"/>
                </a:lnTo>
                <a:lnTo>
                  <a:pt x="103" y="753"/>
                </a:lnTo>
                <a:lnTo>
                  <a:pt x="115" y="727"/>
                </a:lnTo>
                <a:lnTo>
                  <a:pt x="115" y="86"/>
                </a:lnTo>
                <a:lnTo>
                  <a:pt x="103" y="56"/>
                </a:lnTo>
                <a:lnTo>
                  <a:pt x="95" y="47"/>
                </a:lnTo>
                <a:lnTo>
                  <a:pt x="9" y="28"/>
                </a:lnTo>
                <a:lnTo>
                  <a:pt x="0" y="20"/>
                </a:lnTo>
                <a:close/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7" name="Freeform 47"/>
          <xdr:cNvSpPr>
            <a:spLocks/>
          </xdr:cNvSpPr>
        </xdr:nvSpPr>
        <xdr:spPr>
          <a:xfrm>
            <a:off x="8311" y="6594"/>
            <a:ext cx="399" cy="459"/>
          </a:xfrm>
          <a:custGeom>
            <a:pathLst>
              <a:path h="812" w="705">
                <a:moveTo>
                  <a:pt x="7" y="0"/>
                </a:moveTo>
                <a:lnTo>
                  <a:pt x="338" y="0"/>
                </a:lnTo>
                <a:lnTo>
                  <a:pt x="348" y="7"/>
                </a:lnTo>
                <a:lnTo>
                  <a:pt x="348" y="20"/>
                </a:lnTo>
                <a:lnTo>
                  <a:pt x="338" y="28"/>
                </a:lnTo>
                <a:lnTo>
                  <a:pt x="291" y="38"/>
                </a:lnTo>
                <a:lnTo>
                  <a:pt x="263" y="47"/>
                </a:lnTo>
                <a:lnTo>
                  <a:pt x="255" y="56"/>
                </a:lnTo>
                <a:lnTo>
                  <a:pt x="235" y="86"/>
                </a:lnTo>
                <a:lnTo>
                  <a:pt x="235" y="735"/>
                </a:lnTo>
                <a:lnTo>
                  <a:pt x="243" y="746"/>
                </a:lnTo>
                <a:lnTo>
                  <a:pt x="263" y="753"/>
                </a:lnTo>
                <a:lnTo>
                  <a:pt x="478" y="753"/>
                </a:lnTo>
                <a:lnTo>
                  <a:pt x="524" y="746"/>
                </a:lnTo>
                <a:lnTo>
                  <a:pt x="555" y="735"/>
                </a:lnTo>
                <a:lnTo>
                  <a:pt x="571" y="727"/>
                </a:lnTo>
                <a:lnTo>
                  <a:pt x="602" y="709"/>
                </a:lnTo>
                <a:lnTo>
                  <a:pt x="619" y="688"/>
                </a:lnTo>
                <a:lnTo>
                  <a:pt x="657" y="633"/>
                </a:lnTo>
                <a:lnTo>
                  <a:pt x="657" y="625"/>
                </a:lnTo>
                <a:lnTo>
                  <a:pt x="666" y="605"/>
                </a:lnTo>
                <a:lnTo>
                  <a:pt x="677" y="594"/>
                </a:lnTo>
                <a:lnTo>
                  <a:pt x="698" y="594"/>
                </a:lnTo>
                <a:lnTo>
                  <a:pt x="704" y="605"/>
                </a:lnTo>
                <a:lnTo>
                  <a:pt x="704" y="633"/>
                </a:lnTo>
                <a:lnTo>
                  <a:pt x="698" y="662"/>
                </a:lnTo>
                <a:lnTo>
                  <a:pt x="657" y="803"/>
                </a:lnTo>
                <a:lnTo>
                  <a:pt x="649" y="811"/>
                </a:lnTo>
                <a:lnTo>
                  <a:pt x="7" y="811"/>
                </a:lnTo>
                <a:lnTo>
                  <a:pt x="0" y="803"/>
                </a:lnTo>
                <a:lnTo>
                  <a:pt x="0" y="793"/>
                </a:lnTo>
                <a:lnTo>
                  <a:pt x="7" y="785"/>
                </a:lnTo>
                <a:lnTo>
                  <a:pt x="37" y="785"/>
                </a:lnTo>
                <a:lnTo>
                  <a:pt x="65" y="775"/>
                </a:lnTo>
                <a:lnTo>
                  <a:pt x="93" y="746"/>
                </a:lnTo>
                <a:lnTo>
                  <a:pt x="101" y="727"/>
                </a:lnTo>
                <a:lnTo>
                  <a:pt x="101" y="86"/>
                </a:lnTo>
                <a:lnTo>
                  <a:pt x="93" y="65"/>
                </a:lnTo>
                <a:lnTo>
                  <a:pt x="65" y="38"/>
                </a:lnTo>
                <a:lnTo>
                  <a:pt x="37" y="38"/>
                </a:lnTo>
                <a:lnTo>
                  <a:pt x="7" y="28"/>
                </a:lnTo>
                <a:lnTo>
                  <a:pt x="0" y="20"/>
                </a:lnTo>
                <a:lnTo>
                  <a:pt x="0" y="7"/>
                </a:lnTo>
                <a:lnTo>
                  <a:pt x="7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8" name="Freeform 48"/>
          <xdr:cNvSpPr>
            <a:spLocks/>
          </xdr:cNvSpPr>
        </xdr:nvSpPr>
        <xdr:spPr>
          <a:xfrm>
            <a:off x="8727" y="6594"/>
            <a:ext cx="399" cy="459"/>
          </a:xfrm>
          <a:custGeom>
            <a:pathLst>
              <a:path h="812" w="708">
                <a:moveTo>
                  <a:pt x="11" y="0"/>
                </a:moveTo>
                <a:lnTo>
                  <a:pt x="643" y="0"/>
                </a:lnTo>
                <a:lnTo>
                  <a:pt x="652" y="7"/>
                </a:lnTo>
                <a:lnTo>
                  <a:pt x="652" y="179"/>
                </a:lnTo>
                <a:lnTo>
                  <a:pt x="643" y="188"/>
                </a:lnTo>
                <a:lnTo>
                  <a:pt x="625" y="188"/>
                </a:lnTo>
                <a:lnTo>
                  <a:pt x="604" y="169"/>
                </a:lnTo>
                <a:lnTo>
                  <a:pt x="604" y="140"/>
                </a:lnTo>
                <a:lnTo>
                  <a:pt x="594" y="111"/>
                </a:lnTo>
                <a:lnTo>
                  <a:pt x="585" y="93"/>
                </a:lnTo>
                <a:lnTo>
                  <a:pt x="566" y="75"/>
                </a:lnTo>
                <a:lnTo>
                  <a:pt x="547" y="65"/>
                </a:lnTo>
                <a:lnTo>
                  <a:pt x="510" y="56"/>
                </a:lnTo>
                <a:lnTo>
                  <a:pt x="245" y="56"/>
                </a:lnTo>
                <a:lnTo>
                  <a:pt x="236" y="65"/>
                </a:lnTo>
                <a:lnTo>
                  <a:pt x="236" y="360"/>
                </a:lnTo>
                <a:lnTo>
                  <a:pt x="462" y="360"/>
                </a:lnTo>
                <a:lnTo>
                  <a:pt x="491" y="347"/>
                </a:lnTo>
                <a:lnTo>
                  <a:pt x="510" y="340"/>
                </a:lnTo>
                <a:lnTo>
                  <a:pt x="518" y="329"/>
                </a:lnTo>
                <a:lnTo>
                  <a:pt x="529" y="302"/>
                </a:lnTo>
                <a:lnTo>
                  <a:pt x="538" y="253"/>
                </a:lnTo>
                <a:lnTo>
                  <a:pt x="547" y="245"/>
                </a:lnTo>
                <a:lnTo>
                  <a:pt x="566" y="245"/>
                </a:lnTo>
                <a:lnTo>
                  <a:pt x="576" y="253"/>
                </a:lnTo>
                <a:lnTo>
                  <a:pt x="576" y="521"/>
                </a:lnTo>
                <a:lnTo>
                  <a:pt x="566" y="528"/>
                </a:lnTo>
                <a:lnTo>
                  <a:pt x="547" y="528"/>
                </a:lnTo>
                <a:lnTo>
                  <a:pt x="538" y="521"/>
                </a:lnTo>
                <a:lnTo>
                  <a:pt x="538" y="482"/>
                </a:lnTo>
                <a:lnTo>
                  <a:pt x="518" y="445"/>
                </a:lnTo>
                <a:lnTo>
                  <a:pt x="500" y="427"/>
                </a:lnTo>
                <a:lnTo>
                  <a:pt x="471" y="414"/>
                </a:lnTo>
                <a:lnTo>
                  <a:pt x="236" y="414"/>
                </a:lnTo>
                <a:lnTo>
                  <a:pt x="236" y="746"/>
                </a:lnTo>
                <a:lnTo>
                  <a:pt x="254" y="753"/>
                </a:lnTo>
                <a:lnTo>
                  <a:pt x="301" y="766"/>
                </a:lnTo>
                <a:lnTo>
                  <a:pt x="471" y="766"/>
                </a:lnTo>
                <a:lnTo>
                  <a:pt x="566" y="735"/>
                </a:lnTo>
                <a:lnTo>
                  <a:pt x="594" y="717"/>
                </a:lnTo>
                <a:lnTo>
                  <a:pt x="625" y="688"/>
                </a:lnTo>
                <a:lnTo>
                  <a:pt x="643" y="662"/>
                </a:lnTo>
                <a:lnTo>
                  <a:pt x="660" y="625"/>
                </a:lnTo>
                <a:lnTo>
                  <a:pt x="660" y="612"/>
                </a:lnTo>
                <a:lnTo>
                  <a:pt x="680" y="594"/>
                </a:lnTo>
                <a:lnTo>
                  <a:pt x="699" y="594"/>
                </a:lnTo>
                <a:lnTo>
                  <a:pt x="707" y="605"/>
                </a:lnTo>
                <a:lnTo>
                  <a:pt x="707" y="633"/>
                </a:lnTo>
                <a:lnTo>
                  <a:pt x="660" y="803"/>
                </a:lnTo>
                <a:lnTo>
                  <a:pt x="652" y="811"/>
                </a:lnTo>
                <a:lnTo>
                  <a:pt x="11" y="811"/>
                </a:lnTo>
                <a:lnTo>
                  <a:pt x="0" y="803"/>
                </a:lnTo>
                <a:lnTo>
                  <a:pt x="0" y="793"/>
                </a:lnTo>
                <a:lnTo>
                  <a:pt x="11" y="785"/>
                </a:lnTo>
                <a:lnTo>
                  <a:pt x="38" y="785"/>
                </a:lnTo>
                <a:lnTo>
                  <a:pt x="66" y="775"/>
                </a:lnTo>
                <a:lnTo>
                  <a:pt x="93" y="746"/>
                </a:lnTo>
                <a:lnTo>
                  <a:pt x="104" y="727"/>
                </a:lnTo>
                <a:lnTo>
                  <a:pt x="104" y="86"/>
                </a:lnTo>
                <a:lnTo>
                  <a:pt x="93" y="65"/>
                </a:lnTo>
                <a:lnTo>
                  <a:pt x="66" y="38"/>
                </a:lnTo>
                <a:lnTo>
                  <a:pt x="38" y="38"/>
                </a:lnTo>
                <a:lnTo>
                  <a:pt x="11" y="28"/>
                </a:lnTo>
                <a:lnTo>
                  <a:pt x="0" y="20"/>
                </a:lnTo>
                <a:lnTo>
                  <a:pt x="0" y="7"/>
                </a:lnTo>
                <a:lnTo>
                  <a:pt x="11" y="0"/>
                </a:lnTo>
              </a:path>
            </a:pathLst>
          </a:custGeom>
          <a:solidFill>
            <a:srgbClr val="FFFFFF"/>
          </a:solidFill>
          <a:ln w="126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5</xdr:col>
      <xdr:colOff>0</xdr:colOff>
      <xdr:row>1</xdr:row>
      <xdr:rowOff>0</xdr:rowOff>
    </xdr:from>
    <xdr:to>
      <xdr:col>5</xdr:col>
      <xdr:colOff>885825</xdr:colOff>
      <xdr:row>4</xdr:row>
      <xdr:rowOff>104775</xdr:rowOff>
    </xdr:to>
    <xdr:pic>
      <xdr:nvPicPr>
        <xdr:cNvPr id="49" name="49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34050" y="161925"/>
          <a:ext cx="88582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uarios\Gloria%20Flecha\GAS%20CORONA%20CNV\Gas%20Corona\Comisi&#243;n%20Nacional%20de%20Valores\2019\INFORME%2031%2003%202019\3.%20Anexos%20ABCDEFGH%20AL%2031.03.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o A"/>
      <sheetName val="Anexo B"/>
      <sheetName val="Anexo C"/>
      <sheetName val="Anexo D"/>
      <sheetName val="Anexo E"/>
      <sheetName val="Anexo F"/>
      <sheetName val="Anexo G"/>
      <sheetName val="Anexo H"/>
      <sheetName val="Anexo I"/>
      <sheetName val="Anexo J"/>
      <sheetName val="Personas Vinculadas"/>
    </sheetNames>
    <sheetDataSet>
      <sheetData sheetId="1">
        <row r="30">
          <cell r="B30" t="str">
            <v>Sra. Luisa I. Schaerer de Pallarés </v>
          </cell>
          <cell r="D30" t="str">
            <v>Lic. María Celeste Pallarés Viveros </v>
          </cell>
          <cell r="G30" t="str">
            <v>Dr. Raul Fernando Vargas</v>
          </cell>
        </row>
      </sheetData>
      <sheetData sheetId="2">
        <row r="3">
          <cell r="A3" t="str">
            <v>BALANCE GENERAL</v>
          </cell>
        </row>
        <row r="40">
          <cell r="A40" t="str">
            <v>Sra. Luisa I. Schaerer de Pallarés </v>
          </cell>
          <cell r="C40" t="str">
            <v>Lic. María Celeste Pallarés Viveros </v>
          </cell>
          <cell r="G40" t="str">
            <v>Dr. Raul Fernando Vargas</v>
          </cell>
        </row>
      </sheetData>
      <sheetData sheetId="3">
        <row r="4">
          <cell r="A4" t="str">
            <v>BALANCE GENERAL</v>
          </cell>
        </row>
        <row r="34">
          <cell r="A34" t="str">
            <v>Sra. Luisa I. Schaerer de Pallarés </v>
          </cell>
        </row>
        <row r="40">
          <cell r="A40" t="str">
            <v>Dr. Raul Fernando Vargas</v>
          </cell>
        </row>
      </sheetData>
      <sheetData sheetId="4">
        <row r="4">
          <cell r="A4" t="str">
            <v>BALANCE GENERAL</v>
          </cell>
        </row>
        <row r="43">
          <cell r="B43" t="str">
            <v>Dr. Raul Fernando Vargas</v>
          </cell>
        </row>
      </sheetData>
      <sheetData sheetId="5">
        <row r="4">
          <cell r="A4" t="str">
            <v>BALANCE GENERAL</v>
          </cell>
        </row>
        <row r="56">
          <cell r="A56" t="str">
            <v>Dr. Raul Fernando Vargas</v>
          </cell>
        </row>
      </sheetData>
      <sheetData sheetId="6">
        <row r="3">
          <cell r="A3" t="str">
            <v>BALANCE GENERAL</v>
          </cell>
        </row>
        <row r="65">
          <cell r="A65" t="str">
            <v>Dr. Raul Fernando Vargas</v>
          </cell>
        </row>
      </sheetData>
      <sheetData sheetId="8">
        <row r="46">
          <cell r="B46" t="str">
            <v>Dr. Raul Fernando Vargas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K50"/>
  <sheetViews>
    <sheetView showGridLines="0" tabSelected="1" zoomScalePageLayoutView="0" workbookViewId="0" topLeftCell="A1">
      <selection activeCell="N48" sqref="N48"/>
    </sheetView>
  </sheetViews>
  <sheetFormatPr defaultColWidth="11.421875" defaultRowHeight="15"/>
  <cols>
    <col min="1" max="1" width="1.421875" style="0" customWidth="1"/>
    <col min="2" max="2" width="6.57421875" style="0" customWidth="1"/>
    <col min="3" max="3" width="8.140625" style="0" customWidth="1"/>
    <col min="4" max="4" width="12.28125" style="0" customWidth="1"/>
    <col min="5" max="5" width="6.7109375" style="0" customWidth="1"/>
    <col min="6" max="6" width="8.00390625" style="0" customWidth="1"/>
    <col min="7" max="7" width="7.421875" style="0" customWidth="1"/>
    <col min="8" max="8" width="7.140625" style="0" customWidth="1"/>
    <col min="9" max="9" width="5.57421875" style="0" customWidth="1"/>
  </cols>
  <sheetData>
    <row r="6" spans="2:11" ht="16.5">
      <c r="B6" s="884" t="s">
        <v>1105</v>
      </c>
      <c r="C6" s="884"/>
      <c r="D6" s="884"/>
      <c r="E6" s="884"/>
      <c r="F6" s="884"/>
      <c r="G6" s="884"/>
      <c r="H6" s="884"/>
      <c r="I6" s="884"/>
      <c r="J6" s="884"/>
      <c r="K6" s="884"/>
    </row>
    <row r="8" s="271" customFormat="1" ht="16.5">
      <c r="B8" s="145" t="s">
        <v>1098</v>
      </c>
    </row>
    <row r="9" s="271" customFormat="1" ht="16.5">
      <c r="B9" s="145" t="s">
        <v>1099</v>
      </c>
    </row>
    <row r="10" s="271" customFormat="1" ht="16.5">
      <c r="B10" s="145" t="s">
        <v>1048</v>
      </c>
    </row>
    <row r="11" s="271" customFormat="1" ht="16.5">
      <c r="B11" s="145" t="s">
        <v>1070</v>
      </c>
    </row>
    <row r="12" s="271" customFormat="1" ht="16.5">
      <c r="B12" s="145" t="s">
        <v>1072</v>
      </c>
    </row>
    <row r="13" s="271" customFormat="1" ht="16.5">
      <c r="B13" s="229" t="s">
        <v>1047</v>
      </c>
    </row>
    <row r="15" spans="2:11" ht="15">
      <c r="B15" s="885" t="s">
        <v>999</v>
      </c>
      <c r="C15" s="885"/>
      <c r="D15" s="885"/>
      <c r="E15" s="885"/>
      <c r="F15" s="885"/>
      <c r="G15" s="885"/>
      <c r="H15" s="885"/>
      <c r="I15" s="885"/>
      <c r="J15" s="885"/>
      <c r="K15" s="885"/>
    </row>
    <row r="16" ht="16.5">
      <c r="B16" s="229" t="s">
        <v>1000</v>
      </c>
    </row>
    <row r="18" ht="16.5">
      <c r="B18" s="145" t="s">
        <v>1068</v>
      </c>
    </row>
    <row r="19" ht="16.5">
      <c r="B19" s="229" t="s">
        <v>1100</v>
      </c>
    </row>
    <row r="20" ht="8.25" customHeight="1"/>
    <row r="21" spans="2:11" ht="15">
      <c r="B21" s="885" t="s">
        <v>1001</v>
      </c>
      <c r="C21" s="885"/>
      <c r="D21" s="885"/>
      <c r="E21" s="885"/>
      <c r="F21" s="885"/>
      <c r="G21" s="885"/>
      <c r="H21" s="885"/>
      <c r="I21" s="885"/>
      <c r="J21" s="885"/>
      <c r="K21" s="885"/>
    </row>
    <row r="22" ht="8.25" customHeight="1"/>
    <row r="23" ht="16.5">
      <c r="B23" s="145" t="s">
        <v>1003</v>
      </c>
    </row>
    <row r="24" ht="16.5">
      <c r="B24" s="229" t="s">
        <v>1002</v>
      </c>
    </row>
    <row r="25" ht="9" customHeight="1"/>
    <row r="26" ht="16.5">
      <c r="B26" s="145" t="s">
        <v>1004</v>
      </c>
    </row>
    <row r="27" ht="16.5">
      <c r="B27" s="145" t="s">
        <v>1069</v>
      </c>
    </row>
    <row r="28" ht="16.5">
      <c r="B28" s="145" t="s">
        <v>1101</v>
      </c>
    </row>
    <row r="29" ht="16.5">
      <c r="B29" s="229" t="s">
        <v>1005</v>
      </c>
    </row>
    <row r="30" ht="5.25" customHeight="1"/>
    <row r="31" ht="16.5">
      <c r="B31" s="145" t="s">
        <v>1006</v>
      </c>
    </row>
    <row r="32" ht="16.5">
      <c r="B32" s="145" t="s">
        <v>1007</v>
      </c>
    </row>
    <row r="33" ht="16.5">
      <c r="B33" s="145" t="s">
        <v>1008</v>
      </c>
    </row>
    <row r="34" ht="16.5">
      <c r="B34" s="145" t="s">
        <v>1009</v>
      </c>
    </row>
    <row r="35" ht="6.75" customHeight="1"/>
    <row r="36" ht="16.5">
      <c r="B36" s="229" t="s">
        <v>1102</v>
      </c>
    </row>
    <row r="42" spans="2:7" s="145" customFormat="1" ht="16.5">
      <c r="B42" s="759" t="s">
        <v>705</v>
      </c>
      <c r="D42" s="759"/>
      <c r="E42" s="759"/>
      <c r="G42" s="759" t="s">
        <v>1010</v>
      </c>
    </row>
    <row r="43" spans="2:8" s="145" customFormat="1" ht="16.5">
      <c r="B43" s="759" t="s">
        <v>1071</v>
      </c>
      <c r="F43" s="759"/>
      <c r="G43" s="759"/>
      <c r="H43" s="759" t="s">
        <v>978</v>
      </c>
    </row>
    <row r="44" s="145" customFormat="1" ht="16.5"/>
    <row r="45" s="145" customFormat="1" ht="16.5"/>
    <row r="46" s="145" customFormat="1" ht="16.5"/>
    <row r="47" s="145" customFormat="1" ht="16.5"/>
    <row r="48" spans="2:11" s="145" customFormat="1" ht="16.5">
      <c r="B48" s="886" t="s">
        <v>1011</v>
      </c>
      <c r="C48" s="886"/>
      <c r="D48" s="886"/>
      <c r="E48" s="886"/>
      <c r="F48" s="886"/>
      <c r="G48" s="886"/>
      <c r="H48" s="886"/>
      <c r="I48" s="886"/>
      <c r="J48" s="886"/>
      <c r="K48" s="886"/>
    </row>
    <row r="49" spans="2:11" s="145" customFormat="1" ht="16.5">
      <c r="B49" s="887" t="s">
        <v>682</v>
      </c>
      <c r="C49" s="887"/>
      <c r="D49" s="887"/>
      <c r="E49" s="887"/>
      <c r="F49" s="887"/>
      <c r="G49" s="887"/>
      <c r="H49" s="887"/>
      <c r="I49" s="887"/>
      <c r="J49" s="887"/>
      <c r="K49" s="887"/>
    </row>
    <row r="50" ht="15">
      <c r="K50" s="878">
        <v>1</v>
      </c>
    </row>
  </sheetData>
  <sheetProtection/>
  <mergeCells count="5">
    <mergeCell ref="B6:K6"/>
    <mergeCell ref="B15:K15"/>
    <mergeCell ref="B21:K21"/>
    <mergeCell ref="B48:K48"/>
    <mergeCell ref="B49:K49"/>
  </mergeCells>
  <printOptions/>
  <pageMargins left="0.787401574803149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44"/>
  <sheetViews>
    <sheetView showGridLines="0" zoomScalePageLayoutView="0" workbookViewId="0" topLeftCell="A1">
      <selection activeCell="G44" sqref="G44"/>
    </sheetView>
  </sheetViews>
  <sheetFormatPr defaultColWidth="11.421875" defaultRowHeight="15"/>
  <cols>
    <col min="1" max="1" width="20.421875" style="478" customWidth="1"/>
    <col min="2" max="2" width="14.57421875" style="478" customWidth="1"/>
    <col min="3" max="3" width="13.28125" style="478" customWidth="1"/>
    <col min="4" max="4" width="14.7109375" style="478" customWidth="1"/>
    <col min="5" max="5" width="13.8515625" style="478" customWidth="1"/>
    <col min="6" max="6" width="14.140625" style="478" customWidth="1"/>
    <col min="7" max="7" width="15.7109375" style="478" customWidth="1"/>
    <col min="8" max="9" width="11.421875" style="478" customWidth="1"/>
    <col min="10" max="10" width="12.00390625" style="478" bestFit="1" customWidth="1"/>
    <col min="11" max="16384" width="11.421875" style="478" customWidth="1"/>
  </cols>
  <sheetData>
    <row r="1" ht="12.75"/>
    <row r="2" spans="3:7" ht="21.75" customHeight="1">
      <c r="C2" s="963" t="s">
        <v>813</v>
      </c>
      <c r="D2" s="963"/>
      <c r="F2" s="963"/>
      <c r="G2" s="963"/>
    </row>
    <row r="3" ht="18.75">
      <c r="G3" s="605"/>
    </row>
    <row r="4" spans="1:7" ht="22.5">
      <c r="A4" s="965" t="str">
        <f>+'[1]Anexo D'!A4:F4</f>
        <v>BALANCE GENERAL</v>
      </c>
      <c r="B4" s="965"/>
      <c r="C4" s="965"/>
      <c r="D4" s="965"/>
      <c r="E4" s="965"/>
      <c r="F4" s="965"/>
      <c r="G4" s="965"/>
    </row>
    <row r="5" spans="1:7" ht="22.5">
      <c r="A5" s="965" t="s">
        <v>1149</v>
      </c>
      <c r="B5" s="965"/>
      <c r="C5" s="965"/>
      <c r="D5" s="965"/>
      <c r="E5" s="965"/>
      <c r="F5" s="965"/>
      <c r="G5" s="965"/>
    </row>
    <row r="6" spans="1:7" ht="20.25">
      <c r="A6" s="971" t="s">
        <v>562</v>
      </c>
      <c r="B6" s="971"/>
      <c r="C6" s="971"/>
      <c r="D6" s="971"/>
      <c r="E6" s="971"/>
      <c r="F6" s="971"/>
      <c r="G6" s="971"/>
    </row>
    <row r="8" spans="1:7" ht="22.5">
      <c r="A8" s="965" t="s">
        <v>814</v>
      </c>
      <c r="B8" s="965"/>
      <c r="C8" s="965"/>
      <c r="D8" s="965"/>
      <c r="E8" s="965"/>
      <c r="F8" s="965"/>
      <c r="G8" s="965"/>
    </row>
    <row r="12" spans="1:7" ht="12.75">
      <c r="A12" s="482"/>
      <c r="B12" s="482" t="s">
        <v>815</v>
      </c>
      <c r="C12" s="482"/>
      <c r="D12" s="482"/>
      <c r="E12" s="482"/>
      <c r="F12" s="482" t="s">
        <v>815</v>
      </c>
      <c r="G12" s="482" t="s">
        <v>816</v>
      </c>
    </row>
    <row r="13" spans="1:7" ht="12.75">
      <c r="A13" s="483"/>
      <c r="B13" s="483" t="s">
        <v>817</v>
      </c>
      <c r="C13" s="483"/>
      <c r="D13" s="483"/>
      <c r="E13" s="483"/>
      <c r="F13" s="483" t="s">
        <v>818</v>
      </c>
      <c r="G13" s="483" t="s">
        <v>818</v>
      </c>
    </row>
    <row r="14" spans="1:7" ht="12.75">
      <c r="A14" s="484" t="s">
        <v>819</v>
      </c>
      <c r="B14" s="484" t="s">
        <v>696</v>
      </c>
      <c r="C14" s="483" t="s">
        <v>820</v>
      </c>
      <c r="D14" s="483" t="s">
        <v>821</v>
      </c>
      <c r="E14" s="483" t="s">
        <v>822</v>
      </c>
      <c r="F14" s="484" t="s">
        <v>823</v>
      </c>
      <c r="G14" s="484" t="s">
        <v>824</v>
      </c>
    </row>
    <row r="15" spans="1:7" ht="12.75">
      <c r="A15" s="485"/>
      <c r="B15" s="485"/>
      <c r="C15" s="485"/>
      <c r="D15" s="485"/>
      <c r="E15" s="485"/>
      <c r="F15" s="485"/>
      <c r="G15" s="485"/>
    </row>
    <row r="16" spans="1:7" ht="12.75">
      <c r="A16" s="487" t="s">
        <v>825</v>
      </c>
      <c r="B16" s="487"/>
      <c r="C16" s="487"/>
      <c r="D16" s="487"/>
      <c r="E16" s="487"/>
      <c r="F16" s="487"/>
      <c r="G16" s="487"/>
    </row>
    <row r="17" spans="1:7" ht="12.75">
      <c r="A17" s="487" t="s">
        <v>826</v>
      </c>
      <c r="B17" s="606">
        <v>9272106014</v>
      </c>
      <c r="C17" s="606">
        <v>0</v>
      </c>
      <c r="D17" s="606">
        <v>0</v>
      </c>
      <c r="E17" s="606">
        <v>0</v>
      </c>
      <c r="F17" s="606">
        <f>B17+C17-D17-E17</f>
        <v>9272106014</v>
      </c>
      <c r="G17" s="490">
        <v>9272106014</v>
      </c>
    </row>
    <row r="18" spans="1:7" ht="12.75">
      <c r="A18" s="487"/>
      <c r="B18" s="606"/>
      <c r="C18" s="606"/>
      <c r="D18" s="606"/>
      <c r="E18" s="606"/>
      <c r="F18" s="606"/>
      <c r="G18" s="606"/>
    </row>
    <row r="19" spans="1:10" ht="12.75">
      <c r="A19" s="491"/>
      <c r="B19" s="491"/>
      <c r="C19" s="491"/>
      <c r="D19" s="491"/>
      <c r="E19" s="491"/>
      <c r="F19" s="491"/>
      <c r="G19" s="491"/>
      <c r="J19" s="607"/>
    </row>
    <row r="20" spans="1:10" ht="12.75">
      <c r="A20" s="485"/>
      <c r="B20" s="485"/>
      <c r="C20" s="485"/>
      <c r="D20" s="485"/>
      <c r="E20" s="485"/>
      <c r="F20" s="485"/>
      <c r="G20" s="485"/>
      <c r="J20" s="607"/>
    </row>
    <row r="21" spans="1:10" ht="12.75">
      <c r="A21" s="498" t="s">
        <v>754</v>
      </c>
      <c r="B21" s="608">
        <f aca="true" t="shared" si="0" ref="B21:G21">SUM(B17:B18)</f>
        <v>9272106014</v>
      </c>
      <c r="C21" s="608">
        <f t="shared" si="0"/>
        <v>0</v>
      </c>
      <c r="D21" s="608">
        <f t="shared" si="0"/>
        <v>0</v>
      </c>
      <c r="E21" s="608">
        <f t="shared" si="0"/>
        <v>0</v>
      </c>
      <c r="F21" s="608">
        <f t="shared" si="0"/>
        <v>9272106014</v>
      </c>
      <c r="G21" s="609">
        <f t="shared" si="0"/>
        <v>9272106014</v>
      </c>
      <c r="J21" s="558"/>
    </row>
    <row r="22" spans="1:10" ht="12.75">
      <c r="A22" s="485"/>
      <c r="B22" s="486"/>
      <c r="C22" s="486"/>
      <c r="D22" s="486"/>
      <c r="E22" s="486"/>
      <c r="F22" s="486"/>
      <c r="G22" s="610"/>
      <c r="J22" s="558"/>
    </row>
    <row r="23" spans="1:10" ht="12.75">
      <c r="A23" s="487" t="s">
        <v>827</v>
      </c>
      <c r="B23" s="606"/>
      <c r="C23" s="606"/>
      <c r="D23" s="606"/>
      <c r="E23" s="606"/>
      <c r="F23" s="606"/>
      <c r="G23" s="490"/>
      <c r="J23" s="558"/>
    </row>
    <row r="24" spans="1:10" ht="12.75">
      <c r="A24" s="487" t="s">
        <v>828</v>
      </c>
      <c r="B24" s="606">
        <v>1716629332</v>
      </c>
      <c r="C24" s="606">
        <v>137162310</v>
      </c>
      <c r="D24" s="606">
        <v>0</v>
      </c>
      <c r="E24" s="606">
        <v>0</v>
      </c>
      <c r="F24" s="606">
        <f>B24+C24+D24</f>
        <v>1853791642</v>
      </c>
      <c r="G24" s="490">
        <v>1716629332</v>
      </c>
      <c r="J24" s="611"/>
    </row>
    <row r="25" spans="1:7" ht="12.75">
      <c r="A25" s="487"/>
      <c r="B25" s="606"/>
      <c r="C25" s="606"/>
      <c r="D25" s="606"/>
      <c r="E25" s="606"/>
      <c r="F25" s="606"/>
      <c r="G25" s="490"/>
    </row>
    <row r="26" spans="1:7" ht="12.75">
      <c r="A26" s="491"/>
      <c r="B26" s="612"/>
      <c r="C26" s="612"/>
      <c r="D26" s="612"/>
      <c r="E26" s="612"/>
      <c r="F26" s="612"/>
      <c r="G26" s="492"/>
    </row>
    <row r="27" spans="1:7" ht="12.75">
      <c r="A27" s="485"/>
      <c r="B27" s="486"/>
      <c r="C27" s="486"/>
      <c r="D27" s="486"/>
      <c r="E27" s="486"/>
      <c r="F27" s="486"/>
      <c r="G27" s="610"/>
    </row>
    <row r="28" spans="1:7" ht="12.75">
      <c r="A28" s="498" t="s">
        <v>754</v>
      </c>
      <c r="B28" s="608">
        <f>B24</f>
        <v>1716629332</v>
      </c>
      <c r="C28" s="608">
        <f>C24</f>
        <v>137162310</v>
      </c>
      <c r="D28" s="608">
        <f>D24</f>
        <v>0</v>
      </c>
      <c r="E28" s="608"/>
      <c r="F28" s="608">
        <f>F24</f>
        <v>1853791642</v>
      </c>
      <c r="G28" s="613">
        <f>G24</f>
        <v>1716629332</v>
      </c>
    </row>
    <row r="31" ht="15.75">
      <c r="A31" s="521" t="s">
        <v>829</v>
      </c>
    </row>
    <row r="32" ht="15.75">
      <c r="A32" s="521"/>
    </row>
    <row r="33" ht="32.25" customHeight="1"/>
    <row r="34" ht="21.75" customHeight="1"/>
    <row r="36" spans="2:7" s="479" customFormat="1" ht="12.75">
      <c r="B36" s="517" t="str">
        <f>'[1]Anexo D'!A34</f>
        <v>Sra. Luisa I. Schaerer de Pallarés </v>
      </c>
      <c r="D36" s="614"/>
      <c r="E36" s="970" t="str">
        <f>'[1]Anexo C'!C40</f>
        <v>Lic. María Celeste Pallarés Viveros </v>
      </c>
      <c r="F36" s="970"/>
      <c r="G36" s="614"/>
    </row>
    <row r="37" spans="2:7" s="479" customFormat="1" ht="12.75">
      <c r="B37" s="517" t="s">
        <v>732</v>
      </c>
      <c r="D37" s="519"/>
      <c r="E37" s="969" t="s">
        <v>594</v>
      </c>
      <c r="F37" s="969"/>
      <c r="G37" s="519"/>
    </row>
    <row r="38" ht="24.75" customHeight="1"/>
    <row r="39" ht="24.75" customHeight="1"/>
    <row r="41" ht="27.75" customHeight="1"/>
    <row r="42" ht="27.75" customHeight="1"/>
    <row r="43" spans="2:6" ht="12.75">
      <c r="B43" s="517" t="str">
        <f>'[1]Anexo D'!A40</f>
        <v>Dr. Raul Fernando Vargas</v>
      </c>
      <c r="E43" s="969" t="s">
        <v>998</v>
      </c>
      <c r="F43" s="969"/>
    </row>
    <row r="44" spans="2:7" ht="12.75">
      <c r="B44" s="517" t="s">
        <v>734</v>
      </c>
      <c r="D44" s="519"/>
      <c r="E44" s="969" t="s">
        <v>683</v>
      </c>
      <c r="F44" s="969"/>
      <c r="G44" s="872">
        <v>33</v>
      </c>
    </row>
  </sheetData>
  <sheetProtection/>
  <mergeCells count="10">
    <mergeCell ref="E37:F37"/>
    <mergeCell ref="E43:F43"/>
    <mergeCell ref="E44:F44"/>
    <mergeCell ref="F2:G2"/>
    <mergeCell ref="A4:G4"/>
    <mergeCell ref="A5:G5"/>
    <mergeCell ref="A6:G6"/>
    <mergeCell ref="A8:G8"/>
    <mergeCell ref="E36:F36"/>
    <mergeCell ref="C2:D2"/>
  </mergeCells>
  <printOptions horizontalCentered="1"/>
  <pageMargins left="0.3937007874015748" right="0.5905511811023623" top="0.984251968503937" bottom="0.984251968503937" header="0" footer="0"/>
  <pageSetup fitToHeight="0" horizontalDpi="600" verticalDpi="600" orientation="portrait" paperSize="9" scale="8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J60"/>
  <sheetViews>
    <sheetView showGridLines="0" zoomScalePageLayoutView="0" workbookViewId="0" topLeftCell="A1">
      <selection activeCell="A21" sqref="A21"/>
    </sheetView>
  </sheetViews>
  <sheetFormatPr defaultColWidth="11.28125" defaultRowHeight="15"/>
  <cols>
    <col min="1" max="1" width="34.140625" style="478" customWidth="1"/>
    <col min="2" max="2" width="18.57421875" style="478" customWidth="1"/>
    <col min="3" max="3" width="18.00390625" style="478" customWidth="1"/>
    <col min="4" max="4" width="15.00390625" style="478" customWidth="1"/>
    <col min="5" max="5" width="17.140625" style="478" customWidth="1"/>
    <col min="6" max="7" width="0" style="478" hidden="1" customWidth="1"/>
    <col min="8" max="9" width="12.140625" style="478" bestFit="1" customWidth="1"/>
    <col min="10" max="16384" width="11.28125" style="478" customWidth="1"/>
  </cols>
  <sheetData>
    <row r="1" ht="12.75"/>
    <row r="2" spans="2:5" ht="21.75" customHeight="1">
      <c r="B2" s="963" t="s">
        <v>830</v>
      </c>
      <c r="C2" s="963"/>
      <c r="D2" s="963"/>
      <c r="E2" s="963"/>
    </row>
    <row r="3" ht="18.75">
      <c r="E3" s="605"/>
    </row>
    <row r="4" spans="1:5" ht="22.5">
      <c r="A4" s="965" t="str">
        <f>+'[1]Anexo E'!A4:G4</f>
        <v>BALANCE GENERAL</v>
      </c>
      <c r="B4" s="965"/>
      <c r="C4" s="965"/>
      <c r="D4" s="965"/>
      <c r="E4" s="965"/>
    </row>
    <row r="5" spans="1:5" ht="22.5">
      <c r="A5" s="965" t="s">
        <v>1149</v>
      </c>
      <c r="B5" s="965"/>
      <c r="C5" s="965"/>
      <c r="D5" s="965"/>
      <c r="E5" s="965"/>
    </row>
    <row r="6" spans="1:5" ht="20.25">
      <c r="A6" s="971" t="s">
        <v>562</v>
      </c>
      <c r="B6" s="971"/>
      <c r="C6" s="971"/>
      <c r="D6" s="971"/>
      <c r="E6" s="971"/>
    </row>
    <row r="7" ht="12.75">
      <c r="A7" s="615"/>
    </row>
    <row r="8" spans="1:5" ht="20.25">
      <c r="A8" s="971" t="s">
        <v>831</v>
      </c>
      <c r="B8" s="971"/>
      <c r="C8" s="971"/>
      <c r="D8" s="971"/>
      <c r="E8" s="971"/>
    </row>
    <row r="9" spans="1:5" ht="20.25">
      <c r="A9" s="971" t="s">
        <v>832</v>
      </c>
      <c r="B9" s="971"/>
      <c r="C9" s="971"/>
      <c r="D9" s="971"/>
      <c r="E9" s="971"/>
    </row>
    <row r="11" spans="1:5" ht="12.75">
      <c r="A11" s="482"/>
      <c r="B11" s="482" t="s">
        <v>696</v>
      </c>
      <c r="C11" s="482"/>
      <c r="D11" s="482" t="s">
        <v>696</v>
      </c>
      <c r="E11" s="482"/>
    </row>
    <row r="12" spans="1:5" ht="12.75">
      <c r="A12" s="484" t="s">
        <v>833</v>
      </c>
      <c r="B12" s="484" t="s">
        <v>834</v>
      </c>
      <c r="C12" s="484"/>
      <c r="D12" s="484" t="s">
        <v>835</v>
      </c>
      <c r="E12" s="484"/>
    </row>
    <row r="13" spans="1:5" ht="12.75">
      <c r="A13" s="485"/>
      <c r="B13" s="616"/>
      <c r="C13" s="616"/>
      <c r="D13" s="616"/>
      <c r="E13" s="616"/>
    </row>
    <row r="14" spans="1:5" ht="12.75">
      <c r="A14" s="512" t="s">
        <v>836</v>
      </c>
      <c r="B14" s="617"/>
      <c r="C14" s="617"/>
      <c r="D14" s="617"/>
      <c r="E14" s="617"/>
    </row>
    <row r="15" spans="1:5" ht="12.75">
      <c r="A15" s="512" t="s">
        <v>837</v>
      </c>
      <c r="B15" s="617"/>
      <c r="C15" s="618"/>
      <c r="D15" s="617"/>
      <c r="E15" s="618"/>
    </row>
    <row r="16" spans="1:5" ht="12.75">
      <c r="A16" s="487"/>
      <c r="B16" s="617"/>
      <c r="C16" s="617"/>
      <c r="D16" s="617"/>
      <c r="E16" s="617"/>
    </row>
    <row r="17" spans="1:6" ht="12.75">
      <c r="A17" s="512" t="s">
        <v>838</v>
      </c>
      <c r="B17" s="617"/>
      <c r="D17" s="617"/>
      <c r="E17" s="617"/>
      <c r="F17" s="619">
        <v>74004739</v>
      </c>
    </row>
    <row r="18" spans="1:6" ht="12.75">
      <c r="A18" s="620" t="s">
        <v>839</v>
      </c>
      <c r="B18" s="621">
        <v>3586346681</v>
      </c>
      <c r="C18" s="622"/>
      <c r="D18" s="621">
        <v>6386347330</v>
      </c>
      <c r="E18" s="617"/>
      <c r="F18" s="584">
        <v>24970</v>
      </c>
    </row>
    <row r="19" spans="1:6" ht="12.75">
      <c r="A19" s="620" t="s">
        <v>840</v>
      </c>
      <c r="B19" s="621">
        <v>808577670</v>
      </c>
      <c r="C19" s="622"/>
      <c r="D19" s="621">
        <v>714029660</v>
      </c>
      <c r="E19" s="617"/>
      <c r="F19" s="584">
        <v>-65863</v>
      </c>
    </row>
    <row r="20" spans="1:6" ht="12.75">
      <c r="A20" s="620" t="s">
        <v>841</v>
      </c>
      <c r="B20" s="621">
        <v>756526845</v>
      </c>
      <c r="C20" s="622"/>
      <c r="D20" s="621">
        <v>1881924778</v>
      </c>
      <c r="E20" s="617"/>
      <c r="F20" s="584">
        <v>2946514</v>
      </c>
    </row>
    <row r="21" spans="1:6" ht="12.75">
      <c r="A21" s="620" t="s">
        <v>842</v>
      </c>
      <c r="B21" s="621">
        <v>17744100836</v>
      </c>
      <c r="C21" s="622"/>
      <c r="D21" s="621">
        <v>16663722446</v>
      </c>
      <c r="E21" s="617"/>
      <c r="F21" s="584">
        <v>1812772</v>
      </c>
    </row>
    <row r="22" spans="1:6" ht="12.75">
      <c r="A22" s="620" t="s">
        <v>843</v>
      </c>
      <c r="B22" s="621">
        <v>295941351</v>
      </c>
      <c r="C22" s="622"/>
      <c r="D22" s="621">
        <v>316850375</v>
      </c>
      <c r="E22" s="617"/>
      <c r="F22" s="584">
        <v>2978469</v>
      </c>
    </row>
    <row r="23" spans="1:6" ht="12.75">
      <c r="A23" s="487"/>
      <c r="B23" s="622"/>
      <c r="C23" s="622"/>
      <c r="D23" s="617"/>
      <c r="E23" s="617"/>
      <c r="F23" s="584">
        <v>96916</v>
      </c>
    </row>
    <row r="24" spans="1:6" ht="12.75">
      <c r="A24" s="512" t="s">
        <v>844</v>
      </c>
      <c r="B24" s="622"/>
      <c r="C24" s="622"/>
      <c r="D24" s="617"/>
      <c r="E24" s="617"/>
      <c r="F24" s="584">
        <v>338760</v>
      </c>
    </row>
    <row r="25" spans="1:6" ht="12.75">
      <c r="A25" s="512" t="s">
        <v>696</v>
      </c>
      <c r="B25" s="622"/>
      <c r="C25" s="622"/>
      <c r="D25" s="617"/>
      <c r="E25" s="617"/>
      <c r="F25" s="584">
        <v>32592436</v>
      </c>
    </row>
    <row r="26" spans="1:6" ht="12.75">
      <c r="A26" s="620" t="s">
        <v>845</v>
      </c>
      <c r="B26" s="621">
        <f>C27-B18-B19-B20-B21-B22+B32+B33+B34+B35+B36</f>
        <v>182738895516</v>
      </c>
      <c r="C26" s="621"/>
      <c r="D26" s="621">
        <v>206358089822</v>
      </c>
      <c r="E26" s="617"/>
      <c r="F26" s="584">
        <v>6530</v>
      </c>
    </row>
    <row r="27" spans="1:10" ht="12.75">
      <c r="A27" s="620" t="s">
        <v>846</v>
      </c>
      <c r="B27" s="621"/>
      <c r="C27" s="621">
        <v>180612210135</v>
      </c>
      <c r="D27" s="617"/>
      <c r="E27" s="617">
        <v>209129471028</v>
      </c>
      <c r="F27" s="584">
        <v>11762</v>
      </c>
      <c r="I27" s="623"/>
      <c r="J27" s="623"/>
    </row>
    <row r="28" spans="1:6" ht="12.75">
      <c r="A28" s="487" t="s">
        <v>847</v>
      </c>
      <c r="B28" s="622">
        <v>0</v>
      </c>
      <c r="C28" s="622"/>
      <c r="D28" s="617">
        <v>0</v>
      </c>
      <c r="E28" s="617"/>
      <c r="F28" s="584">
        <v>26627</v>
      </c>
    </row>
    <row r="29" spans="1:6" ht="12.75">
      <c r="A29" s="487" t="s">
        <v>848</v>
      </c>
      <c r="B29" s="622">
        <v>0</v>
      </c>
      <c r="C29" s="622"/>
      <c r="D29" s="617">
        <v>0</v>
      </c>
      <c r="E29" s="617"/>
      <c r="F29" s="584">
        <v>18197</v>
      </c>
    </row>
    <row r="30" spans="1:6" ht="12.75">
      <c r="A30" s="487"/>
      <c r="B30" s="622"/>
      <c r="C30" s="622"/>
      <c r="D30" s="617"/>
      <c r="E30" s="617"/>
      <c r="F30" s="584">
        <v>108098</v>
      </c>
    </row>
    <row r="31" spans="1:6" ht="12.75">
      <c r="A31" s="512" t="s">
        <v>849</v>
      </c>
      <c r="B31" s="622"/>
      <c r="C31" s="622"/>
      <c r="D31" s="617"/>
      <c r="E31" s="617"/>
      <c r="F31" s="584">
        <v>17</v>
      </c>
    </row>
    <row r="32" spans="1:6" ht="12.75">
      <c r="A32" s="620" t="s">
        <v>839</v>
      </c>
      <c r="B32" s="621">
        <v>5681338324</v>
      </c>
      <c r="C32" s="622"/>
      <c r="D32" s="621">
        <v>3586346681</v>
      </c>
      <c r="E32" s="617"/>
      <c r="F32" s="584">
        <v>41505</v>
      </c>
    </row>
    <row r="33" spans="1:8" ht="12.75">
      <c r="A33" s="620" t="s">
        <v>850</v>
      </c>
      <c r="B33" s="621">
        <v>723607621</v>
      </c>
      <c r="C33" s="622"/>
      <c r="D33" s="621">
        <v>808577670</v>
      </c>
      <c r="E33" s="617"/>
      <c r="F33" s="584">
        <v>14304</v>
      </c>
      <c r="H33" s="623"/>
    </row>
    <row r="34" spans="1:8" ht="12.75">
      <c r="A34" s="620" t="s">
        <v>851</v>
      </c>
      <c r="B34" s="621">
        <v>797791830</v>
      </c>
      <c r="C34" s="622"/>
      <c r="D34" s="621">
        <v>756526845</v>
      </c>
      <c r="E34" s="617"/>
      <c r="F34" s="584">
        <v>17760</v>
      </c>
      <c r="H34" s="623"/>
    </row>
    <row r="35" spans="1:6" ht="12.75">
      <c r="A35" s="620" t="s">
        <v>842</v>
      </c>
      <c r="B35" s="621">
        <v>17875091504</v>
      </c>
      <c r="C35" s="622"/>
      <c r="D35" s="621">
        <v>17744100836</v>
      </c>
      <c r="E35" s="617"/>
      <c r="F35" s="584"/>
    </row>
    <row r="36" spans="1:6" ht="12.75">
      <c r="A36" s="620" t="s">
        <v>350</v>
      </c>
      <c r="B36" s="621">
        <v>240349485</v>
      </c>
      <c r="C36" s="622"/>
      <c r="D36" s="621">
        <v>295941351</v>
      </c>
      <c r="E36" s="617"/>
      <c r="F36" s="584"/>
    </row>
    <row r="37" spans="1:6" ht="12.75">
      <c r="A37" s="487"/>
      <c r="B37" s="622"/>
      <c r="C37" s="622"/>
      <c r="D37" s="617"/>
      <c r="E37" s="617"/>
      <c r="F37" s="584"/>
    </row>
    <row r="38" spans="1:6" ht="12.75">
      <c r="A38" s="487"/>
      <c r="B38" s="622"/>
      <c r="C38" s="622"/>
      <c r="D38" s="617"/>
      <c r="E38" s="617"/>
      <c r="F38" s="584"/>
    </row>
    <row r="39" spans="1:6" ht="12.75">
      <c r="A39" s="624" t="s">
        <v>852</v>
      </c>
      <c r="B39" s="617"/>
      <c r="C39" s="617"/>
      <c r="D39" s="617"/>
      <c r="E39" s="617"/>
      <c r="F39" s="584"/>
    </row>
    <row r="40" spans="1:6" ht="12.75">
      <c r="A40" s="625" t="s">
        <v>853</v>
      </c>
      <c r="B40" s="626"/>
      <c r="C40" s="626">
        <v>0</v>
      </c>
      <c r="D40" s="626"/>
      <c r="E40" s="626">
        <v>0</v>
      </c>
      <c r="F40" s="584"/>
    </row>
    <row r="41" spans="1:7" ht="12.75">
      <c r="A41" s="485"/>
      <c r="B41" s="616"/>
      <c r="C41" s="616"/>
      <c r="D41" s="616"/>
      <c r="E41" s="616"/>
      <c r="F41" s="584">
        <f>SUM(F17:F40)</f>
        <v>114974513</v>
      </c>
      <c r="G41" s="584">
        <f>C15-F41</f>
        <v>-114974513</v>
      </c>
    </row>
    <row r="42" spans="1:6" ht="12.75">
      <c r="A42" s="512" t="s">
        <v>854</v>
      </c>
      <c r="B42" s="617"/>
      <c r="C42" s="617"/>
      <c r="D42" s="617"/>
      <c r="E42" s="617"/>
      <c r="F42" s="584"/>
    </row>
    <row r="43" spans="1:6" ht="12.75">
      <c r="A43" s="512" t="s">
        <v>855</v>
      </c>
      <c r="B43" s="617"/>
      <c r="C43" s="617"/>
      <c r="D43" s="617"/>
      <c r="E43" s="617"/>
      <c r="F43" s="584"/>
    </row>
    <row r="44" spans="1:5" ht="12.75">
      <c r="A44" s="512" t="s">
        <v>856</v>
      </c>
      <c r="B44" s="618"/>
      <c r="C44" s="618">
        <f>SUM(C27:C43)</f>
        <v>180612210135</v>
      </c>
      <c r="D44" s="618"/>
      <c r="E44" s="618">
        <f>E27</f>
        <v>209129471028</v>
      </c>
    </row>
    <row r="45" spans="1:6" ht="12.75">
      <c r="A45" s="491"/>
      <c r="B45" s="627"/>
      <c r="C45" s="627"/>
      <c r="D45" s="627"/>
      <c r="E45" s="627"/>
      <c r="F45" s="623">
        <f>F41+C40</f>
        <v>114974513</v>
      </c>
    </row>
    <row r="47" ht="24" customHeight="1"/>
    <row r="48" ht="24" customHeight="1">
      <c r="F48" s="584">
        <f>F45-F41</f>
        <v>0</v>
      </c>
    </row>
    <row r="49" ht="24" customHeight="1"/>
    <row r="50" spans="1:4" ht="12.75">
      <c r="A50" s="517" t="s">
        <v>705</v>
      </c>
      <c r="B50" s="518"/>
      <c r="C50" s="970" t="s">
        <v>706</v>
      </c>
      <c r="D50" s="970"/>
    </row>
    <row r="51" spans="1:4" ht="12.75">
      <c r="A51" s="517" t="s">
        <v>732</v>
      </c>
      <c r="B51" s="518"/>
      <c r="C51" s="969" t="s">
        <v>594</v>
      </c>
      <c r="D51" s="969"/>
    </row>
    <row r="53" ht="31.5" customHeight="1"/>
    <row r="54" ht="31.5" customHeight="1"/>
    <row r="56" spans="1:4" ht="12.75">
      <c r="A56" s="517" t="str">
        <f>'[1]Anexo E'!B43</f>
        <v>Dr. Raul Fernando Vargas</v>
      </c>
      <c r="B56" s="518"/>
      <c r="C56" s="969" t="s">
        <v>998</v>
      </c>
      <c r="D56" s="969"/>
    </row>
    <row r="57" spans="1:4" ht="12.75">
      <c r="A57" s="517" t="s">
        <v>734</v>
      </c>
      <c r="B57" s="518"/>
      <c r="C57" s="969" t="s">
        <v>683</v>
      </c>
      <c r="D57" s="969"/>
    </row>
    <row r="60" ht="12.75">
      <c r="H60" s="872">
        <v>34</v>
      </c>
    </row>
  </sheetData>
  <sheetProtection/>
  <mergeCells count="11">
    <mergeCell ref="C50:D50"/>
    <mergeCell ref="C51:D51"/>
    <mergeCell ref="C56:D56"/>
    <mergeCell ref="C57:D57"/>
    <mergeCell ref="D2:E2"/>
    <mergeCell ref="A4:E4"/>
    <mergeCell ref="A5:E5"/>
    <mergeCell ref="A6:E6"/>
    <mergeCell ref="A8:E8"/>
    <mergeCell ref="A9:E9"/>
    <mergeCell ref="B2:C2"/>
  </mergeCells>
  <printOptions horizontalCentered="1"/>
  <pageMargins left="0.3937007874015748" right="0.5905511811023623" top="0.7874015748031497" bottom="0.984251968503937" header="0" footer="0"/>
  <pageSetup fitToHeight="0" horizontalDpi="600" verticalDpi="600" orientation="portrait" paperSize="9" scale="8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I67"/>
  <sheetViews>
    <sheetView showGridLines="0" zoomScalePageLayoutView="0" workbookViewId="0" topLeftCell="A2">
      <pane ySplit="11" topLeftCell="A13" activePane="bottomLeft" state="frozen"/>
      <selection pane="topLeft" activeCell="A2" sqref="A2"/>
      <selection pane="bottomLeft" activeCell="G66" sqref="G66"/>
    </sheetView>
  </sheetViews>
  <sheetFormatPr defaultColWidth="11.421875" defaultRowHeight="15"/>
  <cols>
    <col min="1" max="1" width="31.140625" style="546" customWidth="1"/>
    <col min="2" max="2" width="14.28125" style="546" customWidth="1"/>
    <col min="3" max="3" width="15.00390625" style="546" customWidth="1"/>
    <col min="4" max="4" width="12.7109375" style="546" customWidth="1"/>
    <col min="5" max="6" width="17.28125" style="546" customWidth="1"/>
    <col min="7" max="8" width="11.421875" style="546" customWidth="1"/>
    <col min="9" max="9" width="12.00390625" style="546" bestFit="1" customWidth="1"/>
    <col min="10" max="16384" width="11.421875" style="546" customWidth="1"/>
  </cols>
  <sheetData>
    <row r="2" spans="3:6" s="478" customFormat="1" ht="24.75" customHeight="1">
      <c r="C2" s="973" t="s">
        <v>857</v>
      </c>
      <c r="D2" s="973"/>
      <c r="E2" s="963"/>
      <c r="F2" s="963"/>
    </row>
    <row r="3" spans="1:6" s="478" customFormat="1" ht="22.5">
      <c r="A3" s="965" t="str">
        <f>'[1]Anexo F'!A4:E4</f>
        <v>BALANCE GENERAL</v>
      </c>
      <c r="B3" s="965"/>
      <c r="C3" s="965"/>
      <c r="D3" s="965"/>
      <c r="E3" s="965"/>
      <c r="F3" s="965"/>
    </row>
    <row r="4" spans="1:6" s="478" customFormat="1" ht="22.5">
      <c r="A4" s="965" t="s">
        <v>1149</v>
      </c>
      <c r="B4" s="965"/>
      <c r="C4" s="965"/>
      <c r="D4" s="965"/>
      <c r="E4" s="965"/>
      <c r="F4" s="965"/>
    </row>
    <row r="5" spans="1:6" s="478" customFormat="1" ht="20.25">
      <c r="A5" s="971" t="s">
        <v>562</v>
      </c>
      <c r="B5" s="971"/>
      <c r="C5" s="971"/>
      <c r="D5" s="971"/>
      <c r="E5" s="971"/>
      <c r="F5" s="971"/>
    </row>
    <row r="6" s="478" customFormat="1" ht="12.75"/>
    <row r="7" spans="1:6" s="478" customFormat="1" ht="22.5">
      <c r="A7" s="965" t="s">
        <v>858</v>
      </c>
      <c r="B7" s="965"/>
      <c r="C7" s="965"/>
      <c r="D7" s="965"/>
      <c r="E7" s="965"/>
      <c r="F7" s="965"/>
    </row>
    <row r="8" s="478" customFormat="1" ht="12.75"/>
    <row r="9" spans="1:6" s="478" customFormat="1" ht="12.75">
      <c r="A9" s="505"/>
      <c r="B9" s="972" t="s">
        <v>859</v>
      </c>
      <c r="C9" s="972"/>
      <c r="D9" s="505"/>
      <c r="E9" s="972" t="s">
        <v>860</v>
      </c>
      <c r="F9" s="972"/>
    </row>
    <row r="10" spans="1:6" s="478" customFormat="1" ht="12.75">
      <c r="A10" s="507"/>
      <c r="B10" s="505"/>
      <c r="C10" s="628"/>
      <c r="D10" s="507"/>
      <c r="E10" s="505" t="s">
        <v>861</v>
      </c>
      <c r="F10" s="505" t="s">
        <v>861</v>
      </c>
    </row>
    <row r="11" spans="1:6" s="478" customFormat="1" ht="12.75">
      <c r="A11" s="507"/>
      <c r="B11" s="507"/>
      <c r="C11" s="629"/>
      <c r="D11" s="507" t="s">
        <v>862</v>
      </c>
      <c r="E11" s="507" t="s">
        <v>696</v>
      </c>
      <c r="F11" s="507" t="s">
        <v>696</v>
      </c>
    </row>
    <row r="12" spans="1:6" s="478" customFormat="1" ht="12.75">
      <c r="A12" s="509" t="s">
        <v>833</v>
      </c>
      <c r="B12" s="509" t="s">
        <v>751</v>
      </c>
      <c r="C12" s="630" t="s">
        <v>863</v>
      </c>
      <c r="D12" s="509" t="s">
        <v>864</v>
      </c>
      <c r="E12" s="509" t="s">
        <v>834</v>
      </c>
      <c r="F12" s="509" t="s">
        <v>835</v>
      </c>
    </row>
    <row r="13" spans="1:6" s="478" customFormat="1" ht="12.75">
      <c r="A13" s="485"/>
      <c r="B13" s="485"/>
      <c r="C13" s="485"/>
      <c r="D13" s="485"/>
      <c r="E13" s="485"/>
      <c r="F13" s="485"/>
    </row>
    <row r="14" spans="1:6" s="478" customFormat="1" ht="12.75">
      <c r="A14" s="631" t="s">
        <v>865</v>
      </c>
      <c r="B14" s="487"/>
      <c r="C14" s="487"/>
      <c r="D14" s="487"/>
      <c r="E14" s="487"/>
      <c r="F14" s="487"/>
    </row>
    <row r="15" spans="1:6" s="478" customFormat="1" ht="6" customHeight="1">
      <c r="A15" s="487"/>
      <c r="B15" s="487"/>
      <c r="C15" s="606"/>
      <c r="D15" s="606"/>
      <c r="E15" s="606"/>
      <c r="F15" s="606"/>
    </row>
    <row r="16" spans="1:6" s="478" customFormat="1" ht="12.75">
      <c r="A16" s="512" t="s">
        <v>866</v>
      </c>
      <c r="B16" s="487"/>
      <c r="C16" s="606"/>
      <c r="D16" s="606"/>
      <c r="E16" s="606"/>
      <c r="F16" s="606"/>
    </row>
    <row r="17" spans="1:6" ht="12.75">
      <c r="A17" s="632"/>
      <c r="B17" s="633"/>
      <c r="C17" s="634"/>
      <c r="D17" s="634"/>
      <c r="E17" s="634"/>
      <c r="F17" s="606"/>
    </row>
    <row r="18" spans="1:6" ht="12.75">
      <c r="A18" s="487" t="s">
        <v>867</v>
      </c>
      <c r="B18" s="635" t="s">
        <v>868</v>
      </c>
      <c r="C18" s="636">
        <f>E18/D18</f>
        <v>0</v>
      </c>
      <c r="D18" s="637">
        <v>6891.96</v>
      </c>
      <c r="E18" s="606">
        <v>0</v>
      </c>
      <c r="F18" s="606">
        <v>0</v>
      </c>
    </row>
    <row r="19" spans="1:6" ht="12.75">
      <c r="A19" s="638" t="s">
        <v>869</v>
      </c>
      <c r="B19" s="635" t="s">
        <v>868</v>
      </c>
      <c r="C19" s="636">
        <f>E19/D19</f>
        <v>191122.85997016812</v>
      </c>
      <c r="D19" s="637">
        <v>6891.96</v>
      </c>
      <c r="E19" s="606">
        <f>50678374+1148639898+117892834</f>
        <v>1317211106</v>
      </c>
      <c r="F19" s="606">
        <f>47372127+12672294905+24415464</f>
        <v>12744082496</v>
      </c>
    </row>
    <row r="20" spans="1:6" ht="12.75">
      <c r="A20" s="638" t="s">
        <v>870</v>
      </c>
      <c r="B20" s="635" t="s">
        <v>868</v>
      </c>
      <c r="C20" s="636">
        <f>E20/D20</f>
        <v>0</v>
      </c>
      <c r="D20" s="637">
        <v>6891.96</v>
      </c>
      <c r="E20" s="606">
        <v>0</v>
      </c>
      <c r="F20" s="606">
        <v>0</v>
      </c>
    </row>
    <row r="21" spans="1:6" ht="12.75">
      <c r="A21" s="638" t="s">
        <v>871</v>
      </c>
      <c r="B21" s="635" t="s">
        <v>868</v>
      </c>
      <c r="C21" s="636">
        <f>E21/D21</f>
        <v>69711.89792163622</v>
      </c>
      <c r="D21" s="637">
        <v>6891.96</v>
      </c>
      <c r="E21" s="606">
        <v>480451612</v>
      </c>
      <c r="F21" s="606">
        <v>186996882</v>
      </c>
    </row>
    <row r="22" spans="1:6" ht="12.75">
      <c r="A22" s="638" t="s">
        <v>1093</v>
      </c>
      <c r="B22" s="635" t="s">
        <v>868</v>
      </c>
      <c r="C22" s="636">
        <v>0</v>
      </c>
      <c r="D22" s="637">
        <v>6891.96</v>
      </c>
      <c r="E22" s="606">
        <v>0</v>
      </c>
      <c r="F22" s="606">
        <v>0</v>
      </c>
    </row>
    <row r="23" spans="1:6" ht="12.75">
      <c r="A23" s="638" t="s">
        <v>872</v>
      </c>
      <c r="B23" s="635" t="s">
        <v>868</v>
      </c>
      <c r="C23" s="636">
        <f>E23/D23</f>
        <v>0</v>
      </c>
      <c r="D23" s="637">
        <v>6891.96</v>
      </c>
      <c r="E23" s="606">
        <v>0</v>
      </c>
      <c r="F23" s="606">
        <v>0</v>
      </c>
    </row>
    <row r="24" spans="1:6" ht="12.75">
      <c r="A24" s="491"/>
      <c r="B24" s="639"/>
      <c r="C24" s="612"/>
      <c r="D24" s="637">
        <v>6891.96</v>
      </c>
      <c r="E24" s="612"/>
      <c r="F24" s="612"/>
    </row>
    <row r="25" spans="1:6" ht="12.75">
      <c r="A25" s="594" t="s">
        <v>873</v>
      </c>
      <c r="B25" s="640"/>
      <c r="C25" s="641">
        <f>SUM(C18:C24)</f>
        <v>260834.75789180433</v>
      </c>
      <c r="D25" s="641">
        <f>D23</f>
        <v>6891.96</v>
      </c>
      <c r="E25" s="642">
        <f>SUM(E18:E23)</f>
        <v>1797662718</v>
      </c>
      <c r="F25" s="642">
        <f>SUM(F18:F23)</f>
        <v>12931079378</v>
      </c>
    </row>
    <row r="26" spans="1:6" ht="12.75">
      <c r="A26" s="485"/>
      <c r="B26" s="643"/>
      <c r="C26" s="486"/>
      <c r="D26" s="486"/>
      <c r="E26" s="486"/>
      <c r="F26" s="486"/>
    </row>
    <row r="27" spans="1:6" ht="12.75">
      <c r="A27" s="512" t="s">
        <v>874</v>
      </c>
      <c r="B27" s="644"/>
      <c r="C27" s="606"/>
      <c r="D27" s="606"/>
      <c r="E27" s="645"/>
      <c r="F27" s="606">
        <v>0</v>
      </c>
    </row>
    <row r="28" spans="1:6" ht="12.75">
      <c r="A28" s="487" t="s">
        <v>875</v>
      </c>
      <c r="B28" s="635" t="s">
        <v>868</v>
      </c>
      <c r="C28" s="606">
        <f>E28/D28</f>
        <v>0</v>
      </c>
      <c r="D28" s="637">
        <f>D25</f>
        <v>6891.96</v>
      </c>
      <c r="E28" s="606">
        <v>0</v>
      </c>
      <c r="F28" s="606">
        <v>0</v>
      </c>
    </row>
    <row r="29" spans="1:6" ht="12.75">
      <c r="A29" s="487"/>
      <c r="B29" s="644"/>
      <c r="C29" s="606"/>
      <c r="D29" s="606"/>
      <c r="E29" s="606"/>
      <c r="F29" s="606"/>
    </row>
    <row r="30" spans="1:6" ht="12.75">
      <c r="A30" s="594" t="s">
        <v>873</v>
      </c>
      <c r="B30" s="640"/>
      <c r="C30" s="641">
        <f>SUM(C28)</f>
        <v>0</v>
      </c>
      <c r="D30" s="646">
        <f>D28</f>
        <v>6891.96</v>
      </c>
      <c r="E30" s="642">
        <f>SUM(E28)</f>
        <v>0</v>
      </c>
      <c r="F30" s="642">
        <f>SUM(F28)</f>
        <v>0</v>
      </c>
    </row>
    <row r="31" spans="1:6" ht="12.75">
      <c r="A31" s="647"/>
      <c r="B31" s="648"/>
      <c r="C31" s="649"/>
      <c r="D31" s="649"/>
      <c r="E31" s="649"/>
      <c r="F31" s="649"/>
    </row>
    <row r="32" spans="1:6" ht="12.75">
      <c r="A32" s="494" t="s">
        <v>136</v>
      </c>
      <c r="B32" s="650"/>
      <c r="C32" s="651">
        <f>C25+C30</f>
        <v>260834.75789180433</v>
      </c>
      <c r="D32" s="651">
        <f>D30</f>
        <v>6891.96</v>
      </c>
      <c r="E32" s="652">
        <f>E25+E30</f>
        <v>1797662718</v>
      </c>
      <c r="F32" s="652">
        <f>F25+F30</f>
        <v>12931079378</v>
      </c>
    </row>
    <row r="33" spans="1:6" ht="12.75">
      <c r="A33" s="485"/>
      <c r="B33" s="643"/>
      <c r="C33" s="486"/>
      <c r="D33" s="486"/>
      <c r="E33" s="486"/>
      <c r="F33" s="653"/>
    </row>
    <row r="34" spans="1:6" ht="12.75">
      <c r="A34" s="631" t="s">
        <v>876</v>
      </c>
      <c r="B34" s="644"/>
      <c r="C34" s="606"/>
      <c r="D34" s="606"/>
      <c r="E34" s="606"/>
      <c r="F34" s="634"/>
    </row>
    <row r="35" spans="1:6" ht="12.75">
      <c r="A35" s="487"/>
      <c r="B35" s="644"/>
      <c r="C35" s="606"/>
      <c r="D35" s="606"/>
      <c r="E35" s="606"/>
      <c r="F35" s="634"/>
    </row>
    <row r="36" spans="1:6" ht="12.75">
      <c r="A36" s="512" t="s">
        <v>877</v>
      </c>
      <c r="B36" s="644"/>
      <c r="C36" s="606"/>
      <c r="D36" s="606"/>
      <c r="E36" s="606"/>
      <c r="F36" s="634"/>
    </row>
    <row r="37" spans="1:6" ht="12.75">
      <c r="A37" s="487" t="s">
        <v>1061</v>
      </c>
      <c r="B37" s="644" t="s">
        <v>868</v>
      </c>
      <c r="C37" s="636">
        <f>E37/D37</f>
        <v>0</v>
      </c>
      <c r="D37" s="637">
        <v>6941.65</v>
      </c>
      <c r="E37" s="606">
        <v>0</v>
      </c>
      <c r="F37" s="606">
        <f>171840879</f>
        <v>171840879</v>
      </c>
    </row>
    <row r="38" spans="1:6" ht="12.75">
      <c r="A38" s="638" t="s">
        <v>1060</v>
      </c>
      <c r="B38" s="635" t="s">
        <v>868</v>
      </c>
      <c r="C38" s="636">
        <f>E38/D38</f>
        <v>0</v>
      </c>
      <c r="D38" s="637">
        <v>6941.65</v>
      </c>
      <c r="E38" s="606">
        <v>0</v>
      </c>
      <c r="F38" s="606">
        <v>0</v>
      </c>
    </row>
    <row r="39" spans="1:6" ht="12.75">
      <c r="A39" s="638" t="s">
        <v>878</v>
      </c>
      <c r="B39" s="635" t="s">
        <v>868</v>
      </c>
      <c r="C39" s="636">
        <f aca="true" t="shared" si="0" ref="C39:C44">E39/D39</f>
        <v>94094.88003572638</v>
      </c>
      <c r="D39" s="637">
        <v>6941.65</v>
      </c>
      <c r="E39" s="606">
        <v>653173724</v>
      </c>
      <c r="F39" s="606">
        <v>367732306</v>
      </c>
    </row>
    <row r="40" spans="1:6" ht="12.75">
      <c r="A40" s="638" t="s">
        <v>879</v>
      </c>
      <c r="B40" s="635" t="s">
        <v>868</v>
      </c>
      <c r="C40" s="636">
        <f t="shared" si="0"/>
        <v>0</v>
      </c>
      <c r="D40" s="637">
        <v>6941.65</v>
      </c>
      <c r="E40" s="606">
        <v>0</v>
      </c>
      <c r="F40" s="606">
        <v>0</v>
      </c>
    </row>
    <row r="41" spans="1:6" ht="12.75">
      <c r="A41" s="638" t="s">
        <v>880</v>
      </c>
      <c r="B41" s="635" t="s">
        <v>868</v>
      </c>
      <c r="C41" s="636">
        <f t="shared" si="0"/>
        <v>9443.249947778986</v>
      </c>
      <c r="D41" s="637">
        <v>6941.65</v>
      </c>
      <c r="E41" s="606">
        <v>65551736</v>
      </c>
      <c r="F41" s="606">
        <v>116254011</v>
      </c>
    </row>
    <row r="42" spans="1:6" ht="12.75">
      <c r="A42" s="638" t="s">
        <v>881</v>
      </c>
      <c r="B42" s="635" t="s">
        <v>868</v>
      </c>
      <c r="C42" s="636">
        <f t="shared" si="0"/>
        <v>0</v>
      </c>
      <c r="D42" s="637">
        <v>6941.65</v>
      </c>
      <c r="E42" s="606">
        <v>0</v>
      </c>
      <c r="F42" s="606">
        <v>0</v>
      </c>
    </row>
    <row r="43" spans="1:6" ht="12.75">
      <c r="A43" s="638" t="s">
        <v>882</v>
      </c>
      <c r="B43" s="635" t="s">
        <v>868</v>
      </c>
      <c r="C43" s="636">
        <f t="shared" si="0"/>
        <v>0</v>
      </c>
      <c r="D43" s="637">
        <v>6941.65</v>
      </c>
      <c r="E43" s="606">
        <v>0</v>
      </c>
      <c r="F43" s="606">
        <v>0</v>
      </c>
    </row>
    <row r="44" spans="1:9" ht="12.75">
      <c r="A44" s="654" t="s">
        <v>883</v>
      </c>
      <c r="B44" s="655" t="s">
        <v>868</v>
      </c>
      <c r="C44" s="636">
        <f t="shared" si="0"/>
        <v>32887.00006482609</v>
      </c>
      <c r="D44" s="637">
        <v>6941.65</v>
      </c>
      <c r="E44" s="612">
        <v>228290044</v>
      </c>
      <c r="F44" s="612">
        <v>505506746</v>
      </c>
      <c r="I44" s="559"/>
    </row>
    <row r="45" spans="1:6" ht="12.75">
      <c r="A45" s="656" t="s">
        <v>873</v>
      </c>
      <c r="B45" s="657"/>
      <c r="C45" s="641">
        <f>SUM(C37:C44)</f>
        <v>136425.13004833146</v>
      </c>
      <c r="D45" s="641">
        <f>D43</f>
        <v>6941.65</v>
      </c>
      <c r="E45" s="642">
        <f>SUM(E37:E44)</f>
        <v>947015504</v>
      </c>
      <c r="F45" s="642">
        <f>SUM(F37:F44)</f>
        <v>1161333942</v>
      </c>
    </row>
    <row r="46" spans="1:6" ht="12.75">
      <c r="A46" s="658"/>
      <c r="B46" s="659"/>
      <c r="C46" s="660"/>
      <c r="D46" s="486"/>
      <c r="E46" s="486"/>
      <c r="F46" s="486"/>
    </row>
    <row r="47" spans="1:6" ht="12.75">
      <c r="A47" s="496" t="s">
        <v>884</v>
      </c>
      <c r="B47" s="635"/>
      <c r="C47" s="636"/>
      <c r="D47" s="606"/>
      <c r="E47" s="606"/>
      <c r="F47" s="606"/>
    </row>
    <row r="48" spans="1:6" ht="12.75">
      <c r="A48" s="496"/>
      <c r="B48" s="635"/>
      <c r="C48" s="636"/>
      <c r="D48" s="606"/>
      <c r="E48" s="606"/>
      <c r="F48" s="606"/>
    </row>
    <row r="49" spans="1:6" ht="12.75">
      <c r="A49" s="638" t="s">
        <v>881</v>
      </c>
      <c r="B49" s="635" t="s">
        <v>868</v>
      </c>
      <c r="C49" s="636">
        <f>E49/D49</f>
        <v>0</v>
      </c>
      <c r="D49" s="637">
        <v>6941.65</v>
      </c>
      <c r="E49" s="606">
        <v>0</v>
      </c>
      <c r="F49" s="606">
        <v>0</v>
      </c>
    </row>
    <row r="50" spans="1:6" ht="12.75">
      <c r="A50" s="638" t="s">
        <v>882</v>
      </c>
      <c r="B50" s="635" t="s">
        <v>868</v>
      </c>
      <c r="C50" s="636">
        <f>E50/D50</f>
        <v>0</v>
      </c>
      <c r="D50" s="637">
        <v>6941.65</v>
      </c>
      <c r="E50" s="606">
        <v>0</v>
      </c>
      <c r="F50" s="606">
        <v>0</v>
      </c>
    </row>
    <row r="51" spans="1:6" ht="12.75">
      <c r="A51" s="638" t="s">
        <v>883</v>
      </c>
      <c r="B51" s="635" t="s">
        <v>868</v>
      </c>
      <c r="C51" s="636">
        <f>E51/D51</f>
        <v>0</v>
      </c>
      <c r="D51" s="637">
        <v>6941.65</v>
      </c>
      <c r="E51" s="606">
        <v>0</v>
      </c>
      <c r="F51" s="606">
        <v>244267399</v>
      </c>
    </row>
    <row r="52" spans="1:6" ht="12.75">
      <c r="A52" s="661" t="s">
        <v>71</v>
      </c>
      <c r="B52" s="662" t="s">
        <v>868</v>
      </c>
      <c r="C52" s="636">
        <f>E52/D52</f>
        <v>0</v>
      </c>
      <c r="D52" s="637">
        <v>6941.65</v>
      </c>
      <c r="E52" s="663">
        <v>0</v>
      </c>
      <c r="F52" s="663">
        <v>0</v>
      </c>
    </row>
    <row r="53" spans="1:6" ht="12.75">
      <c r="A53" s="594" t="s">
        <v>873</v>
      </c>
      <c r="B53" s="594"/>
      <c r="C53" s="641">
        <f>SUM(C49:C52)</f>
        <v>0</v>
      </c>
      <c r="D53" s="641"/>
      <c r="E53" s="642">
        <f>SUM(E49:E52)</f>
        <v>0</v>
      </c>
      <c r="F53" s="642">
        <f>SUM(F49:F52)</f>
        <v>244267399</v>
      </c>
    </row>
    <row r="54" spans="1:6" ht="12.75">
      <c r="A54" s="647"/>
      <c r="B54" s="647"/>
      <c r="C54" s="664"/>
      <c r="D54" s="649"/>
      <c r="E54" s="649"/>
      <c r="F54" s="649"/>
    </row>
    <row r="55" spans="1:6" ht="12.75">
      <c r="A55" s="494" t="s">
        <v>136</v>
      </c>
      <c r="B55" s="665"/>
      <c r="C55" s="651">
        <f>C45+C53</f>
        <v>136425.13004833146</v>
      </c>
      <c r="D55" s="651">
        <f>D49</f>
        <v>6941.65</v>
      </c>
      <c r="E55" s="652">
        <f>E45+E53</f>
        <v>947015504</v>
      </c>
      <c r="F55" s="652">
        <f>F45+F53</f>
        <v>1405601341</v>
      </c>
    </row>
    <row r="56" ht="21.75" customHeight="1"/>
    <row r="57" ht="24.75" customHeight="1"/>
    <row r="58" s="478" customFormat="1" ht="24.75" customHeight="1"/>
    <row r="59" s="478" customFormat="1" ht="24.75" customHeight="1"/>
    <row r="60" spans="1:5" s="478" customFormat="1" ht="12.75">
      <c r="A60" s="517" t="s">
        <v>705</v>
      </c>
      <c r="B60" s="518"/>
      <c r="C60" s="614"/>
      <c r="D60" s="970" t="s">
        <v>706</v>
      </c>
      <c r="E60" s="970"/>
    </row>
    <row r="61" spans="1:5" s="478" customFormat="1" ht="12.75">
      <c r="A61" s="517" t="s">
        <v>732</v>
      </c>
      <c r="B61" s="518"/>
      <c r="C61" s="519"/>
      <c r="D61" s="969" t="s">
        <v>594</v>
      </c>
      <c r="E61" s="969"/>
    </row>
    <row r="62" s="478" customFormat="1" ht="12.75"/>
    <row r="63" s="478" customFormat="1" ht="34.5" customHeight="1"/>
    <row r="64" s="478" customFormat="1" ht="26.25" customHeight="1"/>
    <row r="65" s="478" customFormat="1" ht="12.75"/>
    <row r="66" spans="1:7" s="478" customFormat="1" ht="12.75">
      <c r="A66" s="517" t="str">
        <f>'[1]Anexo F'!A56</f>
        <v>Dr. Raul Fernando Vargas</v>
      </c>
      <c r="B66" s="518"/>
      <c r="D66" s="969" t="s">
        <v>998</v>
      </c>
      <c r="E66" s="969"/>
      <c r="G66" s="872">
        <v>35</v>
      </c>
    </row>
    <row r="67" spans="1:5" s="478" customFormat="1" ht="12.75">
      <c r="A67" s="517" t="s">
        <v>734</v>
      </c>
      <c r="B67" s="518"/>
      <c r="D67" s="969" t="s">
        <v>683</v>
      </c>
      <c r="E67" s="969"/>
    </row>
    <row r="68" s="478" customFormat="1" ht="12.75"/>
    <row r="69" s="478" customFormat="1" ht="12.75"/>
  </sheetData>
  <sheetProtection/>
  <mergeCells count="12">
    <mergeCell ref="D60:E60"/>
    <mergeCell ref="D61:E61"/>
    <mergeCell ref="D66:E66"/>
    <mergeCell ref="D67:E67"/>
    <mergeCell ref="E2:F2"/>
    <mergeCell ref="A3:F3"/>
    <mergeCell ref="A4:F4"/>
    <mergeCell ref="A5:F5"/>
    <mergeCell ref="A7:F7"/>
    <mergeCell ref="B9:C9"/>
    <mergeCell ref="E9:F9"/>
    <mergeCell ref="C2:D2"/>
  </mergeCells>
  <printOptions horizontalCentered="1"/>
  <pageMargins left="0.3937007874015748" right="0.5905511811023623" top="0.7874015748031497" bottom="0.984251968503937" header="0" footer="0"/>
  <pageSetup fitToHeight="0" horizontalDpi="600" verticalDpi="600" orientation="portrait" paperSize="9" scale="7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K127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H86" sqref="H86"/>
    </sheetView>
  </sheetViews>
  <sheetFormatPr defaultColWidth="11.421875" defaultRowHeight="15"/>
  <cols>
    <col min="1" max="1" width="29.8515625" style="546" customWidth="1"/>
    <col min="2" max="2" width="13.8515625" style="546" customWidth="1"/>
    <col min="3" max="3" width="13.57421875" style="546" customWidth="1"/>
    <col min="4" max="4" width="13.7109375" style="546" bestFit="1" customWidth="1"/>
    <col min="5" max="6" width="12.57421875" style="546" customWidth="1"/>
    <col min="7" max="7" width="14.28125" style="546" customWidth="1"/>
    <col min="8" max="8" width="14.7109375" style="546" customWidth="1"/>
    <col min="9" max="9" width="11.421875" style="546" customWidth="1"/>
    <col min="10" max="10" width="13.28125" style="679" bestFit="1" customWidth="1"/>
    <col min="11" max="11" width="16.28125" style="680" bestFit="1" customWidth="1"/>
    <col min="12" max="16384" width="11.421875" style="546" customWidth="1"/>
  </cols>
  <sheetData>
    <row r="1" spans="3:11" s="478" customFormat="1" ht="22.5">
      <c r="C1" s="758" t="s">
        <v>885</v>
      </c>
      <c r="F1" s="666"/>
      <c r="G1" s="666"/>
      <c r="J1" s="584"/>
      <c r="K1" s="667"/>
    </row>
    <row r="2" spans="1:11" s="478" customFormat="1" ht="22.5">
      <c r="A2" s="965" t="str">
        <f>'[1]Anexo G'!A3:F3</f>
        <v>BALANCE GENERAL</v>
      </c>
      <c r="B2" s="965"/>
      <c r="C2" s="965"/>
      <c r="D2" s="965"/>
      <c r="E2" s="965"/>
      <c r="F2" s="965"/>
      <c r="G2" s="965"/>
      <c r="J2" s="584"/>
      <c r="K2" s="667"/>
    </row>
    <row r="3" spans="1:11" s="478" customFormat="1" ht="22.5">
      <c r="A3" s="965" t="s">
        <v>1149</v>
      </c>
      <c r="B3" s="965"/>
      <c r="C3" s="965"/>
      <c r="D3" s="965"/>
      <c r="E3" s="965"/>
      <c r="F3" s="965"/>
      <c r="G3" s="965"/>
      <c r="J3" s="584"/>
      <c r="K3" s="667"/>
    </row>
    <row r="4" spans="1:11" s="478" customFormat="1" ht="20.25">
      <c r="A4" s="971" t="s">
        <v>886</v>
      </c>
      <c r="B4" s="971"/>
      <c r="C4" s="971"/>
      <c r="D4" s="971"/>
      <c r="E4" s="971"/>
      <c r="F4" s="971"/>
      <c r="G4" s="971"/>
      <c r="J4" s="584"/>
      <c r="K4" s="667"/>
    </row>
    <row r="5" spans="1:11" s="478" customFormat="1" ht="22.5">
      <c r="A5" s="965" t="s">
        <v>887</v>
      </c>
      <c r="B5" s="965"/>
      <c r="C5" s="965"/>
      <c r="D5" s="965"/>
      <c r="E5" s="965"/>
      <c r="F5" s="965"/>
      <c r="G5" s="965"/>
      <c r="J5" s="584"/>
      <c r="K5" s="667"/>
    </row>
    <row r="6" spans="1:11" s="517" customFormat="1" ht="38.25">
      <c r="A6" s="668" t="s">
        <v>888</v>
      </c>
      <c r="B6" s="669" t="s">
        <v>889</v>
      </c>
      <c r="C6" s="669" t="s">
        <v>890</v>
      </c>
      <c r="D6" s="669" t="s">
        <v>891</v>
      </c>
      <c r="E6" s="669" t="s">
        <v>892</v>
      </c>
      <c r="F6" s="669" t="s">
        <v>360</v>
      </c>
      <c r="G6" s="670">
        <v>2020</v>
      </c>
      <c r="H6" s="670">
        <v>2019</v>
      </c>
      <c r="J6" s="671"/>
      <c r="K6" s="672"/>
    </row>
    <row r="7" spans="1:8" ht="12.75">
      <c r="A7" s="673" t="s">
        <v>893</v>
      </c>
      <c r="B7" s="674">
        <v>2534991135</v>
      </c>
      <c r="C7" s="675">
        <v>4714981774</v>
      </c>
      <c r="D7" s="675">
        <v>4151823930</v>
      </c>
      <c r="E7" s="676">
        <v>0</v>
      </c>
      <c r="F7" s="677">
        <v>552474081</v>
      </c>
      <c r="G7" s="678">
        <f>SUM(B7:F7)</f>
        <v>11954270920</v>
      </c>
      <c r="H7" s="678">
        <v>11063557609</v>
      </c>
    </row>
    <row r="8" spans="1:8" ht="12.75">
      <c r="A8" s="673" t="s">
        <v>894</v>
      </c>
      <c r="B8" s="681">
        <v>367182027</v>
      </c>
      <c r="C8" s="675">
        <v>715142345</v>
      </c>
      <c r="D8" s="675">
        <v>563674767</v>
      </c>
      <c r="E8" s="676">
        <v>0</v>
      </c>
      <c r="F8" s="677">
        <v>80470260</v>
      </c>
      <c r="G8" s="678">
        <f aca="true" t="shared" si="0" ref="G8:G70">SUM(B8:F8)</f>
        <v>1726469399</v>
      </c>
      <c r="H8" s="678">
        <v>1643372986</v>
      </c>
    </row>
    <row r="9" spans="1:8" ht="12.75">
      <c r="A9" s="682" t="s">
        <v>895</v>
      </c>
      <c r="B9" s="681">
        <v>153945574</v>
      </c>
      <c r="C9" s="675">
        <v>32768953</v>
      </c>
      <c r="D9" s="675">
        <v>22203379</v>
      </c>
      <c r="E9" s="676">
        <v>0</v>
      </c>
      <c r="F9" s="677">
        <v>50204132</v>
      </c>
      <c r="G9" s="678">
        <f t="shared" si="0"/>
        <v>259122038</v>
      </c>
      <c r="H9" s="678">
        <v>275760140</v>
      </c>
    </row>
    <row r="10" spans="1:8" ht="12.75">
      <c r="A10" s="682" t="s">
        <v>896</v>
      </c>
      <c r="B10" s="681">
        <v>0</v>
      </c>
      <c r="C10" s="675">
        <v>379181827</v>
      </c>
      <c r="D10" s="675">
        <v>0</v>
      </c>
      <c r="E10" s="676">
        <v>0</v>
      </c>
      <c r="F10" s="677">
        <v>0</v>
      </c>
      <c r="G10" s="678">
        <f t="shared" si="0"/>
        <v>379181827</v>
      </c>
      <c r="H10" s="678">
        <v>491543507</v>
      </c>
    </row>
    <row r="11" spans="1:8" ht="12.75">
      <c r="A11" s="682" t="s">
        <v>897</v>
      </c>
      <c r="B11" s="681">
        <v>20106964</v>
      </c>
      <c r="C11" s="675">
        <v>1370991198</v>
      </c>
      <c r="D11" s="675">
        <v>56392760</v>
      </c>
      <c r="E11" s="676">
        <v>0</v>
      </c>
      <c r="F11" s="677">
        <v>0</v>
      </c>
      <c r="G11" s="678">
        <f t="shared" si="0"/>
        <v>1447490922</v>
      </c>
      <c r="H11" s="678">
        <v>1747036085</v>
      </c>
    </row>
    <row r="12" spans="1:8" ht="12.75">
      <c r="A12" s="682" t="s">
        <v>898</v>
      </c>
      <c r="B12" s="681">
        <v>517200010</v>
      </c>
      <c r="C12" s="675">
        <v>1896129954</v>
      </c>
      <c r="D12" s="675">
        <v>176803370</v>
      </c>
      <c r="E12" s="676">
        <v>0</v>
      </c>
      <c r="F12" s="677">
        <v>29184630</v>
      </c>
      <c r="G12" s="678">
        <f t="shared" si="0"/>
        <v>2619317964</v>
      </c>
      <c r="H12" s="678">
        <v>3267048815</v>
      </c>
    </row>
    <row r="13" spans="1:8" ht="12.75">
      <c r="A13" s="682" t="s">
        <v>899</v>
      </c>
      <c r="B13" s="681">
        <v>106404077</v>
      </c>
      <c r="C13" s="675">
        <v>35629250</v>
      </c>
      <c r="D13" s="675">
        <v>0</v>
      </c>
      <c r="E13" s="676">
        <v>0</v>
      </c>
      <c r="F13" s="677">
        <v>0</v>
      </c>
      <c r="G13" s="678">
        <f t="shared" si="0"/>
        <v>142033327</v>
      </c>
      <c r="H13" s="678">
        <v>95158263</v>
      </c>
    </row>
    <row r="14" spans="1:8" ht="12.75">
      <c r="A14" s="682" t="s">
        <v>900</v>
      </c>
      <c r="B14" s="681">
        <v>0</v>
      </c>
      <c r="C14" s="675">
        <v>175628983</v>
      </c>
      <c r="D14" s="675">
        <v>0</v>
      </c>
      <c r="E14" s="676">
        <v>0</v>
      </c>
      <c r="F14" s="677">
        <v>0</v>
      </c>
      <c r="G14" s="678">
        <f t="shared" si="0"/>
        <v>175628983</v>
      </c>
      <c r="H14" s="678">
        <v>241776450</v>
      </c>
    </row>
    <row r="15" spans="1:8" ht="12.75">
      <c r="A15" s="682" t="s">
        <v>901</v>
      </c>
      <c r="B15" s="681">
        <v>0</v>
      </c>
      <c r="C15" s="675">
        <v>0</v>
      </c>
      <c r="D15" s="675">
        <v>567599221</v>
      </c>
      <c r="E15" s="676">
        <v>0</v>
      </c>
      <c r="F15" s="677">
        <v>0</v>
      </c>
      <c r="G15" s="678">
        <f t="shared" si="0"/>
        <v>567599221</v>
      </c>
      <c r="H15" s="678">
        <v>532516666</v>
      </c>
    </row>
    <row r="16" spans="1:8" ht="12.75">
      <c r="A16" s="682" t="s">
        <v>902</v>
      </c>
      <c r="B16" s="681">
        <v>0</v>
      </c>
      <c r="C16" s="675">
        <v>86642799</v>
      </c>
      <c r="D16" s="675">
        <f>7152049862-2778748051-1220718804</f>
        <v>3152583007</v>
      </c>
      <c r="E16" s="676">
        <v>0</v>
      </c>
      <c r="F16" s="677">
        <v>0</v>
      </c>
      <c r="G16" s="678">
        <f t="shared" si="0"/>
        <v>3239225806</v>
      </c>
      <c r="H16" s="678">
        <f>7751603427-4541875488</f>
        <v>3209727939</v>
      </c>
    </row>
    <row r="17" spans="1:8" ht="12.75">
      <c r="A17" s="682" t="s">
        <v>903</v>
      </c>
      <c r="B17" s="681">
        <v>1019163166</v>
      </c>
      <c r="C17" s="675">
        <v>1973719266</v>
      </c>
      <c r="D17" s="675">
        <v>692296111</v>
      </c>
      <c r="E17" s="676">
        <v>0</v>
      </c>
      <c r="F17" s="677">
        <v>859148857</v>
      </c>
      <c r="G17" s="678">
        <f t="shared" si="0"/>
        <v>4544327400</v>
      </c>
      <c r="H17" s="678">
        <v>6776385395</v>
      </c>
    </row>
    <row r="18" spans="1:8" ht="12.75">
      <c r="A18" s="682" t="s">
        <v>904</v>
      </c>
      <c r="B18" s="683">
        <v>0</v>
      </c>
      <c r="C18" s="681">
        <v>0</v>
      </c>
      <c r="D18" s="676">
        <v>0</v>
      </c>
      <c r="E18" s="676">
        <v>0</v>
      </c>
      <c r="F18" s="676">
        <v>0</v>
      </c>
      <c r="G18" s="678">
        <f t="shared" si="0"/>
        <v>0</v>
      </c>
      <c r="H18" s="678">
        <v>48809411</v>
      </c>
    </row>
    <row r="19" spans="1:8" ht="12.75">
      <c r="A19" s="682" t="s">
        <v>905</v>
      </c>
      <c r="B19" s="683">
        <v>208457946</v>
      </c>
      <c r="C19" s="681">
        <v>29494785</v>
      </c>
      <c r="D19" s="676">
        <v>452601392</v>
      </c>
      <c r="E19" s="676">
        <v>0</v>
      </c>
      <c r="F19" s="676">
        <v>57241209</v>
      </c>
      <c r="G19" s="678">
        <f t="shared" si="0"/>
        <v>747795332</v>
      </c>
      <c r="H19" s="678">
        <v>734600484</v>
      </c>
    </row>
    <row r="20" spans="1:8" ht="12.75">
      <c r="A20" s="682" t="s">
        <v>906</v>
      </c>
      <c r="B20" s="683">
        <v>321661483</v>
      </c>
      <c r="C20" s="681">
        <v>146795455</v>
      </c>
      <c r="D20" s="676">
        <v>0</v>
      </c>
      <c r="E20" s="676">
        <v>0</v>
      </c>
      <c r="F20" s="676">
        <v>0</v>
      </c>
      <c r="G20" s="678">
        <f t="shared" si="0"/>
        <v>468456938</v>
      </c>
      <c r="H20" s="678">
        <v>376091509</v>
      </c>
    </row>
    <row r="21" spans="1:8" ht="12.75">
      <c r="A21" s="682" t="s">
        <v>907</v>
      </c>
      <c r="B21" s="683">
        <v>19718187</v>
      </c>
      <c r="C21" s="681">
        <v>0</v>
      </c>
      <c r="D21" s="676">
        <v>0</v>
      </c>
      <c r="E21" s="676">
        <v>0</v>
      </c>
      <c r="F21" s="676">
        <v>0</v>
      </c>
      <c r="G21" s="678">
        <f t="shared" si="0"/>
        <v>19718187</v>
      </c>
      <c r="H21" s="678">
        <v>16903639</v>
      </c>
    </row>
    <row r="22" spans="1:8" ht="12.75">
      <c r="A22" s="682" t="s">
        <v>908</v>
      </c>
      <c r="B22" s="683">
        <v>0</v>
      </c>
      <c r="C22" s="681">
        <v>25899254</v>
      </c>
      <c r="D22" s="676">
        <v>0</v>
      </c>
      <c r="E22" s="676">
        <v>0</v>
      </c>
      <c r="F22" s="676">
        <v>0</v>
      </c>
      <c r="G22" s="678">
        <f t="shared" si="0"/>
        <v>25899254</v>
      </c>
      <c r="H22" s="678">
        <v>19536014</v>
      </c>
    </row>
    <row r="23" spans="1:8" ht="12.75">
      <c r="A23" s="682" t="s">
        <v>909</v>
      </c>
      <c r="B23" s="683">
        <v>2944207821</v>
      </c>
      <c r="C23" s="681">
        <v>278086766</v>
      </c>
      <c r="D23" s="676">
        <v>0</v>
      </c>
      <c r="E23" s="676">
        <v>0</v>
      </c>
      <c r="F23" s="676">
        <v>2782645308</v>
      </c>
      <c r="G23" s="678">
        <f t="shared" si="0"/>
        <v>6004939895</v>
      </c>
      <c r="H23" s="678">
        <v>6133371028</v>
      </c>
    </row>
    <row r="24" spans="1:8" ht="12.75">
      <c r="A24" s="682" t="s">
        <v>910</v>
      </c>
      <c r="B24" s="683">
        <v>5739487</v>
      </c>
      <c r="C24" s="681">
        <v>4582711</v>
      </c>
      <c r="D24" s="676">
        <v>67209265</v>
      </c>
      <c r="E24" s="676">
        <v>0</v>
      </c>
      <c r="F24" s="676">
        <v>15856350</v>
      </c>
      <c r="G24" s="678">
        <f t="shared" si="0"/>
        <v>93387813</v>
      </c>
      <c r="H24" s="678">
        <v>135926772</v>
      </c>
    </row>
    <row r="25" spans="1:8" ht="12.75">
      <c r="A25" s="682" t="s">
        <v>911</v>
      </c>
      <c r="B25" s="683">
        <v>0</v>
      </c>
      <c r="C25" s="681">
        <v>0</v>
      </c>
      <c r="D25" s="676">
        <v>154125000</v>
      </c>
      <c r="E25" s="676">
        <v>0</v>
      </c>
      <c r="F25" s="676">
        <v>0</v>
      </c>
      <c r="G25" s="678">
        <f t="shared" si="0"/>
        <v>154125000</v>
      </c>
      <c r="H25" s="678">
        <v>168500000</v>
      </c>
    </row>
    <row r="26" spans="1:8" ht="12.75">
      <c r="A26" s="682" t="s">
        <v>912</v>
      </c>
      <c r="B26" s="683">
        <v>0</v>
      </c>
      <c r="C26" s="681">
        <v>0</v>
      </c>
      <c r="D26" s="676">
        <v>1267500000</v>
      </c>
      <c r="E26" s="676">
        <v>0</v>
      </c>
      <c r="F26" s="676">
        <v>0</v>
      </c>
      <c r="G26" s="678">
        <f t="shared" si="0"/>
        <v>1267500000</v>
      </c>
      <c r="H26" s="678">
        <v>1267500000</v>
      </c>
    </row>
    <row r="27" spans="1:8" ht="12.75">
      <c r="A27" s="682" t="s">
        <v>913</v>
      </c>
      <c r="B27" s="683">
        <v>0</v>
      </c>
      <c r="C27" s="681">
        <v>0</v>
      </c>
      <c r="D27" s="676">
        <v>1902408920</v>
      </c>
      <c r="E27" s="676">
        <v>0</v>
      </c>
      <c r="F27" s="676">
        <v>0</v>
      </c>
      <c r="G27" s="678">
        <f t="shared" si="0"/>
        <v>1902408920</v>
      </c>
      <c r="H27" s="678">
        <v>1901306849</v>
      </c>
    </row>
    <row r="28" spans="1:8" ht="12.75">
      <c r="A28" s="682" t="s">
        <v>914</v>
      </c>
      <c r="B28" s="683">
        <v>0</v>
      </c>
      <c r="C28" s="681">
        <v>0</v>
      </c>
      <c r="D28" s="676">
        <v>20363854</v>
      </c>
      <c r="E28" s="676">
        <v>0</v>
      </c>
      <c r="F28" s="676">
        <v>0</v>
      </c>
      <c r="G28" s="678">
        <f t="shared" si="0"/>
        <v>20363854</v>
      </c>
      <c r="H28" s="678">
        <v>2711351</v>
      </c>
    </row>
    <row r="29" spans="1:8" ht="12.75">
      <c r="A29" s="682" t="s">
        <v>915</v>
      </c>
      <c r="B29" s="683">
        <v>10568357</v>
      </c>
      <c r="C29" s="675">
        <v>11968805</v>
      </c>
      <c r="D29" s="675">
        <v>108959306</v>
      </c>
      <c r="E29" s="676">
        <v>0</v>
      </c>
      <c r="F29" s="675">
        <v>51109204</v>
      </c>
      <c r="G29" s="678">
        <f t="shared" si="0"/>
        <v>182605672</v>
      </c>
      <c r="H29" s="678">
        <v>185680895</v>
      </c>
    </row>
    <row r="30" spans="1:8" ht="12.75">
      <c r="A30" s="682" t="s">
        <v>916</v>
      </c>
      <c r="B30" s="681">
        <v>0</v>
      </c>
      <c r="C30" s="675">
        <v>0</v>
      </c>
      <c r="D30" s="675">
        <v>614545</v>
      </c>
      <c r="E30" s="676">
        <v>0</v>
      </c>
      <c r="F30" s="681">
        <v>0</v>
      </c>
      <c r="G30" s="678">
        <f t="shared" si="0"/>
        <v>614545</v>
      </c>
      <c r="H30" s="678">
        <v>1908254</v>
      </c>
    </row>
    <row r="31" spans="1:8" ht="12.75">
      <c r="A31" s="682" t="s">
        <v>917</v>
      </c>
      <c r="B31" s="681">
        <v>0</v>
      </c>
      <c r="C31" s="675">
        <v>0</v>
      </c>
      <c r="D31" s="675">
        <v>36393636</v>
      </c>
      <c r="E31" s="676">
        <v>0</v>
      </c>
      <c r="F31" s="681">
        <v>0</v>
      </c>
      <c r="G31" s="678">
        <f t="shared" si="0"/>
        <v>36393636</v>
      </c>
      <c r="H31" s="678">
        <v>28420000</v>
      </c>
    </row>
    <row r="32" spans="1:8" ht="12.75">
      <c r="A32" s="682" t="s">
        <v>918</v>
      </c>
      <c r="B32" s="681">
        <v>479036</v>
      </c>
      <c r="C32" s="675">
        <v>433744931</v>
      </c>
      <c r="D32" s="675">
        <v>7820755</v>
      </c>
      <c r="E32" s="676">
        <v>0</v>
      </c>
      <c r="F32" s="676">
        <v>0</v>
      </c>
      <c r="G32" s="678">
        <f t="shared" si="0"/>
        <v>442044722</v>
      </c>
      <c r="H32" s="678">
        <v>494364058</v>
      </c>
    </row>
    <row r="33" spans="1:8" ht="12.75">
      <c r="A33" s="682" t="s">
        <v>919</v>
      </c>
      <c r="B33" s="681">
        <v>227091</v>
      </c>
      <c r="C33" s="675">
        <v>0</v>
      </c>
      <c r="D33" s="675">
        <v>0</v>
      </c>
      <c r="E33" s="676">
        <v>0</v>
      </c>
      <c r="F33" s="684">
        <v>0</v>
      </c>
      <c r="G33" s="678">
        <f t="shared" si="0"/>
        <v>227091</v>
      </c>
      <c r="H33" s="678">
        <v>3150000</v>
      </c>
    </row>
    <row r="34" spans="1:8" ht="12.75">
      <c r="A34" s="682" t="s">
        <v>920</v>
      </c>
      <c r="B34" s="681">
        <v>5731819</v>
      </c>
      <c r="C34" s="675">
        <v>22153595</v>
      </c>
      <c r="D34" s="675">
        <v>455651659</v>
      </c>
      <c r="E34" s="676">
        <v>0</v>
      </c>
      <c r="F34" s="676">
        <v>82118983</v>
      </c>
      <c r="G34" s="678">
        <f t="shared" si="0"/>
        <v>565656056</v>
      </c>
      <c r="H34" s="678">
        <v>263849864</v>
      </c>
    </row>
    <row r="35" spans="1:8" ht="12.75">
      <c r="A35" s="682" t="s">
        <v>921</v>
      </c>
      <c r="B35" s="681">
        <v>0</v>
      </c>
      <c r="C35" s="675">
        <v>0</v>
      </c>
      <c r="D35" s="675">
        <v>16310546</v>
      </c>
      <c r="E35" s="676">
        <v>0</v>
      </c>
      <c r="F35" s="681">
        <v>0</v>
      </c>
      <c r="G35" s="678">
        <f t="shared" si="0"/>
        <v>16310546</v>
      </c>
      <c r="H35" s="678">
        <v>53554317</v>
      </c>
    </row>
    <row r="36" spans="1:8" ht="12.75">
      <c r="A36" s="682" t="s">
        <v>922</v>
      </c>
      <c r="B36" s="681">
        <v>0</v>
      </c>
      <c r="C36" s="676">
        <v>94311025</v>
      </c>
      <c r="D36" s="676">
        <v>6632339</v>
      </c>
      <c r="E36" s="676">
        <v>0</v>
      </c>
      <c r="F36" s="676">
        <v>0</v>
      </c>
      <c r="G36" s="678">
        <f t="shared" si="0"/>
        <v>100943364</v>
      </c>
      <c r="H36" s="678">
        <v>91292394</v>
      </c>
    </row>
    <row r="37" spans="1:8" ht="12.75">
      <c r="A37" s="682" t="s">
        <v>923</v>
      </c>
      <c r="B37" s="681">
        <v>0</v>
      </c>
      <c r="C37" s="676">
        <v>0</v>
      </c>
      <c r="D37" s="676">
        <v>55165175</v>
      </c>
      <c r="E37" s="676">
        <v>0</v>
      </c>
      <c r="F37" s="676">
        <v>0</v>
      </c>
      <c r="G37" s="678">
        <f t="shared" si="0"/>
        <v>55165175</v>
      </c>
      <c r="H37" s="678">
        <v>12281272</v>
      </c>
    </row>
    <row r="38" spans="1:8" ht="12.75">
      <c r="A38" s="682" t="s">
        <v>924</v>
      </c>
      <c r="B38" s="681">
        <v>0</v>
      </c>
      <c r="C38" s="676">
        <v>0</v>
      </c>
      <c r="D38" s="676">
        <v>2727272</v>
      </c>
      <c r="E38" s="676">
        <v>0</v>
      </c>
      <c r="F38" s="676">
        <v>5524545</v>
      </c>
      <c r="G38" s="678">
        <f t="shared" si="0"/>
        <v>8251817</v>
      </c>
      <c r="H38" s="678">
        <v>79328437</v>
      </c>
    </row>
    <row r="39" spans="1:8" ht="12.75">
      <c r="A39" s="682" t="s">
        <v>925</v>
      </c>
      <c r="B39" s="681">
        <v>0</v>
      </c>
      <c r="C39" s="675">
        <v>0</v>
      </c>
      <c r="D39" s="676">
        <v>18432592</v>
      </c>
      <c r="E39" s="676">
        <v>0</v>
      </c>
      <c r="F39" s="676">
        <v>0</v>
      </c>
      <c r="G39" s="678">
        <f t="shared" si="0"/>
        <v>18432592</v>
      </c>
      <c r="H39" s="678">
        <v>22973963</v>
      </c>
    </row>
    <row r="40" spans="1:8" ht="12.75">
      <c r="A40" s="682" t="s">
        <v>926</v>
      </c>
      <c r="B40" s="681">
        <v>0</v>
      </c>
      <c r="C40" s="675">
        <v>0</v>
      </c>
      <c r="D40" s="684">
        <v>1114854985</v>
      </c>
      <c r="E40" s="676">
        <v>0</v>
      </c>
      <c r="F40" s="677">
        <v>424740973</v>
      </c>
      <c r="G40" s="678">
        <f t="shared" si="0"/>
        <v>1539595958</v>
      </c>
      <c r="H40" s="678">
        <v>1507418632</v>
      </c>
    </row>
    <row r="41" spans="1:8" ht="12.75">
      <c r="A41" s="682" t="s">
        <v>927</v>
      </c>
      <c r="B41" s="681">
        <v>0</v>
      </c>
      <c r="C41" s="675">
        <v>501346180</v>
      </c>
      <c r="D41" s="684">
        <v>0</v>
      </c>
      <c r="E41" s="676">
        <v>0</v>
      </c>
      <c r="F41" s="677">
        <v>50430002</v>
      </c>
      <c r="G41" s="678">
        <f t="shared" si="0"/>
        <v>551776182</v>
      </c>
      <c r="H41" s="678">
        <v>130051820</v>
      </c>
    </row>
    <row r="42" spans="1:8" ht="12.75">
      <c r="A42" s="682" t="s">
        <v>928</v>
      </c>
      <c r="B42" s="683">
        <v>1690309</v>
      </c>
      <c r="C42" s="676">
        <v>25267716</v>
      </c>
      <c r="D42" s="681">
        <v>0</v>
      </c>
      <c r="E42" s="676">
        <v>0</v>
      </c>
      <c r="F42" s="676">
        <v>54631612</v>
      </c>
      <c r="G42" s="678">
        <f t="shared" si="0"/>
        <v>81589637</v>
      </c>
      <c r="H42" s="678">
        <v>79583577</v>
      </c>
    </row>
    <row r="43" spans="1:8" ht="12.75">
      <c r="A43" s="682" t="s">
        <v>929</v>
      </c>
      <c r="B43" s="683">
        <v>2424363</v>
      </c>
      <c r="C43" s="676">
        <v>23480</v>
      </c>
      <c r="D43" s="675">
        <v>1463303</v>
      </c>
      <c r="E43" s="676">
        <v>0</v>
      </c>
      <c r="F43" s="676">
        <v>4349066</v>
      </c>
      <c r="G43" s="678">
        <f t="shared" si="0"/>
        <v>8260212</v>
      </c>
      <c r="H43" s="678">
        <v>7735411</v>
      </c>
    </row>
    <row r="44" spans="1:8" ht="12.75">
      <c r="A44" s="682" t="s">
        <v>930</v>
      </c>
      <c r="B44" s="683">
        <v>3213894</v>
      </c>
      <c r="C44" s="676">
        <v>0</v>
      </c>
      <c r="D44" s="675">
        <v>301825</v>
      </c>
      <c r="E44" s="676">
        <v>0</v>
      </c>
      <c r="F44" s="676">
        <v>4953955</v>
      </c>
      <c r="G44" s="678">
        <f t="shared" si="0"/>
        <v>8469674</v>
      </c>
      <c r="H44" s="678">
        <v>17896337</v>
      </c>
    </row>
    <row r="45" spans="1:8" ht="12.75">
      <c r="A45" s="682" t="s">
        <v>931</v>
      </c>
      <c r="B45" s="683">
        <v>225280831</v>
      </c>
      <c r="C45" s="676">
        <v>0</v>
      </c>
      <c r="D45" s="681">
        <v>2913618</v>
      </c>
      <c r="E45" s="676">
        <v>0</v>
      </c>
      <c r="F45" s="676">
        <v>0</v>
      </c>
      <c r="G45" s="678">
        <f t="shared" si="0"/>
        <v>228194449</v>
      </c>
      <c r="H45" s="678">
        <v>17933486</v>
      </c>
    </row>
    <row r="46" spans="1:8" ht="12.75">
      <c r="A46" s="682" t="s">
        <v>932</v>
      </c>
      <c r="B46" s="683">
        <v>0</v>
      </c>
      <c r="C46" s="676"/>
      <c r="D46" s="683">
        <v>753000</v>
      </c>
      <c r="E46" s="676">
        <v>0</v>
      </c>
      <c r="F46" s="676">
        <v>0</v>
      </c>
      <c r="G46" s="678">
        <f t="shared" si="0"/>
        <v>753000</v>
      </c>
      <c r="H46" s="678">
        <v>24761605</v>
      </c>
    </row>
    <row r="47" spans="1:8" ht="12.75">
      <c r="A47" s="682" t="s">
        <v>933</v>
      </c>
      <c r="B47" s="683">
        <v>0</v>
      </c>
      <c r="C47" s="676">
        <v>0</v>
      </c>
      <c r="D47" s="683">
        <v>0</v>
      </c>
      <c r="E47" s="676">
        <v>0</v>
      </c>
      <c r="F47" s="676">
        <v>0</v>
      </c>
      <c r="G47" s="678">
        <f t="shared" si="0"/>
        <v>0</v>
      </c>
      <c r="H47" s="678">
        <v>7485357</v>
      </c>
    </row>
    <row r="48" spans="1:8" ht="12.75">
      <c r="A48" s="682" t="s">
        <v>934</v>
      </c>
      <c r="B48" s="683">
        <v>178885665</v>
      </c>
      <c r="C48" s="676">
        <v>22121066</v>
      </c>
      <c r="D48" s="683">
        <v>1252596</v>
      </c>
      <c r="E48" s="676">
        <v>0</v>
      </c>
      <c r="F48" s="676">
        <v>6108056</v>
      </c>
      <c r="G48" s="678">
        <f t="shared" si="0"/>
        <v>208367383</v>
      </c>
      <c r="H48" s="678">
        <v>177575946</v>
      </c>
    </row>
    <row r="49" spans="1:8" ht="12.75">
      <c r="A49" s="682" t="s">
        <v>935</v>
      </c>
      <c r="B49" s="683">
        <v>0</v>
      </c>
      <c r="C49" s="676">
        <v>0</v>
      </c>
      <c r="D49" s="681">
        <v>251263637</v>
      </c>
      <c r="E49" s="676">
        <v>0</v>
      </c>
      <c r="F49" s="676">
        <v>0</v>
      </c>
      <c r="G49" s="678">
        <f t="shared" si="0"/>
        <v>251263637</v>
      </c>
      <c r="H49" s="678">
        <v>180272727</v>
      </c>
    </row>
    <row r="50" spans="1:8" ht="12.75">
      <c r="A50" s="682" t="s">
        <v>936</v>
      </c>
      <c r="B50" s="683">
        <v>0</v>
      </c>
      <c r="C50" s="676">
        <v>42909092</v>
      </c>
      <c r="D50" s="681">
        <v>0</v>
      </c>
      <c r="E50" s="676">
        <v>0</v>
      </c>
      <c r="F50" s="676">
        <v>0</v>
      </c>
      <c r="G50" s="678">
        <f t="shared" si="0"/>
        <v>42909092</v>
      </c>
      <c r="H50" s="678">
        <v>64127273</v>
      </c>
    </row>
    <row r="51" spans="1:8" ht="12.75">
      <c r="A51" s="682" t="s">
        <v>937</v>
      </c>
      <c r="B51" s="683">
        <v>0</v>
      </c>
      <c r="C51" s="676">
        <v>50313637</v>
      </c>
      <c r="D51" s="684">
        <v>0</v>
      </c>
      <c r="E51" s="676">
        <v>0</v>
      </c>
      <c r="F51" s="684">
        <v>0</v>
      </c>
      <c r="G51" s="678">
        <f t="shared" si="0"/>
        <v>50313637</v>
      </c>
      <c r="H51" s="678">
        <v>64898749</v>
      </c>
    </row>
    <row r="52" spans="1:8" ht="12.75">
      <c r="A52" s="682" t="s">
        <v>938</v>
      </c>
      <c r="B52" s="683">
        <v>0</v>
      </c>
      <c r="C52" s="676">
        <v>0</v>
      </c>
      <c r="D52" s="684">
        <v>193521555</v>
      </c>
      <c r="E52" s="676">
        <v>0</v>
      </c>
      <c r="F52" s="676">
        <v>0</v>
      </c>
      <c r="G52" s="678">
        <f t="shared" si="0"/>
        <v>193521555</v>
      </c>
      <c r="H52" s="678">
        <v>310235279</v>
      </c>
    </row>
    <row r="53" spans="1:8" ht="12.75">
      <c r="A53" s="682" t="s">
        <v>939</v>
      </c>
      <c r="B53" s="683">
        <v>4003632</v>
      </c>
      <c r="C53" s="676">
        <v>0</v>
      </c>
      <c r="D53" s="684">
        <v>0</v>
      </c>
      <c r="E53" s="676">
        <v>0</v>
      </c>
      <c r="F53" s="676">
        <v>0</v>
      </c>
      <c r="G53" s="678">
        <f t="shared" si="0"/>
        <v>4003632</v>
      </c>
      <c r="H53" s="678">
        <v>4003632</v>
      </c>
    </row>
    <row r="54" spans="1:8" ht="12.75">
      <c r="A54" s="682" t="s">
        <v>940</v>
      </c>
      <c r="B54" s="683">
        <v>271901284</v>
      </c>
      <c r="C54" s="676">
        <v>0</v>
      </c>
      <c r="D54" s="683">
        <v>0</v>
      </c>
      <c r="E54" s="676">
        <v>0</v>
      </c>
      <c r="F54" s="676">
        <v>0</v>
      </c>
      <c r="G54" s="678">
        <f t="shared" si="0"/>
        <v>271901284</v>
      </c>
      <c r="H54" s="678">
        <v>187786151</v>
      </c>
    </row>
    <row r="55" spans="1:8" ht="12.75">
      <c r="A55" s="682" t="s">
        <v>941</v>
      </c>
      <c r="B55" s="683">
        <v>0</v>
      </c>
      <c r="C55" s="676">
        <v>0</v>
      </c>
      <c r="D55" s="676">
        <v>0</v>
      </c>
      <c r="E55" s="676">
        <v>0</v>
      </c>
      <c r="F55" s="676">
        <v>0</v>
      </c>
      <c r="G55" s="678">
        <f t="shared" si="0"/>
        <v>0</v>
      </c>
      <c r="H55" s="678">
        <v>9676342</v>
      </c>
    </row>
    <row r="56" spans="1:8" ht="12.75">
      <c r="A56" s="682" t="s">
        <v>942</v>
      </c>
      <c r="B56" s="683">
        <v>0</v>
      </c>
      <c r="C56" s="676">
        <v>0</v>
      </c>
      <c r="D56" s="676">
        <v>104629740</v>
      </c>
      <c r="E56" s="676">
        <v>0</v>
      </c>
      <c r="F56" s="676">
        <v>0</v>
      </c>
      <c r="G56" s="678">
        <f t="shared" si="0"/>
        <v>104629740</v>
      </c>
      <c r="H56" s="678">
        <v>92629663</v>
      </c>
    </row>
    <row r="57" spans="1:8" ht="12.75">
      <c r="A57" s="682" t="s">
        <v>943</v>
      </c>
      <c r="B57" s="683">
        <v>0</v>
      </c>
      <c r="C57" s="676">
        <v>0</v>
      </c>
      <c r="D57" s="683">
        <v>137162310</v>
      </c>
      <c r="E57" s="676">
        <v>0</v>
      </c>
      <c r="F57" s="676">
        <v>0</v>
      </c>
      <c r="G57" s="678">
        <f t="shared" si="0"/>
        <v>137162310</v>
      </c>
      <c r="H57" s="678">
        <v>1200000000</v>
      </c>
    </row>
    <row r="58" spans="1:8" ht="12.75">
      <c r="A58" s="682" t="s">
        <v>944</v>
      </c>
      <c r="B58" s="683">
        <v>0</v>
      </c>
      <c r="C58" s="676">
        <v>0</v>
      </c>
      <c r="D58" s="683">
        <v>24000000</v>
      </c>
      <c r="E58" s="676">
        <v>0</v>
      </c>
      <c r="F58" s="676">
        <v>0</v>
      </c>
      <c r="G58" s="678">
        <f t="shared" si="0"/>
        <v>24000000</v>
      </c>
      <c r="H58" s="678">
        <v>24000000</v>
      </c>
    </row>
    <row r="59" spans="1:8" ht="12.75">
      <c r="A59" s="682" t="s">
        <v>945</v>
      </c>
      <c r="B59" s="683">
        <v>0</v>
      </c>
      <c r="C59" s="676">
        <v>0</v>
      </c>
      <c r="D59" s="683">
        <v>14730408</v>
      </c>
      <c r="E59" s="676">
        <v>0</v>
      </c>
      <c r="F59" s="676">
        <v>0</v>
      </c>
      <c r="G59" s="678">
        <f t="shared" si="0"/>
        <v>14730408</v>
      </c>
      <c r="H59" s="678">
        <v>14938327</v>
      </c>
    </row>
    <row r="60" spans="1:8" ht="12.75">
      <c r="A60" s="682" t="s">
        <v>946</v>
      </c>
      <c r="B60" s="683">
        <v>0</v>
      </c>
      <c r="C60" s="676">
        <v>0</v>
      </c>
      <c r="D60" s="683">
        <v>203896264</v>
      </c>
      <c r="E60" s="676">
        <v>0</v>
      </c>
      <c r="F60" s="676">
        <v>0</v>
      </c>
      <c r="G60" s="678">
        <f t="shared" si="0"/>
        <v>203896264</v>
      </c>
      <c r="H60" s="678">
        <v>27130518</v>
      </c>
    </row>
    <row r="61" spans="1:8" ht="12.75">
      <c r="A61" s="682" t="s">
        <v>947</v>
      </c>
      <c r="B61" s="683">
        <v>0</v>
      </c>
      <c r="C61" s="676">
        <v>0</v>
      </c>
      <c r="D61" s="683">
        <v>1332000</v>
      </c>
      <c r="E61" s="676">
        <v>0</v>
      </c>
      <c r="F61" s="676">
        <v>0</v>
      </c>
      <c r="G61" s="678">
        <f t="shared" si="0"/>
        <v>1332000</v>
      </c>
      <c r="H61" s="678">
        <v>0</v>
      </c>
    </row>
    <row r="62" spans="1:8" ht="12.75">
      <c r="A62" s="682" t="s">
        <v>948</v>
      </c>
      <c r="B62" s="683">
        <v>0</v>
      </c>
      <c r="C62" s="676">
        <v>0</v>
      </c>
      <c r="D62" s="683">
        <v>4928990</v>
      </c>
      <c r="E62" s="676">
        <v>0</v>
      </c>
      <c r="F62" s="676">
        <v>0</v>
      </c>
      <c r="G62" s="678">
        <f t="shared" si="0"/>
        <v>4928990</v>
      </c>
      <c r="H62" s="678">
        <v>6889202</v>
      </c>
    </row>
    <row r="63" spans="1:8" ht="12.75">
      <c r="A63" s="682" t="s">
        <v>949</v>
      </c>
      <c r="B63" s="683">
        <v>0</v>
      </c>
      <c r="C63" s="676">
        <v>0</v>
      </c>
      <c r="D63" s="683">
        <v>0</v>
      </c>
      <c r="E63" s="676">
        <v>744014560</v>
      </c>
      <c r="F63" s="676">
        <v>0</v>
      </c>
      <c r="G63" s="678">
        <f t="shared" si="0"/>
        <v>744014560</v>
      </c>
      <c r="H63" s="678">
        <v>23869698</v>
      </c>
    </row>
    <row r="64" spans="1:8" ht="12.75">
      <c r="A64" s="682" t="s">
        <v>950</v>
      </c>
      <c r="B64" s="683">
        <v>0</v>
      </c>
      <c r="C64" s="676">
        <v>0</v>
      </c>
      <c r="D64" s="683">
        <v>94273977</v>
      </c>
      <c r="E64" s="676">
        <v>0</v>
      </c>
      <c r="F64" s="676">
        <v>0</v>
      </c>
      <c r="G64" s="678">
        <f t="shared" si="0"/>
        <v>94273977</v>
      </c>
      <c r="H64" s="678">
        <v>0</v>
      </c>
    </row>
    <row r="65" spans="1:8" ht="12.75">
      <c r="A65" s="682" t="s">
        <v>951</v>
      </c>
      <c r="B65" s="683">
        <v>0</v>
      </c>
      <c r="C65" s="676">
        <v>0</v>
      </c>
      <c r="D65" s="683">
        <v>0</v>
      </c>
      <c r="E65" s="676">
        <v>87692849</v>
      </c>
      <c r="F65" s="676">
        <v>0</v>
      </c>
      <c r="G65" s="678">
        <f t="shared" si="0"/>
        <v>87692849</v>
      </c>
      <c r="H65" s="678">
        <v>58285721</v>
      </c>
    </row>
    <row r="66" spans="1:8" ht="12.75">
      <c r="A66" s="682" t="s">
        <v>952</v>
      </c>
      <c r="B66" s="683">
        <v>0</v>
      </c>
      <c r="C66" s="676">
        <v>0</v>
      </c>
      <c r="D66" s="683">
        <v>0</v>
      </c>
      <c r="E66" s="676">
        <v>0</v>
      </c>
      <c r="F66" s="676">
        <v>0</v>
      </c>
      <c r="G66" s="678">
        <f t="shared" si="0"/>
        <v>0</v>
      </c>
      <c r="H66" s="678">
        <v>1480014611</v>
      </c>
    </row>
    <row r="67" spans="1:8" ht="12.75">
      <c r="A67" s="682" t="s">
        <v>953</v>
      </c>
      <c r="B67" s="683">
        <v>0</v>
      </c>
      <c r="C67" s="676">
        <v>0</v>
      </c>
      <c r="D67" s="683">
        <v>0</v>
      </c>
      <c r="E67" s="676">
        <v>955301372</v>
      </c>
      <c r="F67" s="676">
        <v>0</v>
      </c>
      <c r="G67" s="678">
        <f t="shared" si="0"/>
        <v>955301372</v>
      </c>
      <c r="H67" s="678">
        <v>686765277</v>
      </c>
    </row>
    <row r="68" spans="1:8" ht="12.75">
      <c r="A68" s="682" t="s">
        <v>954</v>
      </c>
      <c r="B68" s="683">
        <v>0</v>
      </c>
      <c r="C68" s="676">
        <v>0</v>
      </c>
      <c r="D68" s="683">
        <v>130665520</v>
      </c>
      <c r="E68" s="676">
        <v>0</v>
      </c>
      <c r="F68" s="676">
        <v>0</v>
      </c>
      <c r="G68" s="678">
        <f t="shared" si="0"/>
        <v>130665520</v>
      </c>
      <c r="H68" s="678">
        <v>132050350</v>
      </c>
    </row>
    <row r="69" spans="1:8" ht="12.75">
      <c r="A69" s="682" t="s">
        <v>955</v>
      </c>
      <c r="B69" s="683">
        <v>156000000</v>
      </c>
      <c r="C69" s="676">
        <v>263504978</v>
      </c>
      <c r="D69" s="683">
        <v>0</v>
      </c>
      <c r="E69" s="676">
        <v>0</v>
      </c>
      <c r="F69" s="676">
        <v>0</v>
      </c>
      <c r="G69" s="678">
        <f t="shared" si="0"/>
        <v>419504978</v>
      </c>
      <c r="H69" s="678">
        <v>425714286</v>
      </c>
    </row>
    <row r="70" spans="1:8" ht="12.75">
      <c r="A70" s="682" t="s">
        <v>956</v>
      </c>
      <c r="B70" s="683">
        <v>0</v>
      </c>
      <c r="C70" s="676">
        <v>0</v>
      </c>
      <c r="D70" s="683">
        <v>0</v>
      </c>
      <c r="E70" s="676">
        <v>424108757</v>
      </c>
      <c r="F70" s="676">
        <v>0</v>
      </c>
      <c r="G70" s="678">
        <f t="shared" si="0"/>
        <v>424108757</v>
      </c>
      <c r="H70" s="678">
        <v>698512899</v>
      </c>
    </row>
    <row r="71" spans="1:8" ht="12.75">
      <c r="A71" s="673" t="s">
        <v>957</v>
      </c>
      <c r="B71" s="683">
        <v>0</v>
      </c>
      <c r="C71" s="676">
        <v>86904723</v>
      </c>
      <c r="D71" s="683">
        <v>0</v>
      </c>
      <c r="E71" s="676">
        <v>0</v>
      </c>
      <c r="F71" s="684">
        <v>0</v>
      </c>
      <c r="G71" s="678">
        <f>SUM(B71:F71)</f>
        <v>86904723</v>
      </c>
      <c r="H71" s="678">
        <v>67765249</v>
      </c>
    </row>
    <row r="72" spans="1:8" ht="12.75">
      <c r="A72" s="685" t="s">
        <v>958</v>
      </c>
      <c r="B72" s="683">
        <v>0</v>
      </c>
      <c r="C72" s="676">
        <v>21380997</v>
      </c>
      <c r="D72" s="683">
        <v>0</v>
      </c>
      <c r="E72" s="676">
        <v>0</v>
      </c>
      <c r="F72" s="684">
        <v>0</v>
      </c>
      <c r="G72" s="678">
        <f>SUM(B72:F72)</f>
        <v>21380997</v>
      </c>
      <c r="H72" s="678">
        <v>7389207</v>
      </c>
    </row>
    <row r="73" spans="1:11" s="689" customFormat="1" ht="19.5" customHeight="1" thickBot="1">
      <c r="A73" s="686" t="s">
        <v>959</v>
      </c>
      <c r="B73" s="687">
        <f aca="true" t="shared" si="1" ref="B73:H73">SUM(B7:B72)</f>
        <v>9079184158</v>
      </c>
      <c r="C73" s="687">
        <f t="shared" si="1"/>
        <v>13441625545</v>
      </c>
      <c r="D73" s="688">
        <f t="shared" si="1"/>
        <v>16238236529</v>
      </c>
      <c r="E73" s="687">
        <f t="shared" si="1"/>
        <v>2211117538</v>
      </c>
      <c r="F73" s="687">
        <f t="shared" si="1"/>
        <v>5111191223</v>
      </c>
      <c r="G73" s="688">
        <f t="shared" si="1"/>
        <v>46081354993</v>
      </c>
      <c r="H73" s="688">
        <f t="shared" si="1"/>
        <v>49123341698</v>
      </c>
      <c r="J73" s="690"/>
      <c r="K73" s="691"/>
    </row>
    <row r="74" spans="1:11" s="689" customFormat="1" ht="19.5" customHeight="1" thickBot="1" thickTop="1">
      <c r="A74" s="692" t="s">
        <v>960</v>
      </c>
      <c r="B74" s="693">
        <v>9373575299</v>
      </c>
      <c r="C74" s="693">
        <v>14068818967</v>
      </c>
      <c r="D74" s="694">
        <v>16757471917</v>
      </c>
      <c r="E74" s="694">
        <v>2947448206</v>
      </c>
      <c r="F74" s="693">
        <v>5976027309</v>
      </c>
      <c r="G74" s="694">
        <f>SUM(B74:F74)</f>
        <v>49123341698</v>
      </c>
      <c r="J74" s="679"/>
      <c r="K74" s="691"/>
    </row>
    <row r="75" ht="13.5" thickTop="1">
      <c r="K75" s="691"/>
    </row>
    <row r="76" spans="3:11" s="478" customFormat="1" ht="12.75">
      <c r="C76" s="583"/>
      <c r="H76" s="695"/>
      <c r="J76" s="584"/>
      <c r="K76" s="691"/>
    </row>
    <row r="77" spans="3:11" s="478" customFormat="1" ht="12.75">
      <c r="C77" s="583"/>
      <c r="J77" s="584"/>
      <c r="K77" s="672"/>
    </row>
    <row r="78" spans="3:11" s="478" customFormat="1" ht="12.75">
      <c r="C78" s="583"/>
      <c r="J78" s="584"/>
      <c r="K78" s="667"/>
    </row>
    <row r="79" spans="7:11" s="478" customFormat="1" ht="12.75">
      <c r="G79" s="695"/>
      <c r="J79" s="671"/>
      <c r="K79" s="667"/>
    </row>
    <row r="80" spans="1:11" s="478" customFormat="1" ht="12.75">
      <c r="A80" s="970" t="s">
        <v>961</v>
      </c>
      <c r="B80" s="970"/>
      <c r="C80" s="518"/>
      <c r="E80" s="517" t="s">
        <v>706</v>
      </c>
      <c r="G80" s="695"/>
      <c r="J80" s="584"/>
      <c r="K80" s="667"/>
    </row>
    <row r="81" spans="1:11" s="478" customFormat="1" ht="12.75">
      <c r="A81" s="696" t="s">
        <v>962</v>
      </c>
      <c r="B81" s="517"/>
      <c r="C81" s="518"/>
      <c r="E81" s="519" t="s">
        <v>733</v>
      </c>
      <c r="J81" s="584"/>
      <c r="K81" s="667"/>
    </row>
    <row r="82" spans="10:11" s="478" customFormat="1" ht="12.75">
      <c r="J82" s="584"/>
      <c r="K82" s="667"/>
    </row>
    <row r="83" spans="10:11" s="478" customFormat="1" ht="12.75">
      <c r="J83" s="584"/>
      <c r="K83" s="667"/>
    </row>
    <row r="84" spans="10:11" s="478" customFormat="1" ht="12.75">
      <c r="J84" s="584"/>
      <c r="K84" s="667"/>
    </row>
    <row r="85" spans="10:11" s="478" customFormat="1" ht="12.75">
      <c r="J85" s="584"/>
      <c r="K85" s="667"/>
    </row>
    <row r="86" spans="1:11" s="478" customFormat="1" ht="12.75">
      <c r="A86" s="970" t="str">
        <f>'[1]Anexo G'!A65</f>
        <v>Dr. Raul Fernando Vargas</v>
      </c>
      <c r="B86" s="970"/>
      <c r="C86" s="518"/>
      <c r="E86" s="969" t="s">
        <v>998</v>
      </c>
      <c r="F86" s="969"/>
      <c r="H86" s="872">
        <v>36</v>
      </c>
      <c r="J86" s="584"/>
      <c r="K86" s="667"/>
    </row>
    <row r="87" spans="1:11" s="478" customFormat="1" ht="12.75">
      <c r="A87" s="517" t="s">
        <v>963</v>
      </c>
      <c r="B87" s="517"/>
      <c r="C87" s="518"/>
      <c r="E87" s="969" t="s">
        <v>598</v>
      </c>
      <c r="F87" s="969"/>
      <c r="J87" s="584"/>
      <c r="K87" s="667"/>
    </row>
    <row r="88" spans="10:11" s="478" customFormat="1" ht="12.75">
      <c r="J88" s="584"/>
      <c r="K88" s="667"/>
    </row>
    <row r="89" spans="10:11" s="478" customFormat="1" ht="12.75">
      <c r="J89" s="584"/>
      <c r="K89" s="667"/>
    </row>
    <row r="90" spans="10:11" s="478" customFormat="1" ht="12.75">
      <c r="J90" s="584"/>
      <c r="K90" s="667"/>
    </row>
    <row r="91" spans="10:11" s="478" customFormat="1" ht="12.75">
      <c r="J91" s="584"/>
      <c r="K91" s="667"/>
    </row>
    <row r="92" spans="10:11" s="478" customFormat="1" ht="12.75">
      <c r="J92" s="584"/>
      <c r="K92" s="667"/>
    </row>
    <row r="93" spans="10:11" s="478" customFormat="1" ht="12.75">
      <c r="J93" s="584"/>
      <c r="K93" s="667"/>
    </row>
    <row r="94" spans="10:11" s="478" customFormat="1" ht="12.75">
      <c r="J94" s="584"/>
      <c r="K94" s="667"/>
    </row>
    <row r="95" spans="10:11" s="478" customFormat="1" ht="12.75">
      <c r="J95" s="584"/>
      <c r="K95" s="667"/>
    </row>
    <row r="96" spans="10:11" s="478" customFormat="1" ht="12.75">
      <c r="J96" s="584"/>
      <c r="K96" s="667"/>
    </row>
    <row r="97" spans="10:11" s="478" customFormat="1" ht="12.75">
      <c r="J97" s="584"/>
      <c r="K97" s="667"/>
    </row>
    <row r="98" spans="10:11" s="478" customFormat="1" ht="12.75">
      <c r="J98" s="584"/>
      <c r="K98" s="667"/>
    </row>
    <row r="99" spans="10:11" s="478" customFormat="1" ht="12.75">
      <c r="J99" s="584"/>
      <c r="K99" s="667"/>
    </row>
    <row r="100" spans="10:11" s="478" customFormat="1" ht="12.75">
      <c r="J100" s="584"/>
      <c r="K100" s="667"/>
    </row>
    <row r="101" spans="10:11" s="478" customFormat="1" ht="12.75">
      <c r="J101" s="584"/>
      <c r="K101" s="667"/>
    </row>
    <row r="102" spans="10:11" s="478" customFormat="1" ht="12.75">
      <c r="J102" s="584"/>
      <c r="K102" s="667"/>
    </row>
    <row r="103" spans="10:11" s="478" customFormat="1" ht="12.75">
      <c r="J103" s="584"/>
      <c r="K103" s="667"/>
    </row>
    <row r="104" spans="10:11" s="478" customFormat="1" ht="12.75">
      <c r="J104" s="584"/>
      <c r="K104" s="667"/>
    </row>
    <row r="105" spans="10:11" s="478" customFormat="1" ht="12.75">
      <c r="J105" s="584"/>
      <c r="K105" s="667"/>
    </row>
    <row r="106" spans="10:11" s="478" customFormat="1" ht="12.75">
      <c r="J106" s="584"/>
      <c r="K106" s="667"/>
    </row>
    <row r="107" spans="10:11" s="478" customFormat="1" ht="12.75">
      <c r="J107" s="584"/>
      <c r="K107" s="667"/>
    </row>
    <row r="108" spans="10:11" s="478" customFormat="1" ht="12.75">
      <c r="J108" s="584"/>
      <c r="K108" s="667"/>
    </row>
    <row r="109" spans="10:11" s="478" customFormat="1" ht="12.75">
      <c r="J109" s="584"/>
      <c r="K109" s="667"/>
    </row>
    <row r="110" spans="10:11" s="478" customFormat="1" ht="12.75">
      <c r="J110" s="584"/>
      <c r="K110" s="667"/>
    </row>
    <row r="111" spans="10:11" s="478" customFormat="1" ht="12.75">
      <c r="J111" s="584"/>
      <c r="K111" s="667"/>
    </row>
    <row r="112" spans="10:11" s="478" customFormat="1" ht="12.75">
      <c r="J112" s="584"/>
      <c r="K112" s="667"/>
    </row>
    <row r="113" spans="10:11" s="478" customFormat="1" ht="12.75">
      <c r="J113" s="584"/>
      <c r="K113" s="667"/>
    </row>
    <row r="114" spans="10:11" s="478" customFormat="1" ht="12.75">
      <c r="J114" s="584"/>
      <c r="K114" s="667"/>
    </row>
    <row r="115" spans="10:11" s="478" customFormat="1" ht="12.75">
      <c r="J115" s="584"/>
      <c r="K115" s="667"/>
    </row>
    <row r="116" spans="10:11" s="478" customFormat="1" ht="12.75">
      <c r="J116" s="584"/>
      <c r="K116" s="667"/>
    </row>
    <row r="117" spans="10:11" s="478" customFormat="1" ht="12.75">
      <c r="J117" s="584"/>
      <c r="K117" s="667"/>
    </row>
    <row r="118" spans="10:11" s="478" customFormat="1" ht="12.75">
      <c r="J118" s="584"/>
      <c r="K118" s="667"/>
    </row>
    <row r="119" spans="10:11" s="478" customFormat="1" ht="12.75">
      <c r="J119" s="584"/>
      <c r="K119" s="667"/>
    </row>
    <row r="120" spans="10:11" s="478" customFormat="1" ht="12.75">
      <c r="J120" s="584"/>
      <c r="K120" s="667"/>
    </row>
    <row r="121" spans="10:11" s="478" customFormat="1" ht="12.75">
      <c r="J121" s="584"/>
      <c r="K121" s="667"/>
    </row>
    <row r="122" spans="10:11" s="478" customFormat="1" ht="12.75">
      <c r="J122" s="584"/>
      <c r="K122" s="667"/>
    </row>
    <row r="123" spans="10:11" s="478" customFormat="1" ht="12.75">
      <c r="J123" s="584"/>
      <c r="K123" s="667"/>
    </row>
    <row r="124" spans="10:11" s="478" customFormat="1" ht="12.75">
      <c r="J124" s="584"/>
      <c r="K124" s="667"/>
    </row>
    <row r="125" spans="10:11" s="478" customFormat="1" ht="12.75">
      <c r="J125" s="584"/>
      <c r="K125" s="667"/>
    </row>
    <row r="126" spans="10:11" s="478" customFormat="1" ht="12.75">
      <c r="J126" s="584"/>
      <c r="K126" s="667"/>
    </row>
    <row r="127" spans="10:11" s="478" customFormat="1" ht="12.75">
      <c r="J127" s="584"/>
      <c r="K127" s="667"/>
    </row>
  </sheetData>
  <sheetProtection/>
  <mergeCells count="8">
    <mergeCell ref="E87:F87"/>
    <mergeCell ref="A2:G2"/>
    <mergeCell ref="A3:G3"/>
    <mergeCell ref="A4:G4"/>
    <mergeCell ref="A5:G5"/>
    <mergeCell ref="A80:B80"/>
    <mergeCell ref="A86:B86"/>
    <mergeCell ref="E86:F86"/>
  </mergeCells>
  <printOptions horizontalCentered="1"/>
  <pageMargins left="0.2362204724409449" right="0.2362204724409449" top="0.1968503937007874" bottom="0.15748031496062992" header="0.31496062992125984" footer="0.31496062992125984"/>
  <pageSetup firstPageNumber="1" useFirstPageNumber="1" fitToHeight="0"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I48"/>
  <sheetViews>
    <sheetView showGridLines="0" zoomScalePageLayoutView="0" workbookViewId="0" topLeftCell="A1">
      <selection activeCell="E47" sqref="E47"/>
    </sheetView>
  </sheetViews>
  <sheetFormatPr defaultColWidth="11.421875" defaultRowHeight="15"/>
  <cols>
    <col min="1" max="1" width="5.28125" style="697" customWidth="1"/>
    <col min="2" max="2" width="42.421875" style="698" customWidth="1"/>
    <col min="3" max="4" width="20.7109375" style="698" customWidth="1"/>
    <col min="5" max="6" width="11.421875" style="697" customWidth="1"/>
    <col min="7" max="8" width="13.8515625" style="697" bestFit="1" customWidth="1"/>
    <col min="9" max="11" width="11.421875" style="697" customWidth="1"/>
    <col min="12" max="12" width="13.140625" style="697" bestFit="1" customWidth="1"/>
    <col min="13" max="13" width="13.7109375" style="697" bestFit="1" customWidth="1"/>
    <col min="14" max="14" width="16.57421875" style="697" bestFit="1" customWidth="1"/>
    <col min="15" max="15" width="12.57421875" style="697" customWidth="1"/>
    <col min="16" max="16384" width="11.421875" style="697" customWidth="1"/>
  </cols>
  <sheetData>
    <row r="1" ht="20.25">
      <c r="C1" s="699"/>
    </row>
    <row r="2" spans="2:4" ht="20.25">
      <c r="B2" s="981" t="s">
        <v>964</v>
      </c>
      <c r="C2" s="981"/>
      <c r="D2" s="981"/>
    </row>
    <row r="3" ht="15.75">
      <c r="C3" s="700"/>
    </row>
    <row r="4" ht="15.75">
      <c r="C4" s="700"/>
    </row>
    <row r="5" spans="1:5" ht="22.5">
      <c r="A5" s="982" t="s">
        <v>711</v>
      </c>
      <c r="B5" s="982"/>
      <c r="C5" s="982"/>
      <c r="D5" s="982"/>
      <c r="E5" s="774"/>
    </row>
    <row r="6" spans="1:5" ht="22.5">
      <c r="A6" s="982" t="s">
        <v>1151</v>
      </c>
      <c r="B6" s="982"/>
      <c r="C6" s="982"/>
      <c r="D6" s="982"/>
      <c r="E6" s="774"/>
    </row>
    <row r="7" ht="15.75">
      <c r="C7" s="701"/>
    </row>
    <row r="8" spans="1:5" ht="22.5">
      <c r="A8" s="982" t="s">
        <v>965</v>
      </c>
      <c r="B8" s="982"/>
      <c r="C8" s="982"/>
      <c r="D8" s="982"/>
      <c r="E8" s="774"/>
    </row>
    <row r="9" ht="16.5" thickBot="1">
      <c r="C9" s="701"/>
    </row>
    <row r="10" spans="2:4" ht="19.5" customHeight="1" thickBot="1">
      <c r="B10" s="702"/>
      <c r="C10" s="975" t="s">
        <v>966</v>
      </c>
      <c r="D10" s="976"/>
    </row>
    <row r="11" spans="2:4" ht="38.25" thickBot="1">
      <c r="B11" s="703" t="s">
        <v>967</v>
      </c>
      <c r="C11" s="704" t="s">
        <v>968</v>
      </c>
      <c r="D11" s="704" t="s">
        <v>960</v>
      </c>
    </row>
    <row r="12" spans="2:4" ht="15.75">
      <c r="B12" s="705"/>
      <c r="C12" s="706"/>
      <c r="D12" s="707"/>
    </row>
    <row r="13" spans="2:6" ht="15.75">
      <c r="B13" s="705" t="s">
        <v>969</v>
      </c>
      <c r="C13" s="708">
        <v>11844807</v>
      </c>
      <c r="D13" s="853">
        <v>12581819</v>
      </c>
      <c r="F13" s="709"/>
    </row>
    <row r="14" spans="2:6" ht="15.75">
      <c r="B14" s="705"/>
      <c r="C14" s="710"/>
      <c r="D14" s="854"/>
      <c r="F14" s="709"/>
    </row>
    <row r="15" spans="2:6" ht="15.75">
      <c r="B15" s="705" t="s">
        <v>970</v>
      </c>
      <c r="C15" s="711">
        <v>79589053</v>
      </c>
      <c r="D15" s="855">
        <v>84431465</v>
      </c>
      <c r="F15" s="709"/>
    </row>
    <row r="16" spans="2:4" ht="15.75">
      <c r="B16" s="705"/>
      <c r="C16" s="710"/>
      <c r="D16" s="854"/>
    </row>
    <row r="17" spans="2:6" ht="15.75">
      <c r="B17" s="705" t="s">
        <v>971</v>
      </c>
      <c r="C17" s="708">
        <v>36189477</v>
      </c>
      <c r="D17" s="853">
        <v>39960864</v>
      </c>
      <c r="F17" s="709"/>
    </row>
    <row r="18" spans="2:4" ht="15.75">
      <c r="B18" s="705"/>
      <c r="C18" s="710"/>
      <c r="D18" s="854"/>
    </row>
    <row r="19" spans="2:6" ht="31.5">
      <c r="B19" s="705" t="s">
        <v>972</v>
      </c>
      <c r="C19" s="712">
        <v>168842950</v>
      </c>
      <c r="D19" s="853">
        <v>200666197</v>
      </c>
      <c r="F19" s="709"/>
    </row>
    <row r="20" spans="2:4" ht="15.75">
      <c r="B20" s="713"/>
      <c r="C20" s="714"/>
      <c r="D20" s="856"/>
    </row>
    <row r="21" spans="2:4" s="717" customFormat="1" ht="15.75">
      <c r="B21" s="715" t="s">
        <v>973</v>
      </c>
      <c r="C21" s="716">
        <v>281</v>
      </c>
      <c r="D21" s="857">
        <v>277</v>
      </c>
    </row>
    <row r="22" spans="2:4" ht="15.75">
      <c r="B22" s="713"/>
      <c r="C22" s="714"/>
      <c r="D22" s="856"/>
    </row>
    <row r="23" spans="2:7" ht="15.75">
      <c r="B23" s="705" t="s">
        <v>974</v>
      </c>
      <c r="C23" s="708">
        <f>208457946+11457505+15580802+15343864+540436+6663924+1871836+57786107</f>
        <v>317702420</v>
      </c>
      <c r="D23" s="853">
        <v>311652265</v>
      </c>
      <c r="G23" s="718"/>
    </row>
    <row r="24" spans="2:4" ht="15.75">
      <c r="B24" s="705"/>
      <c r="C24" s="710"/>
      <c r="D24" s="854"/>
    </row>
    <row r="25" spans="2:4" ht="15.75">
      <c r="B25" s="705" t="s">
        <v>975</v>
      </c>
      <c r="C25" s="710">
        <v>3</v>
      </c>
      <c r="D25" s="854">
        <v>3</v>
      </c>
    </row>
    <row r="26" spans="2:4" ht="15.75">
      <c r="B26" s="713"/>
      <c r="C26" s="714"/>
      <c r="D26" s="856"/>
    </row>
    <row r="27" spans="2:4" ht="15.75">
      <c r="B27" s="705" t="s">
        <v>976</v>
      </c>
      <c r="C27" s="710"/>
      <c r="D27" s="854"/>
    </row>
    <row r="28" spans="2:4" ht="15.75">
      <c r="B28" s="705"/>
      <c r="C28" s="719"/>
      <c r="D28" s="705"/>
    </row>
    <row r="29" spans="2:4" ht="16.5" thickBot="1">
      <c r="B29" s="720"/>
      <c r="C29" s="721"/>
      <c r="D29" s="720"/>
    </row>
    <row r="30" spans="2:4" ht="12.75">
      <c r="B30" s="722"/>
      <c r="C30" s="723"/>
      <c r="D30" s="724"/>
    </row>
    <row r="31" spans="2:4" ht="12.75">
      <c r="B31" s="722"/>
      <c r="C31" s="725"/>
      <c r="D31" s="726"/>
    </row>
    <row r="32" spans="2:4" ht="12.75">
      <c r="B32" s="977" t="s">
        <v>977</v>
      </c>
      <c r="C32" s="978"/>
      <c r="D32" s="979"/>
    </row>
    <row r="33" spans="2:4" ht="12.75">
      <c r="B33" s="980"/>
      <c r="C33" s="978"/>
      <c r="D33" s="979"/>
    </row>
    <row r="34" spans="2:4" ht="12.75">
      <c r="B34" s="722"/>
      <c r="C34" s="727"/>
      <c r="D34" s="724"/>
    </row>
    <row r="35" spans="2:4" ht="13.5" thickBot="1">
      <c r="B35" s="728"/>
      <c r="C35" s="729"/>
      <c r="D35" s="730"/>
    </row>
    <row r="36" spans="3:5" ht="12.75">
      <c r="C36" s="731"/>
      <c r="D36" s="731"/>
      <c r="E36" s="732"/>
    </row>
    <row r="37" ht="29.25" customHeight="1">
      <c r="C37" s="701"/>
    </row>
    <row r="38" ht="29.25" customHeight="1">
      <c r="C38" s="701"/>
    </row>
    <row r="39" ht="15.75">
      <c r="C39" s="701"/>
    </row>
    <row r="40" spans="2:6" s="734" customFormat="1" ht="12.75">
      <c r="B40" s="733" t="s">
        <v>705</v>
      </c>
      <c r="C40" s="974" t="s">
        <v>706</v>
      </c>
      <c r="D40" s="974"/>
      <c r="F40" s="735"/>
    </row>
    <row r="41" spans="2:9" s="734" customFormat="1" ht="12.75">
      <c r="B41" s="733" t="s">
        <v>593</v>
      </c>
      <c r="C41" s="974" t="s">
        <v>978</v>
      </c>
      <c r="D41" s="974"/>
      <c r="I41" s="735"/>
    </row>
    <row r="42" s="734" customFormat="1" ht="33.75" customHeight="1">
      <c r="C42" s="735"/>
    </row>
    <row r="43" s="734" customFormat="1" ht="33.75" customHeight="1">
      <c r="C43" s="735"/>
    </row>
    <row r="44" s="734" customFormat="1" ht="12.75">
      <c r="C44" s="735"/>
    </row>
    <row r="45" s="734" customFormat="1" ht="12.75">
      <c r="C45" s="735"/>
    </row>
    <row r="46" spans="2:7" s="734" customFormat="1" ht="12.75">
      <c r="B46" s="733" t="str">
        <f>'[1]Anexo G'!A65</f>
        <v>Dr. Raul Fernando Vargas</v>
      </c>
      <c r="C46" s="969" t="s">
        <v>998</v>
      </c>
      <c r="D46" s="969"/>
      <c r="G46" s="735"/>
    </row>
    <row r="47" spans="2:9" s="734" customFormat="1" ht="12.75">
      <c r="B47" s="733" t="s">
        <v>597</v>
      </c>
      <c r="C47" s="974" t="s">
        <v>683</v>
      </c>
      <c r="D47" s="974"/>
      <c r="E47" s="881">
        <v>37</v>
      </c>
      <c r="I47" s="735"/>
    </row>
    <row r="48" ht="15.75">
      <c r="C48" s="701"/>
    </row>
  </sheetData>
  <sheetProtection/>
  <mergeCells count="10">
    <mergeCell ref="B2:D2"/>
    <mergeCell ref="A5:D5"/>
    <mergeCell ref="A6:D6"/>
    <mergeCell ref="A8:D8"/>
    <mergeCell ref="C41:D41"/>
    <mergeCell ref="C46:D46"/>
    <mergeCell ref="C47:D47"/>
    <mergeCell ref="C10:D10"/>
    <mergeCell ref="B32:D33"/>
    <mergeCell ref="C40:D40"/>
  </mergeCells>
  <printOptions horizontalCentered="1"/>
  <pageMargins left="0.5905511811023623" right="0.5905511811023623" top="0.7874015748031497" bottom="0.7874015748031497" header="0" footer="0"/>
  <pageSetup horizontalDpi="600" verticalDpi="600" orientation="portrait" paperSize="9" scale="8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M49"/>
  <sheetViews>
    <sheetView showGridLines="0" zoomScalePageLayoutView="0" workbookViewId="0" topLeftCell="A1">
      <selection activeCell="J48" sqref="J48"/>
    </sheetView>
  </sheetViews>
  <sheetFormatPr defaultColWidth="11.421875" defaultRowHeight="15"/>
  <cols>
    <col min="1" max="1" width="15.421875" style="697" customWidth="1"/>
    <col min="2" max="4" width="11.421875" style="697" customWidth="1"/>
    <col min="5" max="5" width="13.28125" style="697" customWidth="1"/>
    <col min="6" max="9" width="6.7109375" style="697" customWidth="1"/>
    <col min="10" max="10" width="11.421875" style="697" customWidth="1"/>
    <col min="11" max="11" width="11.421875" style="698" customWidth="1"/>
    <col min="12" max="12" width="14.8515625" style="776" bestFit="1" customWidth="1"/>
    <col min="13" max="251" width="11.421875" style="698" customWidth="1"/>
    <col min="252" max="252" width="15.421875" style="698" customWidth="1"/>
    <col min="253" max="255" width="11.421875" style="698" customWidth="1"/>
    <col min="256" max="16384" width="13.28125" style="698" customWidth="1"/>
  </cols>
  <sheetData>
    <row r="1" spans="1:12" s="697" customFormat="1" ht="20.25">
      <c r="A1" s="736"/>
      <c r="H1" s="736"/>
      <c r="I1" s="736"/>
      <c r="L1" s="775"/>
    </row>
    <row r="2" spans="1:12" s="697" customFormat="1" ht="27" customHeight="1">
      <c r="A2" s="983" t="s">
        <v>979</v>
      </c>
      <c r="B2" s="983"/>
      <c r="C2" s="983"/>
      <c r="D2" s="983"/>
      <c r="E2" s="983"/>
      <c r="F2" s="983"/>
      <c r="G2" s="983"/>
      <c r="H2" s="983"/>
      <c r="L2" s="775"/>
    </row>
    <row r="3" spans="1:12" s="697" customFormat="1" ht="7.5" customHeight="1">
      <c r="A3" s="737"/>
      <c r="L3" s="775"/>
    </row>
    <row r="4" spans="1:12" s="697" customFormat="1" ht="22.5">
      <c r="A4" s="982" t="s">
        <v>711</v>
      </c>
      <c r="B4" s="982"/>
      <c r="C4" s="982"/>
      <c r="D4" s="982"/>
      <c r="E4" s="982"/>
      <c r="F4" s="982"/>
      <c r="G4" s="982"/>
      <c r="H4" s="982"/>
      <c r="I4" s="982"/>
      <c r="J4" s="774"/>
      <c r="L4" s="775"/>
    </row>
    <row r="5" spans="1:12" s="697" customFormat="1" ht="22.5">
      <c r="A5" s="982" t="s">
        <v>1149</v>
      </c>
      <c r="B5" s="982"/>
      <c r="C5" s="982"/>
      <c r="D5" s="982"/>
      <c r="E5" s="982"/>
      <c r="F5" s="982"/>
      <c r="G5" s="982"/>
      <c r="H5" s="982"/>
      <c r="I5" s="982"/>
      <c r="J5" s="774"/>
      <c r="L5" s="775"/>
    </row>
    <row r="6" spans="1:12" s="697" customFormat="1" ht="15.75">
      <c r="A6" s="738"/>
      <c r="L6" s="775"/>
    </row>
    <row r="7" spans="1:12" s="697" customFormat="1" ht="22.5">
      <c r="A7" s="982" t="s">
        <v>980</v>
      </c>
      <c r="B7" s="982"/>
      <c r="C7" s="982"/>
      <c r="D7" s="982"/>
      <c r="E7" s="982"/>
      <c r="F7" s="982"/>
      <c r="G7" s="982"/>
      <c r="H7" s="982"/>
      <c r="I7" s="982"/>
      <c r="J7" s="774"/>
      <c r="L7" s="775"/>
    </row>
    <row r="8" spans="1:12" s="697" customFormat="1" ht="15.75">
      <c r="A8" s="738"/>
      <c r="L8" s="775"/>
    </row>
    <row r="9" spans="1:12" s="697" customFormat="1" ht="16.5" thickBot="1">
      <c r="A9" s="738"/>
      <c r="L9" s="775"/>
    </row>
    <row r="10" spans="1:12" s="697" customFormat="1" ht="13.5" thickBot="1">
      <c r="A10" s="992"/>
      <c r="B10" s="993"/>
      <c r="C10" s="993"/>
      <c r="D10" s="993"/>
      <c r="E10" s="994"/>
      <c r="F10" s="995" t="s">
        <v>966</v>
      </c>
      <c r="G10" s="996"/>
      <c r="H10" s="996"/>
      <c r="I10" s="997"/>
      <c r="L10" s="775"/>
    </row>
    <row r="11" spans="1:12" s="697" customFormat="1" ht="12.75" customHeight="1">
      <c r="A11" s="984" t="s">
        <v>981</v>
      </c>
      <c r="B11" s="985"/>
      <c r="C11" s="985"/>
      <c r="D11" s="985"/>
      <c r="E11" s="986"/>
      <c r="F11" s="990" t="s">
        <v>723</v>
      </c>
      <c r="G11" s="991"/>
      <c r="H11" s="990" t="s">
        <v>723</v>
      </c>
      <c r="I11" s="991"/>
      <c r="L11" s="775"/>
    </row>
    <row r="12" spans="1:12" s="697" customFormat="1" ht="13.5" thickBot="1">
      <c r="A12" s="987"/>
      <c r="B12" s="988"/>
      <c r="C12" s="988"/>
      <c r="D12" s="988"/>
      <c r="E12" s="989"/>
      <c r="F12" s="987" t="s">
        <v>834</v>
      </c>
      <c r="G12" s="989"/>
      <c r="H12" s="987" t="s">
        <v>835</v>
      </c>
      <c r="I12" s="989"/>
      <c r="L12" s="775"/>
    </row>
    <row r="13" spans="1:9" ht="15.75">
      <c r="A13" s="998"/>
      <c r="B13" s="999"/>
      <c r="C13" s="999"/>
      <c r="D13" s="999"/>
      <c r="E13" s="1000"/>
      <c r="F13" s="998"/>
      <c r="G13" s="1000"/>
      <c r="H13" s="1001"/>
      <c r="I13" s="1002"/>
    </row>
    <row r="14" spans="1:9" ht="15.75">
      <c r="A14" s="1003"/>
      <c r="B14" s="1004"/>
      <c r="C14" s="1004"/>
      <c r="D14" s="1004"/>
      <c r="E14" s="1005"/>
      <c r="F14" s="1003"/>
      <c r="G14" s="1005"/>
      <c r="H14" s="1006"/>
      <c r="I14" s="1007"/>
    </row>
    <row r="15" spans="1:9" ht="15.75" customHeight="1">
      <c r="A15" s="1003" t="s">
        <v>982</v>
      </c>
      <c r="B15" s="1004"/>
      <c r="C15" s="1004"/>
      <c r="D15" s="1004"/>
      <c r="E15" s="1005"/>
      <c r="F15" s="739">
        <v>2.75</v>
      </c>
      <c r="G15" s="740"/>
      <c r="H15" s="1008">
        <v>1.82</v>
      </c>
      <c r="I15" s="1009"/>
    </row>
    <row r="16" spans="1:9" ht="15.75">
      <c r="A16" s="1003"/>
      <c r="B16" s="1004"/>
      <c r="C16" s="1004"/>
      <c r="D16" s="1004"/>
      <c r="E16" s="1005"/>
      <c r="F16" s="719"/>
      <c r="G16" s="741"/>
      <c r="H16" s="1003"/>
      <c r="I16" s="1005"/>
    </row>
    <row r="17" spans="1:9" ht="15.75">
      <c r="A17" s="1003"/>
      <c r="B17" s="1004"/>
      <c r="C17" s="1004"/>
      <c r="D17" s="1004"/>
      <c r="E17" s="1005"/>
      <c r="F17" s="719"/>
      <c r="G17" s="741"/>
      <c r="H17" s="1003"/>
      <c r="I17" s="1005"/>
    </row>
    <row r="18" spans="1:9" ht="15.75" customHeight="1">
      <c r="A18" s="1003" t="s">
        <v>983</v>
      </c>
      <c r="B18" s="1004"/>
      <c r="C18" s="1004"/>
      <c r="D18" s="1004"/>
      <c r="E18" s="1005"/>
      <c r="F18" s="739">
        <v>0.51</v>
      </c>
      <c r="G18" s="740"/>
      <c r="H18" s="1010">
        <v>0.42</v>
      </c>
      <c r="I18" s="1011"/>
    </row>
    <row r="19" spans="1:9" ht="15.75">
      <c r="A19" s="1003"/>
      <c r="B19" s="1004"/>
      <c r="C19" s="1004"/>
      <c r="D19" s="1004"/>
      <c r="E19" s="1005"/>
      <c r="F19" s="719"/>
      <c r="G19" s="741"/>
      <c r="H19" s="1006"/>
      <c r="I19" s="1007"/>
    </row>
    <row r="20" spans="1:9" ht="15.75">
      <c r="A20" s="1003"/>
      <c r="B20" s="1004"/>
      <c r="C20" s="1004"/>
      <c r="D20" s="1004"/>
      <c r="E20" s="1005"/>
      <c r="F20" s="719"/>
      <c r="G20" s="741"/>
      <c r="H20" s="1006"/>
      <c r="I20" s="1007"/>
    </row>
    <row r="21" spans="1:9" ht="15.75" customHeight="1">
      <c r="A21" s="1003" t="s">
        <v>984</v>
      </c>
      <c r="B21" s="1004"/>
      <c r="C21" s="1004"/>
      <c r="D21" s="1004"/>
      <c r="E21" s="1005"/>
      <c r="F21" s="742">
        <v>0.47</v>
      </c>
      <c r="G21" s="743"/>
      <c r="H21" s="1012">
        <v>0.52</v>
      </c>
      <c r="I21" s="1013"/>
    </row>
    <row r="22" spans="1:9" ht="15.75">
      <c r="A22" s="1003"/>
      <c r="B22" s="1004"/>
      <c r="C22" s="1004"/>
      <c r="D22" s="1004"/>
      <c r="E22" s="1005"/>
      <c r="F22" s="719"/>
      <c r="G22" s="741"/>
      <c r="H22" s="1006"/>
      <c r="I22" s="1007"/>
    </row>
    <row r="23" spans="1:9" ht="13.5" thickBot="1">
      <c r="A23" s="1006"/>
      <c r="B23" s="1014"/>
      <c r="C23" s="1014"/>
      <c r="D23" s="1014"/>
      <c r="E23" s="1007"/>
      <c r="F23" s="1006"/>
      <c r="G23" s="1007"/>
      <c r="H23" s="1006"/>
      <c r="I23" s="1007"/>
    </row>
    <row r="24" spans="1:13" ht="12.75">
      <c r="A24" s="744"/>
      <c r="B24" s="745"/>
      <c r="C24" s="745"/>
      <c r="D24" s="745"/>
      <c r="E24" s="1015"/>
      <c r="F24" s="1015"/>
      <c r="G24" s="1015"/>
      <c r="H24" s="1015"/>
      <c r="I24" s="746"/>
      <c r="L24" s="777"/>
      <c r="M24" s="778"/>
    </row>
    <row r="25" spans="1:13" ht="12.75" customHeight="1">
      <c r="A25" s="747"/>
      <c r="B25" s="727"/>
      <c r="C25" s="727"/>
      <c r="D25" s="727"/>
      <c r="E25" s="1014"/>
      <c r="F25" s="1014"/>
      <c r="G25" s="1016" t="s">
        <v>985</v>
      </c>
      <c r="H25" s="1016"/>
      <c r="I25" s="1017"/>
      <c r="L25" s="777"/>
      <c r="M25" s="779"/>
    </row>
    <row r="26" spans="1:13" ht="12.75" customHeight="1">
      <c r="A26" s="747"/>
      <c r="B26" s="727"/>
      <c r="C26" s="727"/>
      <c r="D26" s="727"/>
      <c r="E26" s="1014"/>
      <c r="F26" s="1014"/>
      <c r="G26" s="1018" t="s">
        <v>986</v>
      </c>
      <c r="H26" s="1018"/>
      <c r="I26" s="748"/>
      <c r="L26" s="777"/>
      <c r="M26" s="778"/>
    </row>
    <row r="27" spans="1:13" ht="26.25" thickBot="1">
      <c r="A27" s="749" t="s">
        <v>987</v>
      </c>
      <c r="B27" s="750" t="s">
        <v>988</v>
      </c>
      <c r="C27" s="751" t="s">
        <v>989</v>
      </c>
      <c r="D27" s="750" t="s">
        <v>990</v>
      </c>
      <c r="E27" s="1019" t="s">
        <v>991</v>
      </c>
      <c r="F27" s="1019"/>
      <c r="G27" s="1020" t="s">
        <v>992</v>
      </c>
      <c r="H27" s="1020"/>
      <c r="I27" s="748"/>
      <c r="L27" s="777"/>
      <c r="M27" s="778"/>
    </row>
    <row r="28" spans="1:13" ht="25.5">
      <c r="A28" s="747"/>
      <c r="B28" s="727" t="s">
        <v>993</v>
      </c>
      <c r="C28" s="727"/>
      <c r="D28" s="727" t="s">
        <v>762</v>
      </c>
      <c r="E28" s="1014"/>
      <c r="F28" s="1014"/>
      <c r="G28" s="1021" t="s">
        <v>762</v>
      </c>
      <c r="H28" s="1021"/>
      <c r="I28" s="748"/>
      <c r="L28" s="777"/>
      <c r="M28" s="779"/>
    </row>
    <row r="29" spans="1:13" ht="12.75" customHeight="1">
      <c r="A29" s="747"/>
      <c r="B29" s="727"/>
      <c r="C29" s="727"/>
      <c r="D29" s="727"/>
      <c r="E29" s="1014"/>
      <c r="F29" s="1014"/>
      <c r="G29" s="1016" t="s">
        <v>994</v>
      </c>
      <c r="H29" s="1016"/>
      <c r="I29" s="1017"/>
      <c r="L29" s="777"/>
      <c r="M29" s="778"/>
    </row>
    <row r="30" spans="1:13" ht="12.75" customHeight="1">
      <c r="A30" s="747"/>
      <c r="B30" s="727"/>
      <c r="C30" s="727"/>
      <c r="D30" s="727"/>
      <c r="E30" s="1014"/>
      <c r="F30" s="1014"/>
      <c r="G30" s="1018" t="s">
        <v>995</v>
      </c>
      <c r="H30" s="1018"/>
      <c r="I30" s="748"/>
      <c r="L30" s="777"/>
      <c r="M30" s="778"/>
    </row>
    <row r="31" spans="1:13" ht="13.5" thickBot="1">
      <c r="A31" s="752"/>
      <c r="B31" s="753"/>
      <c r="C31" s="753"/>
      <c r="D31" s="753"/>
      <c r="E31" s="1024"/>
      <c r="F31" s="1024"/>
      <c r="G31" s="1024"/>
      <c r="H31" s="1024"/>
      <c r="I31" s="754"/>
      <c r="L31" s="777"/>
      <c r="M31" s="778"/>
    </row>
    <row r="32" spans="1:13" ht="12.75">
      <c r="A32" s="732"/>
      <c r="B32" s="732"/>
      <c r="C32" s="732"/>
      <c r="D32" s="732"/>
      <c r="E32" s="732"/>
      <c r="F32" s="732"/>
      <c r="G32" s="732"/>
      <c r="H32" s="732"/>
      <c r="I32" s="732"/>
      <c r="L32" s="777"/>
      <c r="M32" s="779"/>
    </row>
    <row r="33" spans="1:13" ht="38.25" customHeight="1">
      <c r="A33" s="738"/>
      <c r="L33" s="777"/>
      <c r="M33" s="778"/>
    </row>
    <row r="34" spans="12:13" ht="38.25" customHeight="1">
      <c r="L34" s="777"/>
      <c r="M34" s="778"/>
    </row>
    <row r="36" spans="1:7" ht="12.75">
      <c r="A36" s="1022" t="s">
        <v>705</v>
      </c>
      <c r="B36" s="1022"/>
      <c r="D36" s="755"/>
      <c r="E36" s="755" t="s">
        <v>706</v>
      </c>
      <c r="F36" s="755"/>
      <c r="G36" s="755"/>
    </row>
    <row r="37" spans="1:7" ht="12.75">
      <c r="A37" s="1022" t="s">
        <v>593</v>
      </c>
      <c r="B37" s="1022"/>
      <c r="D37" s="755"/>
      <c r="E37" s="1022" t="s">
        <v>978</v>
      </c>
      <c r="F37" s="1022"/>
      <c r="G37" s="1022"/>
    </row>
    <row r="38" spans="1:4" ht="26.25" customHeight="1">
      <c r="A38" s="756"/>
      <c r="D38" s="756"/>
    </row>
    <row r="39" spans="1:12" s="697" customFormat="1" ht="26.25" customHeight="1">
      <c r="A39" s="756"/>
      <c r="D39" s="756"/>
      <c r="L39" s="775"/>
    </row>
    <row r="40" spans="1:12" s="697" customFormat="1" ht="12.75">
      <c r="A40" s="756"/>
      <c r="D40" s="756"/>
      <c r="L40" s="775"/>
    </row>
    <row r="41" spans="2:12" s="697" customFormat="1" ht="12.75">
      <c r="B41" s="756"/>
      <c r="G41" s="756"/>
      <c r="L41" s="775"/>
    </row>
    <row r="42" spans="1:12" s="697" customFormat="1" ht="12.75">
      <c r="A42" s="756"/>
      <c r="L42" s="775"/>
    </row>
    <row r="43" spans="1:12" s="697" customFormat="1" ht="12.75">
      <c r="A43" s="1022" t="str">
        <f>'[1]Anexo I'!B46</f>
        <v>Dr. Raul Fernando Vargas</v>
      </c>
      <c r="B43" s="1022"/>
      <c r="E43" s="1022" t="s">
        <v>596</v>
      </c>
      <c r="F43" s="1022"/>
      <c r="G43" s="1022"/>
      <c r="L43" s="775"/>
    </row>
    <row r="44" spans="1:12" s="697" customFormat="1" ht="15.75">
      <c r="A44" s="1023" t="s">
        <v>996</v>
      </c>
      <c r="B44" s="1023"/>
      <c r="E44" s="1022" t="s">
        <v>683</v>
      </c>
      <c r="F44" s="1022"/>
      <c r="G44" s="1022"/>
      <c r="L44" s="775"/>
    </row>
    <row r="45" s="697" customFormat="1" ht="12.75">
      <c r="L45" s="775"/>
    </row>
    <row r="46" s="697" customFormat="1" ht="12.75">
      <c r="L46" s="775"/>
    </row>
    <row r="47" s="697" customFormat="1" ht="12.75">
      <c r="L47" s="775"/>
    </row>
    <row r="48" spans="10:12" s="697" customFormat="1" ht="12.75">
      <c r="J48" s="882">
        <v>38</v>
      </c>
      <c r="L48" s="775"/>
    </row>
    <row r="49" s="697" customFormat="1" ht="12.75">
      <c r="L49" s="775"/>
    </row>
  </sheetData>
  <sheetProtection/>
  <mergeCells count="59">
    <mergeCell ref="A43:B43"/>
    <mergeCell ref="E43:G43"/>
    <mergeCell ref="A44:B44"/>
    <mergeCell ref="E44:G44"/>
    <mergeCell ref="E30:F30"/>
    <mergeCell ref="G30:H30"/>
    <mergeCell ref="E31:F31"/>
    <mergeCell ref="G31:H31"/>
    <mergeCell ref="A36:B36"/>
    <mergeCell ref="A37:B37"/>
    <mergeCell ref="E37:G37"/>
    <mergeCell ref="E27:F27"/>
    <mergeCell ref="G27:H27"/>
    <mergeCell ref="E28:F28"/>
    <mergeCell ref="G28:H28"/>
    <mergeCell ref="E29:F29"/>
    <mergeCell ref="G29:I29"/>
    <mergeCell ref="E24:F24"/>
    <mergeCell ref="G24:H24"/>
    <mergeCell ref="E25:F25"/>
    <mergeCell ref="G25:I25"/>
    <mergeCell ref="E26:F26"/>
    <mergeCell ref="G26:H26"/>
    <mergeCell ref="A21:E21"/>
    <mergeCell ref="H21:I21"/>
    <mergeCell ref="A22:E22"/>
    <mergeCell ref="H22:I22"/>
    <mergeCell ref="A23:E23"/>
    <mergeCell ref="F23:G23"/>
    <mergeCell ref="H23:I23"/>
    <mergeCell ref="A18:E18"/>
    <mergeCell ref="H18:I18"/>
    <mergeCell ref="A19:E19"/>
    <mergeCell ref="H19:I19"/>
    <mergeCell ref="A20:E20"/>
    <mergeCell ref="H20:I20"/>
    <mergeCell ref="A15:E15"/>
    <mergeCell ref="H15:I15"/>
    <mergeCell ref="A16:E16"/>
    <mergeCell ref="H16:I16"/>
    <mergeCell ref="A17:E17"/>
    <mergeCell ref="H17:I17"/>
    <mergeCell ref="A13:E13"/>
    <mergeCell ref="F13:G13"/>
    <mergeCell ref="H13:I13"/>
    <mergeCell ref="A14:E14"/>
    <mergeCell ref="F14:G14"/>
    <mergeCell ref="H14:I14"/>
    <mergeCell ref="A2:H2"/>
    <mergeCell ref="A4:I4"/>
    <mergeCell ref="A5:I5"/>
    <mergeCell ref="A7:I7"/>
    <mergeCell ref="A11:E12"/>
    <mergeCell ref="F11:G11"/>
    <mergeCell ref="H11:I11"/>
    <mergeCell ref="F12:G12"/>
    <mergeCell ref="H12:I12"/>
    <mergeCell ref="A10:E10"/>
    <mergeCell ref="F10:I10"/>
  </mergeCells>
  <printOptions horizontalCentered="1"/>
  <pageMargins left="0.984251968503937" right="0.7874015748031497" top="0.7874015748031497" bottom="0.984251968503937" header="0" footer="0"/>
  <pageSetup horizontalDpi="600" verticalDpi="600" orientation="portrait" paperSize="9" scale="8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291"/>
  <sheetViews>
    <sheetView showGridLines="0" zoomScalePageLayoutView="0" workbookViewId="0" topLeftCell="A1">
      <selection activeCell="E281" sqref="E281"/>
    </sheetView>
  </sheetViews>
  <sheetFormatPr defaultColWidth="12.57421875" defaultRowHeight="15"/>
  <cols>
    <col min="1" max="1" width="59.28125" style="306" customWidth="1"/>
    <col min="2" max="2" width="1.1484375" style="306" customWidth="1"/>
    <col min="3" max="3" width="20.57421875" style="430" customWidth="1"/>
    <col min="4" max="4" width="1.8515625" style="306" customWidth="1"/>
    <col min="5" max="5" width="19.7109375" style="306" customWidth="1"/>
    <col min="6" max="6" width="1.421875" style="306" customWidth="1"/>
    <col min="7" max="7" width="18.57421875" style="306" hidden="1" customWidth="1"/>
    <col min="8" max="8" width="0.9921875" style="306" customWidth="1"/>
    <col min="9" max="9" width="18.57421875" style="306" hidden="1" customWidth="1"/>
    <col min="10" max="10" width="0.9921875" style="306" hidden="1" customWidth="1"/>
    <col min="11" max="11" width="18.57421875" style="306" hidden="1" customWidth="1"/>
    <col min="12" max="12" width="0.9921875" style="306" hidden="1" customWidth="1"/>
    <col min="13" max="13" width="18.57421875" style="306" hidden="1" customWidth="1"/>
    <col min="14" max="14" width="0.9921875" style="306" hidden="1" customWidth="1"/>
    <col min="15" max="15" width="18.57421875" style="306" hidden="1" customWidth="1"/>
    <col min="16" max="16" width="25.421875" style="306" customWidth="1"/>
    <col min="17" max="17" width="28.57421875" style="306" bestFit="1" customWidth="1"/>
    <col min="18" max="18" width="12.57421875" style="306" hidden="1" customWidth="1"/>
    <col min="19" max="254" width="12.57421875" style="306" customWidth="1"/>
    <col min="255" max="255" width="59.28125" style="306" customWidth="1"/>
    <col min="256" max="16384" width="1.1484375" style="306" customWidth="1"/>
  </cols>
  <sheetData>
    <row r="1" spans="1:15" ht="22.5">
      <c r="A1" s="888" t="s">
        <v>561</v>
      </c>
      <c r="B1" s="888"/>
      <c r="C1" s="888"/>
      <c r="D1" s="888"/>
      <c r="E1" s="888"/>
      <c r="F1" s="804"/>
      <c r="G1" s="804"/>
      <c r="H1" s="804"/>
      <c r="I1" s="305"/>
      <c r="K1" s="305"/>
      <c r="M1" s="305"/>
      <c r="O1" s="305"/>
    </row>
    <row r="2" spans="1:15" ht="22.5">
      <c r="A2" s="888" t="s">
        <v>1103</v>
      </c>
      <c r="B2" s="888"/>
      <c r="C2" s="888"/>
      <c r="D2" s="888"/>
      <c r="E2" s="888"/>
      <c r="F2" s="804"/>
      <c r="G2" s="804"/>
      <c r="H2" s="804"/>
      <c r="I2" s="305"/>
      <c r="K2" s="305"/>
      <c r="M2" s="305"/>
      <c r="O2" s="305"/>
    </row>
    <row r="3" spans="1:15" ht="18.75">
      <c r="A3" s="889" t="s">
        <v>562</v>
      </c>
      <c r="B3" s="889"/>
      <c r="C3" s="889"/>
      <c r="D3" s="889"/>
      <c r="E3" s="889"/>
      <c r="F3" s="805"/>
      <c r="G3" s="805"/>
      <c r="H3" s="805"/>
      <c r="I3" s="307"/>
      <c r="K3" s="307"/>
      <c r="M3" s="307"/>
      <c r="O3" s="307"/>
    </row>
    <row r="4" spans="1:15" ht="18.75">
      <c r="A4" s="757"/>
      <c r="B4" s="757"/>
      <c r="C4" s="757"/>
      <c r="D4" s="757"/>
      <c r="E4" s="757"/>
      <c r="F4" s="757"/>
      <c r="G4" s="757"/>
      <c r="H4" s="757"/>
      <c r="I4" s="757"/>
      <c r="K4" s="757"/>
      <c r="M4" s="757"/>
      <c r="O4" s="757"/>
    </row>
    <row r="5" spans="1:15" ht="20.25">
      <c r="A5" s="308" t="s">
        <v>563</v>
      </c>
      <c r="B5" s="309"/>
      <c r="C5" s="310">
        <v>2020</v>
      </c>
      <c r="D5" s="309"/>
      <c r="E5" s="310">
        <v>2019</v>
      </c>
      <c r="F5" s="309"/>
      <c r="G5" s="310"/>
      <c r="H5" s="311"/>
      <c r="I5" s="310" t="s">
        <v>564</v>
      </c>
      <c r="J5" s="311"/>
      <c r="K5" s="310" t="s">
        <v>565</v>
      </c>
      <c r="L5" s="311"/>
      <c r="M5" s="310" t="s">
        <v>566</v>
      </c>
      <c r="N5" s="311"/>
      <c r="O5" s="310" t="s">
        <v>566</v>
      </c>
    </row>
    <row r="6" spans="1:15" ht="9" customHeight="1">
      <c r="A6" s="309"/>
      <c r="B6" s="309"/>
      <c r="C6" s="312"/>
      <c r="D6" s="309"/>
      <c r="E6" s="309"/>
      <c r="F6" s="309"/>
      <c r="G6" s="309"/>
      <c r="H6" s="309"/>
      <c r="I6" s="309"/>
      <c r="J6" s="309"/>
      <c r="K6" s="309"/>
      <c r="L6" s="309"/>
      <c r="M6" s="309"/>
      <c r="N6" s="309"/>
      <c r="O6" s="309"/>
    </row>
    <row r="7" spans="1:15" ht="18.75">
      <c r="A7" s="313" t="s">
        <v>567</v>
      </c>
      <c r="B7" s="309"/>
      <c r="C7" s="312"/>
      <c r="D7" s="309"/>
      <c r="E7" s="309"/>
      <c r="F7" s="309"/>
      <c r="G7" s="309"/>
      <c r="H7" s="309"/>
      <c r="I7" s="309"/>
      <c r="J7" s="309"/>
      <c r="K7" s="309"/>
      <c r="L7" s="309"/>
      <c r="M7" s="309"/>
      <c r="N7" s="309"/>
      <c r="O7" s="309"/>
    </row>
    <row r="8" spans="1:15" ht="9" customHeight="1">
      <c r="A8" s="309"/>
      <c r="B8" s="309"/>
      <c r="C8" s="312"/>
      <c r="D8" s="309"/>
      <c r="E8" s="309"/>
      <c r="F8" s="309"/>
      <c r="G8" s="309"/>
      <c r="H8" s="309"/>
      <c r="I8" s="309"/>
      <c r="J8" s="309"/>
      <c r="K8" s="309"/>
      <c r="L8" s="309"/>
      <c r="M8" s="309"/>
      <c r="N8" s="309"/>
      <c r="O8" s="309"/>
    </row>
    <row r="9" spans="1:15" ht="18.75">
      <c r="A9" s="313" t="s">
        <v>568</v>
      </c>
      <c r="B9" s="314"/>
      <c r="C9" s="315"/>
      <c r="D9" s="314"/>
      <c r="E9" s="314"/>
      <c r="F9" s="314"/>
      <c r="G9" s="314"/>
      <c r="H9" s="309"/>
      <c r="I9" s="314"/>
      <c r="J9" s="309"/>
      <c r="K9" s="314"/>
      <c r="L9" s="309"/>
      <c r="M9" s="314"/>
      <c r="N9" s="309"/>
      <c r="O9" s="314"/>
    </row>
    <row r="10" spans="1:16" ht="16.5" customHeight="1">
      <c r="A10" s="316" t="s">
        <v>569</v>
      </c>
      <c r="B10" s="317"/>
      <c r="C10" s="318">
        <f>750244839+109804314+17145193521</f>
        <v>18005242674</v>
      </c>
      <c r="D10" s="317"/>
      <c r="E10" s="318">
        <f>899555480+82000000+22453603510</f>
        <v>23435158990</v>
      </c>
      <c r="F10" s="317"/>
      <c r="G10" s="319"/>
      <c r="H10" s="319"/>
      <c r="I10" s="319">
        <v>91644343</v>
      </c>
      <c r="J10" s="319"/>
      <c r="K10" s="319">
        <v>241999852</v>
      </c>
      <c r="L10" s="319"/>
      <c r="M10" s="319">
        <f>E10-I10</f>
        <v>23343514647</v>
      </c>
      <c r="N10" s="319"/>
      <c r="O10" s="319">
        <f>G10-K10</f>
        <v>-241999852</v>
      </c>
      <c r="P10" s="764"/>
    </row>
    <row r="11" spans="1:16" ht="15.75">
      <c r="A11" s="320"/>
      <c r="B11" s="317"/>
      <c r="C11" s="321">
        <f>SUM(C10:C10)</f>
        <v>18005242674</v>
      </c>
      <c r="D11" s="321"/>
      <c r="E11" s="321">
        <f>SUM(E10:E10)</f>
        <v>23435158990</v>
      </c>
      <c r="F11" s="317"/>
      <c r="G11" s="322"/>
      <c r="H11" s="319"/>
      <c r="I11" s="322">
        <f>SUM(I10:I10)</f>
        <v>91644343</v>
      </c>
      <c r="J11" s="319"/>
      <c r="K11" s="322">
        <f>SUM(K10:K10)</f>
        <v>241999852</v>
      </c>
      <c r="L11" s="319"/>
      <c r="M11" s="322">
        <f>SUM(M10:M10)</f>
        <v>23343514647</v>
      </c>
      <c r="N11" s="319"/>
      <c r="O11" s="322">
        <f>SUM(O10:O10)</f>
        <v>-241999852</v>
      </c>
      <c r="P11" s="764"/>
    </row>
    <row r="12" spans="1:16" ht="18.75" customHeight="1">
      <c r="A12" s="313" t="s">
        <v>570</v>
      </c>
      <c r="B12" s="314"/>
      <c r="C12" s="323"/>
      <c r="D12" s="314"/>
      <c r="E12" s="323"/>
      <c r="F12" s="314"/>
      <c r="G12" s="324"/>
      <c r="H12" s="319"/>
      <c r="I12" s="324"/>
      <c r="J12" s="319"/>
      <c r="K12" s="324"/>
      <c r="L12" s="319"/>
      <c r="M12" s="324"/>
      <c r="N12" s="319"/>
      <c r="O12" s="324"/>
      <c r="P12" s="764"/>
    </row>
    <row r="13" spans="1:16" ht="16.5" customHeight="1">
      <c r="A13" s="316" t="s">
        <v>571</v>
      </c>
      <c r="B13" s="314"/>
      <c r="C13" s="318">
        <f>5023485465+89178565+3497429565</f>
        <v>8610093595</v>
      </c>
      <c r="D13" s="314"/>
      <c r="E13" s="318">
        <f>3675745641+86087250+3776974945</f>
        <v>7538807836</v>
      </c>
      <c r="F13" s="314"/>
      <c r="G13" s="319"/>
      <c r="H13" s="325"/>
      <c r="I13" s="319">
        <v>4938542513</v>
      </c>
      <c r="J13" s="325"/>
      <c r="K13" s="319">
        <v>2013108975</v>
      </c>
      <c r="L13" s="325"/>
      <c r="M13" s="319">
        <f>E13-I13</f>
        <v>2600265323</v>
      </c>
      <c r="N13" s="319"/>
      <c r="O13" s="319">
        <f>G13-K13</f>
        <v>-2013108975</v>
      </c>
      <c r="P13" s="764"/>
    </row>
    <row r="14" spans="1:16" ht="16.5" customHeight="1">
      <c r="A14" s="316" t="s">
        <v>1079</v>
      </c>
      <c r="B14" s="314"/>
      <c r="C14" s="318">
        <v>-269556575</v>
      </c>
      <c r="D14" s="314"/>
      <c r="E14" s="318">
        <v>-269556575</v>
      </c>
      <c r="F14" s="314"/>
      <c r="G14" s="319"/>
      <c r="H14" s="325"/>
      <c r="I14" s="319"/>
      <c r="J14" s="325"/>
      <c r="K14" s="319"/>
      <c r="L14" s="325"/>
      <c r="M14" s="319"/>
      <c r="N14" s="319"/>
      <c r="O14" s="319"/>
      <c r="P14" s="764"/>
    </row>
    <row r="15" spans="1:16" ht="16.5" customHeight="1">
      <c r="A15" s="316" t="s">
        <v>572</v>
      </c>
      <c r="B15" s="314"/>
      <c r="C15" s="318">
        <f>1559548641+1440192600+2572886168+25881847+150000000</f>
        <v>5748509256</v>
      </c>
      <c r="D15" s="314"/>
      <c r="E15" s="318">
        <f>1559548641+1440192600+2572886168+25881847+150000000</f>
        <v>5748509256</v>
      </c>
      <c r="F15" s="314"/>
      <c r="G15" s="319"/>
      <c r="H15" s="325"/>
      <c r="I15" s="319">
        <v>0</v>
      </c>
      <c r="J15" s="325"/>
      <c r="K15" s="319">
        <v>-30210788</v>
      </c>
      <c r="L15" s="325"/>
      <c r="M15" s="319" t="e">
        <f>#REF!-I15</f>
        <v>#REF!</v>
      </c>
      <c r="N15" s="319"/>
      <c r="O15" s="319">
        <f>G15-K15</f>
        <v>30210788</v>
      </c>
      <c r="P15" s="764"/>
    </row>
    <row r="16" spans="1:16" ht="16.5" customHeight="1">
      <c r="A16" s="316" t="s">
        <v>1040</v>
      </c>
      <c r="B16" s="314"/>
      <c r="C16" s="318">
        <f>-5598509256-150000000</f>
        <v>-5748509256</v>
      </c>
      <c r="D16" s="314"/>
      <c r="E16" s="318">
        <f>-5598509256-150000000</f>
        <v>-5748509256</v>
      </c>
      <c r="F16" s="314"/>
      <c r="G16" s="319"/>
      <c r="H16" s="325"/>
      <c r="I16" s="319"/>
      <c r="J16" s="325"/>
      <c r="K16" s="319"/>
      <c r="L16" s="325"/>
      <c r="M16" s="319"/>
      <c r="N16" s="319"/>
      <c r="O16" s="319"/>
      <c r="P16" s="764"/>
    </row>
    <row r="17" spans="1:16" ht="16.5" customHeight="1">
      <c r="A17" s="316" t="s">
        <v>573</v>
      </c>
      <c r="B17" s="314"/>
      <c r="C17" s="318">
        <f>37450111+345584250+71925792</f>
        <v>454960153</v>
      </c>
      <c r="D17" s="314"/>
      <c r="E17" s="318">
        <f>2766657+611992844+42695159</f>
        <v>657454660</v>
      </c>
      <c r="F17" s="314"/>
      <c r="G17" s="319"/>
      <c r="H17" s="325"/>
      <c r="I17" s="319">
        <v>903821042</v>
      </c>
      <c r="J17" s="325"/>
      <c r="K17" s="319">
        <v>1156735977</v>
      </c>
      <c r="L17" s="325"/>
      <c r="M17" s="319">
        <f>E17-I17</f>
        <v>-246366382</v>
      </c>
      <c r="N17" s="319"/>
      <c r="O17" s="319">
        <f>G17-K17</f>
        <v>-1156735977</v>
      </c>
      <c r="P17" s="764"/>
    </row>
    <row r="18" spans="1:16" ht="16.5" customHeight="1">
      <c r="A18" s="316" t="s">
        <v>574</v>
      </c>
      <c r="B18" s="314"/>
      <c r="C18" s="318">
        <v>1310746</v>
      </c>
      <c r="D18" s="314"/>
      <c r="E18" s="318">
        <v>115087265</v>
      </c>
      <c r="F18" s="314"/>
      <c r="G18" s="319"/>
      <c r="H18" s="325"/>
      <c r="I18" s="319">
        <v>56065</v>
      </c>
      <c r="J18" s="325"/>
      <c r="K18" s="319">
        <v>38095600</v>
      </c>
      <c r="L18" s="325"/>
      <c r="M18" s="319">
        <f>E18-I18</f>
        <v>115031200</v>
      </c>
      <c r="N18" s="319"/>
      <c r="O18" s="319">
        <f>G18-K18</f>
        <v>-38095600</v>
      </c>
      <c r="P18" s="764"/>
    </row>
    <row r="19" spans="1:16" ht="16.5" customHeight="1">
      <c r="A19" s="316" t="s">
        <v>575</v>
      </c>
      <c r="B19" s="314"/>
      <c r="C19" s="318">
        <f>153963628+8913176</f>
        <v>162876804</v>
      </c>
      <c r="D19" s="314"/>
      <c r="E19" s="318">
        <v>145202679</v>
      </c>
      <c r="F19" s="314"/>
      <c r="G19" s="319"/>
      <c r="H19" s="325"/>
      <c r="I19" s="319"/>
      <c r="J19" s="325"/>
      <c r="K19" s="319"/>
      <c r="L19" s="325"/>
      <c r="M19" s="319"/>
      <c r="N19" s="319"/>
      <c r="O19" s="319"/>
      <c r="P19" s="764"/>
    </row>
    <row r="20" spans="1:16" ht="16.5" customHeight="1">
      <c r="A20" s="316" t="s">
        <v>576</v>
      </c>
      <c r="B20" s="314"/>
      <c r="C20" s="318">
        <f>7466961957+3254388933</f>
        <v>10721350890</v>
      </c>
      <c r="D20" s="314"/>
      <c r="E20" s="318">
        <f>3877993553+3348771458</f>
        <v>7226765011</v>
      </c>
      <c r="F20" s="314"/>
      <c r="G20" s="319"/>
      <c r="H20" s="325"/>
      <c r="I20" s="319">
        <v>0</v>
      </c>
      <c r="J20" s="325"/>
      <c r="K20" s="319">
        <v>4460565091</v>
      </c>
      <c r="L20" s="325"/>
      <c r="M20" s="319">
        <f>E20-I20</f>
        <v>7226765011</v>
      </c>
      <c r="N20" s="319"/>
      <c r="O20" s="319">
        <f>G20-K20</f>
        <v>-4460565091</v>
      </c>
      <c r="P20" s="764"/>
    </row>
    <row r="21" spans="1:16" ht="16.5" customHeight="1">
      <c r="A21" s="316" t="s">
        <v>1041</v>
      </c>
      <c r="B21" s="314"/>
      <c r="C21" s="318">
        <v>-3254040183</v>
      </c>
      <c r="D21" s="314"/>
      <c r="E21" s="318">
        <v>-3254040183</v>
      </c>
      <c r="F21" s="314"/>
      <c r="G21" s="319"/>
      <c r="H21" s="325"/>
      <c r="I21" s="319"/>
      <c r="J21" s="325"/>
      <c r="K21" s="319"/>
      <c r="L21" s="325"/>
      <c r="M21" s="319"/>
      <c r="N21" s="319"/>
      <c r="O21" s="319"/>
      <c r="P21" s="764"/>
    </row>
    <row r="22" spans="1:16" ht="16.5" customHeight="1">
      <c r="A22" s="316" t="s">
        <v>577</v>
      </c>
      <c r="B22" s="314"/>
      <c r="C22" s="318">
        <v>480451612</v>
      </c>
      <c r="D22" s="314"/>
      <c r="E22" s="318">
        <v>186996882</v>
      </c>
      <c r="F22" s="314"/>
      <c r="G22" s="319"/>
      <c r="H22" s="325"/>
      <c r="I22" s="319"/>
      <c r="J22" s="325"/>
      <c r="K22" s="319"/>
      <c r="L22" s="325"/>
      <c r="M22" s="319"/>
      <c r="N22" s="319"/>
      <c r="O22" s="319"/>
      <c r="P22" s="764"/>
    </row>
    <row r="23" spans="1:16" ht="16.5" customHeight="1">
      <c r="A23" s="316" t="s">
        <v>578</v>
      </c>
      <c r="B23" s="314"/>
      <c r="C23" s="318">
        <v>3093902856</v>
      </c>
      <c r="D23" s="314"/>
      <c r="E23" s="318">
        <f>1620314089</f>
        <v>1620314089</v>
      </c>
      <c r="F23" s="314"/>
      <c r="G23" s="319"/>
      <c r="H23" s="325"/>
      <c r="I23" s="319">
        <v>13235209</v>
      </c>
      <c r="J23" s="325"/>
      <c r="K23" s="319">
        <v>862859918</v>
      </c>
      <c r="L23" s="325"/>
      <c r="M23" s="319">
        <f>E23-I23</f>
        <v>1607078880</v>
      </c>
      <c r="N23" s="319"/>
      <c r="O23" s="319">
        <f>G23-K23</f>
        <v>-862859918</v>
      </c>
      <c r="P23" s="764"/>
    </row>
    <row r="24" spans="1:16" ht="18" customHeight="1">
      <c r="A24" s="309"/>
      <c r="B24" s="314"/>
      <c r="C24" s="321">
        <f>SUM(C13:C23)</f>
        <v>20001349898</v>
      </c>
      <c r="D24" s="321"/>
      <c r="E24" s="321">
        <f>SUM(E13:E23)</f>
        <v>13967031664</v>
      </c>
      <c r="F24" s="314"/>
      <c r="G24" s="322"/>
      <c r="H24" s="319"/>
      <c r="I24" s="322">
        <f>SUM(I13:I23)</f>
        <v>5855654829</v>
      </c>
      <c r="J24" s="319"/>
      <c r="K24" s="322">
        <f>SUM(K13:K23)</f>
        <v>8501154773</v>
      </c>
      <c r="L24" s="319"/>
      <c r="M24" s="322" t="e">
        <f>SUM(M13:M23)</f>
        <v>#REF!</v>
      </c>
      <c r="N24" s="319"/>
      <c r="O24" s="322">
        <f>SUM(O13:O23)</f>
        <v>-8501154773</v>
      </c>
      <c r="P24" s="764"/>
    </row>
    <row r="25" spans="1:15" ht="18.75">
      <c r="A25" s="313" t="s">
        <v>579</v>
      </c>
      <c r="B25" s="314"/>
      <c r="C25" s="323"/>
      <c r="D25" s="314"/>
      <c r="E25" s="323"/>
      <c r="F25" s="314"/>
      <c r="G25" s="324"/>
      <c r="H25" s="325"/>
      <c r="I25" s="324"/>
      <c r="J25" s="325"/>
      <c r="K25" s="324"/>
      <c r="L25" s="325"/>
      <c r="M25" s="324"/>
      <c r="N25" s="325"/>
      <c r="O25" s="324"/>
    </row>
    <row r="26" spans="1:15" ht="16.5" customHeight="1">
      <c r="A26" s="316" t="s">
        <v>580</v>
      </c>
      <c r="B26" s="314"/>
      <c r="C26" s="318">
        <v>5681338324</v>
      </c>
      <c r="D26" s="314"/>
      <c r="E26" s="318">
        <v>3586346681</v>
      </c>
      <c r="F26" s="314"/>
      <c r="G26" s="319"/>
      <c r="H26" s="325"/>
      <c r="I26" s="319">
        <v>2029561563</v>
      </c>
      <c r="J26" s="325"/>
      <c r="K26" s="319">
        <v>949594717</v>
      </c>
      <c r="L26" s="325"/>
      <c r="M26" s="319">
        <f>E26-I26</f>
        <v>1556785118</v>
      </c>
      <c r="N26" s="319"/>
      <c r="O26" s="319">
        <f>G26-K26</f>
        <v>-949594717</v>
      </c>
    </row>
    <row r="27" spans="1:15" ht="15.75">
      <c r="A27" s="316" t="s">
        <v>581</v>
      </c>
      <c r="B27" s="314"/>
      <c r="C27" s="318">
        <v>17875091504</v>
      </c>
      <c r="D27" s="314"/>
      <c r="E27" s="318">
        <v>17744100836</v>
      </c>
      <c r="F27" s="314"/>
      <c r="G27" s="319"/>
      <c r="H27" s="325"/>
      <c r="I27" s="319">
        <v>10663020739</v>
      </c>
      <c r="J27" s="325"/>
      <c r="K27" s="319">
        <v>4577236553</v>
      </c>
      <c r="L27" s="325"/>
      <c r="M27" s="319">
        <f>E27-I27</f>
        <v>7081080097</v>
      </c>
      <c r="N27" s="319"/>
      <c r="O27" s="319">
        <f>G27-K27</f>
        <v>-4577236553</v>
      </c>
    </row>
    <row r="28" spans="1:15" ht="15.75">
      <c r="A28" s="316" t="s">
        <v>582</v>
      </c>
      <c r="B28" s="314"/>
      <c r="C28" s="318">
        <v>797791830</v>
      </c>
      <c r="D28" s="314"/>
      <c r="E28" s="318">
        <v>756526845</v>
      </c>
      <c r="F28" s="314"/>
      <c r="G28" s="319"/>
      <c r="H28" s="325"/>
      <c r="I28" s="319">
        <v>2165724890</v>
      </c>
      <c r="J28" s="325"/>
      <c r="K28" s="319">
        <v>2757338104</v>
      </c>
      <c r="L28" s="325"/>
      <c r="M28" s="319">
        <f>E28-I28</f>
        <v>-1409198045</v>
      </c>
      <c r="N28" s="319"/>
      <c r="O28" s="319">
        <f>G28-K28</f>
        <v>-2757338104</v>
      </c>
    </row>
    <row r="29" spans="1:15" ht="15.75">
      <c r="A29" s="316" t="s">
        <v>583</v>
      </c>
      <c r="B29" s="314"/>
      <c r="C29" s="318">
        <f>235386115+4963370</f>
        <v>240349485</v>
      </c>
      <c r="D29" s="314"/>
      <c r="E29" s="318">
        <v>295941351</v>
      </c>
      <c r="F29" s="314"/>
      <c r="G29" s="319"/>
      <c r="H29" s="325"/>
      <c r="I29" s="319">
        <v>2593951165</v>
      </c>
      <c r="J29" s="325"/>
      <c r="K29" s="319">
        <v>3300455</v>
      </c>
      <c r="L29" s="325"/>
      <c r="M29" s="319">
        <f>E29-I29</f>
        <v>-2298009814</v>
      </c>
      <c r="N29" s="319"/>
      <c r="O29" s="319">
        <f>G29-K29</f>
        <v>-3300455</v>
      </c>
    </row>
    <row r="30" spans="1:15" ht="15.75">
      <c r="A30" s="316" t="s">
        <v>584</v>
      </c>
      <c r="B30" s="314"/>
      <c r="C30" s="318">
        <f>51974562+2224310+669408749</f>
        <v>723607621</v>
      </c>
      <c r="D30" s="314"/>
      <c r="E30" s="318">
        <v>808577670</v>
      </c>
      <c r="F30" s="314"/>
      <c r="G30" s="319"/>
      <c r="H30" s="325"/>
      <c r="I30" s="319">
        <v>885990622</v>
      </c>
      <c r="J30" s="325"/>
      <c r="K30" s="319">
        <v>1062278739</v>
      </c>
      <c r="L30" s="325"/>
      <c r="M30" s="319">
        <f>E30-I30</f>
        <v>-77412952</v>
      </c>
      <c r="N30" s="319"/>
      <c r="O30" s="319">
        <f>G30-K30</f>
        <v>-1062278739</v>
      </c>
    </row>
    <row r="31" spans="1:15" ht="18" customHeight="1">
      <c r="A31" s="309"/>
      <c r="B31" s="314"/>
      <c r="C31" s="321">
        <f>SUM(C26:C30)</f>
        <v>25318178764</v>
      </c>
      <c r="D31" s="321"/>
      <c r="E31" s="321">
        <f>SUM(E26:E30)</f>
        <v>23191493383</v>
      </c>
      <c r="F31" s="314"/>
      <c r="G31" s="326"/>
      <c r="H31" s="319"/>
      <c r="I31" s="322">
        <f>SUM(I26:I30)</f>
        <v>18338248979</v>
      </c>
      <c r="J31" s="319"/>
      <c r="K31" s="322">
        <f>SUM(K26:K30)</f>
        <v>9349748568</v>
      </c>
      <c r="L31" s="319"/>
      <c r="M31" s="322">
        <f>SUM(M26:M30)</f>
        <v>4853244404</v>
      </c>
      <c r="N31" s="319"/>
      <c r="O31" s="322">
        <f>SUM(O26:O30)</f>
        <v>-9349748568</v>
      </c>
    </row>
    <row r="32" spans="1:15" ht="18.75">
      <c r="A32" s="327" t="s">
        <v>585</v>
      </c>
      <c r="B32" s="328"/>
      <c r="C32" s="329"/>
      <c r="D32" s="328"/>
      <c r="E32" s="329"/>
      <c r="F32" s="328"/>
      <c r="G32" s="330"/>
      <c r="H32" s="331"/>
      <c r="I32" s="330"/>
      <c r="J32" s="331"/>
      <c r="K32" s="330"/>
      <c r="L32" s="331"/>
      <c r="M32" s="330"/>
      <c r="N32" s="331"/>
      <c r="O32" s="330"/>
    </row>
    <row r="33" spans="1:15" ht="16.5" customHeight="1">
      <c r="A33" s="332" t="s">
        <v>586</v>
      </c>
      <c r="B33" s="328"/>
      <c r="C33" s="318">
        <v>372991837</v>
      </c>
      <c r="D33" s="314"/>
      <c r="E33" s="318">
        <v>328379057</v>
      </c>
      <c r="F33" s="314"/>
      <c r="G33" s="333"/>
      <c r="H33" s="331"/>
      <c r="I33" s="333">
        <v>79812719</v>
      </c>
      <c r="J33" s="331"/>
      <c r="K33" s="333">
        <v>78218517</v>
      </c>
      <c r="L33" s="331"/>
      <c r="M33" s="319">
        <f>E33-I33</f>
        <v>248566338</v>
      </c>
      <c r="N33" s="319"/>
      <c r="O33" s="319">
        <f>G33-K33</f>
        <v>-78218517</v>
      </c>
    </row>
    <row r="34" spans="1:15" ht="16.5" customHeight="1">
      <c r="A34" s="332" t="s">
        <v>587</v>
      </c>
      <c r="B34" s="328"/>
      <c r="C34" s="318">
        <v>1507229643</v>
      </c>
      <c r="D34" s="314"/>
      <c r="E34" s="318">
        <v>285278536</v>
      </c>
      <c r="F34" s="314"/>
      <c r="G34" s="333"/>
      <c r="H34" s="331"/>
      <c r="I34" s="333">
        <v>693507924</v>
      </c>
      <c r="J34" s="331"/>
      <c r="K34" s="333">
        <v>139623862</v>
      </c>
      <c r="L34" s="331"/>
      <c r="M34" s="319">
        <f>E34-I34</f>
        <v>-408229388</v>
      </c>
      <c r="N34" s="319"/>
      <c r="O34" s="319">
        <f>G34-K34</f>
        <v>-139623862</v>
      </c>
    </row>
    <row r="35" spans="1:15" ht="16.5" customHeight="1">
      <c r="A35" s="332" t="s">
        <v>588</v>
      </c>
      <c r="B35" s="328"/>
      <c r="C35" s="318">
        <v>127733268</v>
      </c>
      <c r="D35" s="314"/>
      <c r="E35" s="318">
        <v>2032031</v>
      </c>
      <c r="F35" s="314"/>
      <c r="G35" s="333"/>
      <c r="H35" s="331"/>
      <c r="I35" s="333"/>
      <c r="J35" s="331"/>
      <c r="K35" s="333"/>
      <c r="L35" s="331"/>
      <c r="M35" s="319"/>
      <c r="N35" s="319"/>
      <c r="O35" s="319"/>
    </row>
    <row r="36" spans="1:15" ht="16.5" customHeight="1">
      <c r="A36" s="332" t="s">
        <v>589</v>
      </c>
      <c r="B36" s="328"/>
      <c r="C36" s="318">
        <f>261013142+355273221+134574679</f>
        <v>750861042</v>
      </c>
      <c r="D36" s="314"/>
      <c r="E36" s="318">
        <v>545045854</v>
      </c>
      <c r="F36" s="314"/>
      <c r="G36" s="333"/>
      <c r="H36" s="331"/>
      <c r="I36" s="333">
        <v>205709797</v>
      </c>
      <c r="J36" s="331"/>
      <c r="K36" s="333">
        <v>89372704</v>
      </c>
      <c r="L36" s="331"/>
      <c r="M36" s="319">
        <f>E36-I36</f>
        <v>339336057</v>
      </c>
      <c r="N36" s="319"/>
      <c r="O36" s="319">
        <f>G36-K36</f>
        <v>-89372704</v>
      </c>
    </row>
    <row r="37" spans="1:15" ht="18" customHeight="1">
      <c r="A37" s="334"/>
      <c r="B37" s="328"/>
      <c r="C37" s="321">
        <f>SUM(C33:C36)</f>
        <v>2758815790</v>
      </c>
      <c r="D37" s="321"/>
      <c r="E37" s="321">
        <f>SUM(E33:E36)</f>
        <v>1160735478</v>
      </c>
      <c r="F37" s="314"/>
      <c r="G37" s="335"/>
      <c r="H37" s="333"/>
      <c r="I37" s="336">
        <f>SUM(I33:I36)</f>
        <v>979030440</v>
      </c>
      <c r="J37" s="333"/>
      <c r="K37" s="336">
        <f>SUM(K33:K36)</f>
        <v>307215083</v>
      </c>
      <c r="L37" s="333"/>
      <c r="M37" s="336">
        <f>SUM(M33:M36)</f>
        <v>179673007</v>
      </c>
      <c r="N37" s="333"/>
      <c r="O37" s="336">
        <f>SUM(O33:O36)</f>
        <v>-307215083</v>
      </c>
    </row>
    <row r="38" spans="1:15" ht="15.75">
      <c r="A38" s="309"/>
      <c r="B38" s="309"/>
      <c r="C38" s="337"/>
      <c r="D38" s="309"/>
      <c r="E38" s="337"/>
      <c r="F38" s="309"/>
      <c r="G38" s="338"/>
      <c r="H38" s="325"/>
      <c r="I38" s="338"/>
      <c r="J38" s="325"/>
      <c r="K38" s="338"/>
      <c r="L38" s="325"/>
      <c r="M38" s="338"/>
      <c r="N38" s="325"/>
      <c r="O38" s="338"/>
    </row>
    <row r="39" spans="1:15" ht="18.75">
      <c r="A39" s="313" t="s">
        <v>590</v>
      </c>
      <c r="B39" s="309"/>
      <c r="C39" s="339">
        <f>C11+C24+C31+C37</f>
        <v>66083587126</v>
      </c>
      <c r="D39" s="339"/>
      <c r="E39" s="339">
        <f>E11+E24+E31+E37</f>
        <v>61754419515</v>
      </c>
      <c r="F39" s="309"/>
      <c r="G39" s="326"/>
      <c r="H39" s="326"/>
      <c r="I39" s="340">
        <f>I11+I24+I31+I37</f>
        <v>25264578591</v>
      </c>
      <c r="J39" s="326"/>
      <c r="K39" s="340">
        <f>K11+K24+K31+K37</f>
        <v>18400118276</v>
      </c>
      <c r="L39" s="326"/>
      <c r="M39" s="340" t="e">
        <f>M11+M24+M31+M37</f>
        <v>#REF!</v>
      </c>
      <c r="N39" s="326"/>
      <c r="O39" s="340">
        <f>O11+O24+O31+O37</f>
        <v>-18400118276</v>
      </c>
    </row>
    <row r="40" spans="1:15" ht="15.75">
      <c r="A40" s="309"/>
      <c r="B40" s="309"/>
      <c r="C40" s="337"/>
      <c r="D40" s="309"/>
      <c r="E40" s="309"/>
      <c r="F40" s="309"/>
      <c r="G40" s="338"/>
      <c r="H40" s="325"/>
      <c r="I40" s="338"/>
      <c r="J40" s="325"/>
      <c r="K40" s="338"/>
      <c r="L40" s="325"/>
      <c r="M40" s="338"/>
      <c r="N40" s="325"/>
      <c r="O40" s="338"/>
    </row>
    <row r="41" spans="1:15" ht="15.75">
      <c r="A41" s="309"/>
      <c r="B41" s="309"/>
      <c r="C41" s="337"/>
      <c r="D41" s="309"/>
      <c r="E41" s="309"/>
      <c r="F41" s="309"/>
      <c r="G41" s="338"/>
      <c r="H41" s="325"/>
      <c r="I41" s="338"/>
      <c r="J41" s="325"/>
      <c r="K41" s="338"/>
      <c r="L41" s="325"/>
      <c r="M41" s="338"/>
      <c r="N41" s="325"/>
      <c r="O41" s="338"/>
    </row>
    <row r="42" spans="1:15" ht="15.75">
      <c r="A42" s="309"/>
      <c r="B42" s="309"/>
      <c r="C42" s="337"/>
      <c r="D42" s="309"/>
      <c r="E42" s="309"/>
      <c r="F42" s="309"/>
      <c r="G42" s="338"/>
      <c r="H42" s="325"/>
      <c r="I42" s="338"/>
      <c r="J42" s="325"/>
      <c r="K42" s="338"/>
      <c r="L42" s="325"/>
      <c r="M42" s="338"/>
      <c r="N42" s="325"/>
      <c r="O42" s="338"/>
    </row>
    <row r="43" spans="1:15" ht="15.75">
      <c r="A43" s="309"/>
      <c r="B43" s="309"/>
      <c r="C43" s="337"/>
      <c r="D43" s="309"/>
      <c r="E43" s="309"/>
      <c r="F43" s="309"/>
      <c r="G43" s="338"/>
      <c r="H43" s="325"/>
      <c r="I43" s="338"/>
      <c r="J43" s="325"/>
      <c r="K43" s="338"/>
      <c r="L43" s="325"/>
      <c r="M43" s="338"/>
      <c r="N43" s="325"/>
      <c r="O43" s="338"/>
    </row>
    <row r="44" spans="1:14" ht="16.5">
      <c r="A44" s="341" t="s">
        <v>591</v>
      </c>
      <c r="B44" s="342"/>
      <c r="C44" s="343" t="s">
        <v>592</v>
      </c>
      <c r="D44" s="344"/>
      <c r="E44" s="345"/>
      <c r="F44" s="342"/>
      <c r="H44" s="346"/>
      <c r="J44" s="346"/>
      <c r="L44" s="346"/>
      <c r="N44" s="346"/>
    </row>
    <row r="45" spans="1:14" ht="16.5">
      <c r="A45" s="341" t="s">
        <v>593</v>
      </c>
      <c r="B45" s="342"/>
      <c r="C45" s="347" t="s">
        <v>594</v>
      </c>
      <c r="D45" s="344"/>
      <c r="E45" s="345"/>
      <c r="F45" s="342"/>
      <c r="H45" s="346"/>
      <c r="J45" s="346"/>
      <c r="L45" s="346"/>
      <c r="N45" s="346"/>
    </row>
    <row r="46" spans="1:14" ht="16.5">
      <c r="A46" s="342"/>
      <c r="B46" s="342"/>
      <c r="C46" s="348"/>
      <c r="D46" s="342"/>
      <c r="F46" s="342"/>
      <c r="H46" s="346"/>
      <c r="J46" s="346"/>
      <c r="L46" s="346"/>
      <c r="N46" s="346"/>
    </row>
    <row r="47" spans="1:14" ht="28.5" customHeight="1">
      <c r="A47" s="342"/>
      <c r="B47" s="342"/>
      <c r="C47" s="348"/>
      <c r="D47" s="342"/>
      <c r="F47" s="342"/>
      <c r="H47" s="346"/>
      <c r="J47" s="346"/>
      <c r="L47" s="346"/>
      <c r="N47" s="346"/>
    </row>
    <row r="48" spans="1:14" ht="16.5">
      <c r="A48" s="342"/>
      <c r="B48" s="342"/>
      <c r="C48" s="348"/>
      <c r="D48" s="342"/>
      <c r="F48" s="342"/>
      <c r="H48" s="346"/>
      <c r="J48" s="346"/>
      <c r="L48" s="346"/>
      <c r="N48" s="346"/>
    </row>
    <row r="49" spans="1:14" ht="16.5">
      <c r="A49" s="341" t="s">
        <v>595</v>
      </c>
      <c r="B49" s="342"/>
      <c r="C49" s="347" t="s">
        <v>596</v>
      </c>
      <c r="D49" s="344"/>
      <c r="E49" s="345"/>
      <c r="F49" s="342"/>
      <c r="H49" s="346"/>
      <c r="J49" s="346"/>
      <c r="L49" s="346"/>
      <c r="N49" s="346"/>
    </row>
    <row r="50" spans="1:14" ht="16.5">
      <c r="A50" s="341" t="s">
        <v>1179</v>
      </c>
      <c r="B50" s="342"/>
      <c r="C50" s="347" t="s">
        <v>1178</v>
      </c>
      <c r="D50" s="344"/>
      <c r="E50" s="875">
        <v>2</v>
      </c>
      <c r="F50" s="342"/>
      <c r="H50" s="346"/>
      <c r="J50" s="346"/>
      <c r="L50" s="346"/>
      <c r="N50" s="346"/>
    </row>
    <row r="51" spans="1:15" ht="22.5">
      <c r="A51" s="888" t="s">
        <v>561</v>
      </c>
      <c r="B51" s="888"/>
      <c r="C51" s="888"/>
      <c r="D51" s="888"/>
      <c r="E51" s="888"/>
      <c r="F51" s="804"/>
      <c r="G51" s="804"/>
      <c r="H51" s="804"/>
      <c r="I51" s="305"/>
      <c r="K51" s="305"/>
      <c r="M51" s="305"/>
      <c r="O51" s="305"/>
    </row>
    <row r="52" spans="1:15" ht="22.5">
      <c r="A52" s="888" t="str">
        <f>+A2</f>
        <v>AL 31 DE DICIEMBRE  DE 2020 Y 2019</v>
      </c>
      <c r="B52" s="888"/>
      <c r="C52" s="888"/>
      <c r="D52" s="888"/>
      <c r="E52" s="888"/>
      <c r="F52" s="804"/>
      <c r="G52" s="804"/>
      <c r="H52" s="804"/>
      <c r="I52" s="797"/>
      <c r="K52" s="797"/>
      <c r="M52" s="797"/>
      <c r="O52" s="797"/>
    </row>
    <row r="53" spans="1:15" ht="18.75">
      <c r="A53" s="889" t="s">
        <v>562</v>
      </c>
      <c r="B53" s="889"/>
      <c r="C53" s="889"/>
      <c r="D53" s="889"/>
      <c r="E53" s="889"/>
      <c r="F53" s="805"/>
      <c r="G53" s="805"/>
      <c r="H53" s="805"/>
      <c r="I53" s="798"/>
      <c r="K53" s="798"/>
      <c r="M53" s="798"/>
      <c r="O53" s="798"/>
    </row>
    <row r="54" spans="1:15" ht="18.75">
      <c r="A54" s="307"/>
      <c r="B54" s="307"/>
      <c r="C54" s="349"/>
      <c r="D54" s="307"/>
      <c r="E54" s="307"/>
      <c r="F54" s="307"/>
      <c r="G54" s="307"/>
      <c r="H54" s="307"/>
      <c r="I54" s="307"/>
      <c r="J54" s="307"/>
      <c r="K54" s="307"/>
      <c r="L54" s="307"/>
      <c r="M54" s="307"/>
      <c r="N54" s="307"/>
      <c r="O54" s="307"/>
    </row>
    <row r="55" spans="1:15" ht="20.25">
      <c r="A55" s="308" t="s">
        <v>563</v>
      </c>
      <c r="B55" s="309"/>
      <c r="C55" s="310">
        <v>2020</v>
      </c>
      <c r="D55" s="309"/>
      <c r="E55" s="310">
        <v>2019</v>
      </c>
      <c r="F55" s="309"/>
      <c r="G55" s="307"/>
      <c r="H55" s="311"/>
      <c r="I55" s="310" t="s">
        <v>564</v>
      </c>
      <c r="J55" s="311"/>
      <c r="K55" s="310" t="s">
        <v>565</v>
      </c>
      <c r="L55" s="311"/>
      <c r="M55" s="310" t="s">
        <v>566</v>
      </c>
      <c r="N55" s="311"/>
      <c r="O55" s="310" t="s">
        <v>566</v>
      </c>
    </row>
    <row r="56" spans="1:15" ht="15.75">
      <c r="A56" s="309"/>
      <c r="B56" s="309"/>
      <c r="C56" s="312"/>
      <c r="D56" s="309"/>
      <c r="E56" s="309"/>
      <c r="F56" s="309"/>
      <c r="G56" s="309"/>
      <c r="H56" s="309"/>
      <c r="I56" s="309"/>
      <c r="J56" s="309"/>
      <c r="K56" s="309"/>
      <c r="L56" s="309"/>
      <c r="M56" s="309"/>
      <c r="N56" s="309"/>
      <c r="O56" s="309"/>
    </row>
    <row r="57" spans="1:15" ht="18.75">
      <c r="A57" s="313" t="s">
        <v>599</v>
      </c>
      <c r="B57" s="309"/>
      <c r="C57" s="312"/>
      <c r="D57" s="309"/>
      <c r="E57" s="309"/>
      <c r="F57" s="309"/>
      <c r="G57" s="309"/>
      <c r="H57" s="309"/>
      <c r="I57" s="309"/>
      <c r="J57" s="309"/>
      <c r="K57" s="309"/>
      <c r="L57" s="309"/>
      <c r="M57" s="309"/>
      <c r="N57" s="309"/>
      <c r="O57" s="309"/>
    </row>
    <row r="58" spans="1:15" ht="9.75" customHeight="1">
      <c r="A58" s="309"/>
      <c r="B58" s="314"/>
      <c r="C58" s="350"/>
      <c r="D58" s="314"/>
      <c r="E58" s="314"/>
      <c r="F58" s="314"/>
      <c r="G58" s="326"/>
      <c r="H58" s="319"/>
      <c r="I58" s="326"/>
      <c r="J58" s="319"/>
      <c r="K58" s="326"/>
      <c r="L58" s="319"/>
      <c r="M58" s="326"/>
      <c r="N58" s="319"/>
      <c r="O58" s="326"/>
    </row>
    <row r="59" spans="1:15" ht="18.75">
      <c r="A59" s="313" t="s">
        <v>600</v>
      </c>
      <c r="B59" s="314"/>
      <c r="C59" s="323"/>
      <c r="D59" s="314"/>
      <c r="E59" s="314"/>
      <c r="F59" s="314"/>
      <c r="G59" s="324"/>
      <c r="H59" s="325"/>
      <c r="I59" s="324"/>
      <c r="J59" s="325"/>
      <c r="K59" s="324"/>
      <c r="L59" s="325"/>
      <c r="M59" s="324"/>
      <c r="N59" s="325"/>
      <c r="O59" s="324"/>
    </row>
    <row r="60" spans="1:15" ht="15.75">
      <c r="A60" s="351" t="s">
        <v>601</v>
      </c>
      <c r="B60" s="314"/>
      <c r="C60" s="318">
        <f>81289090002+21440528578</f>
        <v>102729618580</v>
      </c>
      <c r="D60" s="314"/>
      <c r="E60" s="318">
        <v>99090874973</v>
      </c>
      <c r="F60" s="314"/>
      <c r="G60" s="319"/>
      <c r="H60" s="325"/>
      <c r="I60" s="319">
        <v>25283041512</v>
      </c>
      <c r="J60" s="325"/>
      <c r="K60" s="319">
        <v>19321338565</v>
      </c>
      <c r="L60" s="325"/>
      <c r="M60" s="319">
        <f>E60-I60</f>
        <v>73807833461</v>
      </c>
      <c r="N60" s="319"/>
      <c r="O60" s="319">
        <f>G60-K60</f>
        <v>-19321338565</v>
      </c>
    </row>
    <row r="61" spans="1:15" ht="15.75">
      <c r="A61" s="351" t="s">
        <v>602</v>
      </c>
      <c r="B61" s="314"/>
      <c r="C61" s="318">
        <v>-60184910122</v>
      </c>
      <c r="D61" s="314"/>
      <c r="E61" s="318">
        <v>-57813692333</v>
      </c>
      <c r="F61" s="314"/>
      <c r="G61" s="319"/>
      <c r="H61" s="325"/>
      <c r="I61" s="319">
        <v>-10260044516</v>
      </c>
      <c r="J61" s="325"/>
      <c r="K61" s="319">
        <v>-8994891876</v>
      </c>
      <c r="L61" s="325"/>
      <c r="M61" s="319">
        <f>E61-I61</f>
        <v>-47553647817</v>
      </c>
      <c r="N61" s="319"/>
      <c r="O61" s="319">
        <f>G61-K61</f>
        <v>8994891876</v>
      </c>
    </row>
    <row r="62" spans="1:15" ht="18" customHeight="1">
      <c r="A62" s="309"/>
      <c r="B62" s="314"/>
      <c r="C62" s="321">
        <f>SUM(C60:C61)</f>
        <v>42544708458</v>
      </c>
      <c r="D62" s="314"/>
      <c r="E62" s="321">
        <f>SUM(E60:E61)</f>
        <v>41277182640</v>
      </c>
      <c r="F62" s="314"/>
      <c r="G62" s="326"/>
      <c r="H62" s="319"/>
      <c r="I62" s="322">
        <f>SUM(I60:I61)</f>
        <v>15022996996</v>
      </c>
      <c r="J62" s="319"/>
      <c r="K62" s="322">
        <f>SUM(K60:K61)</f>
        <v>10326446689</v>
      </c>
      <c r="L62" s="319"/>
      <c r="M62" s="322">
        <f>SUM(M60:M61)</f>
        <v>26254185644</v>
      </c>
      <c r="N62" s="319"/>
      <c r="O62" s="322">
        <f>SUM(O60:O61)</f>
        <v>-10326446689</v>
      </c>
    </row>
    <row r="63" spans="1:15" ht="18.75">
      <c r="A63" s="313" t="s">
        <v>603</v>
      </c>
      <c r="B63" s="314"/>
      <c r="C63" s="323"/>
      <c r="D63" s="314"/>
      <c r="E63" s="323"/>
      <c r="F63" s="314"/>
      <c r="G63" s="324"/>
      <c r="H63" s="325"/>
      <c r="I63" s="324"/>
      <c r="J63" s="325"/>
      <c r="K63" s="324"/>
      <c r="L63" s="325"/>
      <c r="M63" s="324"/>
      <c r="N63" s="325"/>
      <c r="O63" s="324"/>
    </row>
    <row r="64" spans="1:15" ht="16.5" customHeight="1">
      <c r="A64" s="351" t="s">
        <v>604</v>
      </c>
      <c r="B64" s="314"/>
      <c r="C64" s="318">
        <f>1714090246-663289604</f>
        <v>1050800642</v>
      </c>
      <c r="D64" s="314"/>
      <c r="E64" s="318">
        <v>1242745451</v>
      </c>
      <c r="F64" s="314"/>
      <c r="G64" s="319"/>
      <c r="H64" s="325"/>
      <c r="I64" s="319">
        <v>664880021</v>
      </c>
      <c r="J64" s="325"/>
      <c r="K64" s="319">
        <v>532357619</v>
      </c>
      <c r="L64" s="325"/>
      <c r="M64" s="319">
        <f>E64-I64</f>
        <v>577865430</v>
      </c>
      <c r="N64" s="319"/>
      <c r="O64" s="319">
        <f>G64-K64</f>
        <v>-532357619</v>
      </c>
    </row>
    <row r="65" spans="1:15" ht="16.5" customHeight="1">
      <c r="A65" s="351" t="s">
        <v>605</v>
      </c>
      <c r="B65" s="314"/>
      <c r="C65" s="318">
        <f>2200707798+1744008291</f>
        <v>3944716089</v>
      </c>
      <c r="D65" s="314"/>
      <c r="E65" s="318">
        <v>5395830579</v>
      </c>
      <c r="F65" s="314"/>
      <c r="G65" s="319"/>
      <c r="H65" s="325"/>
      <c r="I65" s="319">
        <v>3010415396</v>
      </c>
      <c r="J65" s="325"/>
      <c r="K65" s="319">
        <v>1863052552</v>
      </c>
      <c r="L65" s="325"/>
      <c r="M65" s="319">
        <f>E65-I65</f>
        <v>2385415183</v>
      </c>
      <c r="N65" s="319"/>
      <c r="O65" s="319">
        <f>G65-K65</f>
        <v>-1863052552</v>
      </c>
    </row>
    <row r="66" spans="1:15" ht="16.5" customHeight="1">
      <c r="A66" s="351" t="s">
        <v>606</v>
      </c>
      <c r="B66" s="314"/>
      <c r="C66" s="318">
        <f>11166215423-5855224170</f>
        <v>5310991253</v>
      </c>
      <c r="D66" s="314"/>
      <c r="E66" s="318">
        <v>5111955373</v>
      </c>
      <c r="F66" s="314"/>
      <c r="G66" s="352"/>
      <c r="H66" s="325"/>
      <c r="I66" s="353">
        <v>0</v>
      </c>
      <c r="J66" s="325"/>
      <c r="K66" s="353">
        <v>0</v>
      </c>
      <c r="L66" s="325"/>
      <c r="M66" s="319">
        <f>E66-I66</f>
        <v>5111955373</v>
      </c>
      <c r="N66" s="319"/>
      <c r="O66" s="319">
        <v>0</v>
      </c>
    </row>
    <row r="67" spans="1:15" ht="18" customHeight="1">
      <c r="A67" s="309"/>
      <c r="B67" s="314"/>
      <c r="C67" s="354">
        <f>SUM(C64:C66)</f>
        <v>10306507984</v>
      </c>
      <c r="D67" s="314"/>
      <c r="E67" s="354">
        <f>SUM(E64:E66)</f>
        <v>11750531403</v>
      </c>
      <c r="F67" s="314"/>
      <c r="G67" s="355"/>
      <c r="H67" s="319"/>
      <c r="I67" s="356">
        <f>SUM(I64:I66)</f>
        <v>3675295417</v>
      </c>
      <c r="J67" s="319"/>
      <c r="K67" s="356">
        <f>SUM(K64:K66)</f>
        <v>2395410171</v>
      </c>
      <c r="L67" s="319"/>
      <c r="M67" s="356">
        <f>SUM(M64:M66)</f>
        <v>8075235986</v>
      </c>
      <c r="N67" s="319"/>
      <c r="O67" s="356">
        <f>SUM(O64:O66)</f>
        <v>-2395410171</v>
      </c>
    </row>
    <row r="68" spans="1:15" ht="18" customHeight="1">
      <c r="A68" s="313" t="s">
        <v>607</v>
      </c>
      <c r="B68" s="314"/>
      <c r="C68" s="357"/>
      <c r="D68" s="314"/>
      <c r="E68" s="357"/>
      <c r="F68" s="314"/>
      <c r="G68" s="355"/>
      <c r="H68" s="319"/>
      <c r="I68" s="355"/>
      <c r="J68" s="319"/>
      <c r="K68" s="355"/>
      <c r="L68" s="319"/>
      <c r="M68" s="355"/>
      <c r="N68" s="319"/>
      <c r="O68" s="355"/>
    </row>
    <row r="69" spans="1:15" ht="18" customHeight="1">
      <c r="A69" s="309" t="s">
        <v>608</v>
      </c>
      <c r="B69" s="314"/>
      <c r="C69" s="358">
        <v>3079929934</v>
      </c>
      <c r="D69" s="314"/>
      <c r="E69" s="358">
        <v>0</v>
      </c>
      <c r="F69" s="314"/>
      <c r="G69" s="355"/>
      <c r="H69" s="319"/>
      <c r="I69" s="355"/>
      <c r="J69" s="319"/>
      <c r="K69" s="355"/>
      <c r="L69" s="319"/>
      <c r="M69" s="355"/>
      <c r="N69" s="319"/>
      <c r="O69" s="355"/>
    </row>
    <row r="70" spans="1:15" ht="18" customHeight="1">
      <c r="A70" s="309" t="s">
        <v>609</v>
      </c>
      <c r="B70" s="314"/>
      <c r="C70" s="358">
        <v>0</v>
      </c>
      <c r="D70" s="314"/>
      <c r="E70" s="358">
        <v>0</v>
      </c>
      <c r="F70" s="314"/>
      <c r="G70" s="355"/>
      <c r="H70" s="319"/>
      <c r="I70" s="355"/>
      <c r="J70" s="319"/>
      <c r="K70" s="355"/>
      <c r="L70" s="319"/>
      <c r="M70" s="355"/>
      <c r="N70" s="319"/>
      <c r="O70" s="355"/>
    </row>
    <row r="71" spans="1:15" ht="18" customHeight="1">
      <c r="A71" s="309" t="s">
        <v>1065</v>
      </c>
      <c r="B71" s="314"/>
      <c r="C71" s="358">
        <v>0</v>
      </c>
      <c r="D71" s="314"/>
      <c r="E71" s="358">
        <v>0</v>
      </c>
      <c r="F71" s="314"/>
      <c r="G71" s="355"/>
      <c r="H71" s="319"/>
      <c r="I71" s="355"/>
      <c r="J71" s="319"/>
      <c r="K71" s="355"/>
      <c r="L71" s="319"/>
      <c r="M71" s="355"/>
      <c r="N71" s="319"/>
      <c r="O71" s="355"/>
    </row>
    <row r="72" spans="1:15" ht="18" customHeight="1">
      <c r="A72" s="309"/>
      <c r="B72" s="314"/>
      <c r="C72" s="359">
        <f>SUM(C69:C71)</f>
        <v>3079929934</v>
      </c>
      <c r="D72" s="314"/>
      <c r="E72" s="359">
        <f>SUM(E69:E71)</f>
        <v>0</v>
      </c>
      <c r="F72" s="314"/>
      <c r="G72" s="355"/>
      <c r="H72" s="319"/>
      <c r="I72" s="355"/>
      <c r="J72" s="319"/>
      <c r="K72" s="355"/>
      <c r="L72" s="319"/>
      <c r="M72" s="355"/>
      <c r="N72" s="319"/>
      <c r="O72" s="355"/>
    </row>
    <row r="73" spans="1:15" ht="9.75" customHeight="1">
      <c r="A73" s="309"/>
      <c r="B73" s="314"/>
      <c r="C73" s="350"/>
      <c r="D73" s="314"/>
      <c r="E73" s="350"/>
      <c r="F73" s="314"/>
      <c r="G73" s="326"/>
      <c r="H73" s="319"/>
      <c r="I73" s="326"/>
      <c r="J73" s="319"/>
      <c r="K73" s="326"/>
      <c r="L73" s="319"/>
      <c r="M73" s="326"/>
      <c r="N73" s="319"/>
      <c r="O73" s="326"/>
    </row>
    <row r="74" spans="1:15" ht="18.75">
      <c r="A74" s="313" t="s">
        <v>610</v>
      </c>
      <c r="B74" s="309"/>
      <c r="C74" s="339">
        <f>C62+C67+C72</f>
        <v>55931146376</v>
      </c>
      <c r="D74" s="309"/>
      <c r="E74" s="339">
        <f>E62+E67+E72</f>
        <v>53027714043</v>
      </c>
      <c r="F74" s="309"/>
      <c r="G74" s="326"/>
      <c r="H74" s="319"/>
      <c r="I74" s="340">
        <f>I62+I67</f>
        <v>18698292413</v>
      </c>
      <c r="J74" s="319"/>
      <c r="K74" s="340" t="e">
        <f>K62+#REF!+K67</f>
        <v>#REF!</v>
      </c>
      <c r="L74" s="319"/>
      <c r="M74" s="340" t="e">
        <f>M62+M67+#REF!</f>
        <v>#REF!</v>
      </c>
      <c r="N74" s="319"/>
      <c r="O74" s="340" t="e">
        <f>O62+O67+#REF!</f>
        <v>#REF!</v>
      </c>
    </row>
    <row r="75" spans="1:15" ht="15.75">
      <c r="A75" s="309"/>
      <c r="B75" s="314"/>
      <c r="C75" s="323"/>
      <c r="D75" s="314"/>
      <c r="E75" s="323"/>
      <c r="F75" s="314"/>
      <c r="G75" s="324"/>
      <c r="H75" s="319"/>
      <c r="I75" s="324"/>
      <c r="J75" s="319"/>
      <c r="K75" s="324"/>
      <c r="L75" s="319"/>
      <c r="M75" s="324"/>
      <c r="N75" s="319"/>
      <c r="O75" s="324"/>
    </row>
    <row r="76" spans="1:15" ht="19.5" thickBot="1">
      <c r="A76" s="313" t="s">
        <v>611</v>
      </c>
      <c r="B76" s="314"/>
      <c r="C76" s="360">
        <f>C39+C74</f>
        <v>122014733502</v>
      </c>
      <c r="D76" s="314"/>
      <c r="E76" s="360">
        <f>E39+E74</f>
        <v>114782133558</v>
      </c>
      <c r="F76" s="314"/>
      <c r="G76" s="361"/>
      <c r="H76" s="325"/>
      <c r="I76" s="362">
        <f>I39+I74</f>
        <v>43962871004</v>
      </c>
      <c r="J76" s="325"/>
      <c r="K76" s="362" t="e">
        <f>K39+K74</f>
        <v>#REF!</v>
      </c>
      <c r="L76" s="325"/>
      <c r="M76" s="362" t="e">
        <f>M39+M74</f>
        <v>#REF!</v>
      </c>
      <c r="N76" s="325"/>
      <c r="O76" s="362" t="e">
        <f>O39+O74</f>
        <v>#REF!</v>
      </c>
    </row>
    <row r="77" spans="1:15" ht="16.5" thickTop="1">
      <c r="A77" s="309"/>
      <c r="B77" s="309"/>
      <c r="C77" s="337"/>
      <c r="D77" s="309"/>
      <c r="E77" s="309"/>
      <c r="F77" s="309"/>
      <c r="G77" s="338"/>
      <c r="H77" s="325"/>
      <c r="I77" s="338"/>
      <c r="J77" s="325"/>
      <c r="K77" s="338"/>
      <c r="L77" s="325"/>
      <c r="M77" s="338"/>
      <c r="N77" s="325"/>
      <c r="O77" s="338"/>
    </row>
    <row r="78" spans="1:15" ht="15.75">
      <c r="A78" s="309"/>
      <c r="B78" s="309"/>
      <c r="C78" s="337"/>
      <c r="D78" s="309"/>
      <c r="E78" s="309"/>
      <c r="F78" s="309"/>
      <c r="G78" s="338"/>
      <c r="H78" s="325"/>
      <c r="I78" s="338"/>
      <c r="J78" s="325"/>
      <c r="K78" s="338"/>
      <c r="L78" s="325"/>
      <c r="M78" s="338"/>
      <c r="N78" s="325"/>
      <c r="O78" s="338"/>
    </row>
    <row r="79" spans="1:15" ht="15.75">
      <c r="A79" s="309"/>
      <c r="B79" s="309"/>
      <c r="C79" s="337"/>
      <c r="D79" s="309"/>
      <c r="E79" s="309"/>
      <c r="F79" s="309"/>
      <c r="G79" s="338"/>
      <c r="H79" s="325"/>
      <c r="I79" s="338"/>
      <c r="J79" s="325"/>
      <c r="K79" s="338"/>
      <c r="L79" s="325"/>
      <c r="M79" s="338"/>
      <c r="N79" s="325"/>
      <c r="O79" s="338"/>
    </row>
    <row r="80" spans="1:15" ht="27.75" customHeight="1">
      <c r="A80" s="309"/>
      <c r="B80" s="309"/>
      <c r="C80" s="337"/>
      <c r="D80" s="309"/>
      <c r="E80" s="309"/>
      <c r="F80" s="309"/>
      <c r="G80" s="338"/>
      <c r="H80" s="325"/>
      <c r="I80" s="338"/>
      <c r="J80" s="325"/>
      <c r="K80" s="338"/>
      <c r="L80" s="325"/>
      <c r="M80" s="338"/>
      <c r="N80" s="325"/>
      <c r="O80" s="338"/>
    </row>
    <row r="81" spans="1:15" ht="15.75">
      <c r="A81" s="309"/>
      <c r="B81" s="309"/>
      <c r="C81" s="337"/>
      <c r="D81" s="309"/>
      <c r="E81" s="309"/>
      <c r="F81" s="309"/>
      <c r="G81" s="338"/>
      <c r="H81" s="325"/>
      <c r="I81" s="338"/>
      <c r="J81" s="325"/>
      <c r="K81" s="338"/>
      <c r="L81" s="325"/>
      <c r="M81" s="338"/>
      <c r="N81" s="325"/>
      <c r="O81" s="338"/>
    </row>
    <row r="82" spans="1:14" ht="16.5">
      <c r="A82" s="341" t="s">
        <v>591</v>
      </c>
      <c r="B82" s="342"/>
      <c r="C82" s="343" t="s">
        <v>592</v>
      </c>
      <c r="D82" s="344"/>
      <c r="E82" s="345"/>
      <c r="F82" s="344"/>
      <c r="G82" s="345"/>
      <c r="H82" s="363"/>
      <c r="J82" s="346"/>
      <c r="L82" s="346"/>
      <c r="N82" s="346"/>
    </row>
    <row r="83" spans="1:14" ht="16.5">
      <c r="A83" s="343" t="s">
        <v>593</v>
      </c>
      <c r="B83" s="344"/>
      <c r="C83" s="347" t="s">
        <v>594</v>
      </c>
      <c r="D83" s="344"/>
      <c r="E83" s="345"/>
      <c r="F83" s="344"/>
      <c r="G83" s="345"/>
      <c r="H83" s="363"/>
      <c r="J83" s="346"/>
      <c r="L83" s="346"/>
      <c r="N83" s="346"/>
    </row>
    <row r="84" spans="1:14" ht="16.5">
      <c r="A84" s="344"/>
      <c r="B84" s="344"/>
      <c r="C84" s="364"/>
      <c r="D84" s="344"/>
      <c r="E84" s="345"/>
      <c r="F84" s="344"/>
      <c r="G84" s="345"/>
      <c r="H84" s="363"/>
      <c r="J84" s="346"/>
      <c r="L84" s="346"/>
      <c r="N84" s="346"/>
    </row>
    <row r="85" spans="1:14" ht="16.5">
      <c r="A85" s="344"/>
      <c r="B85" s="344"/>
      <c r="C85" s="364"/>
      <c r="D85" s="344"/>
      <c r="E85" s="345"/>
      <c r="F85" s="344"/>
      <c r="G85" s="345"/>
      <c r="H85" s="363"/>
      <c r="J85" s="346"/>
      <c r="L85" s="346"/>
      <c r="N85" s="346"/>
    </row>
    <row r="86" spans="1:14" ht="33.75" customHeight="1">
      <c r="A86" s="344"/>
      <c r="B86" s="344"/>
      <c r="C86" s="364"/>
      <c r="D86" s="344"/>
      <c r="E86" s="345"/>
      <c r="F86" s="344"/>
      <c r="G86" s="345"/>
      <c r="H86" s="363"/>
      <c r="J86" s="346"/>
      <c r="L86" s="346"/>
      <c r="N86" s="346"/>
    </row>
    <row r="87" spans="1:14" ht="16.5">
      <c r="A87" s="344"/>
      <c r="B87" s="344"/>
      <c r="C87" s="364"/>
      <c r="D87" s="344"/>
      <c r="E87" s="345"/>
      <c r="F87" s="344"/>
      <c r="G87" s="345"/>
      <c r="H87" s="363"/>
      <c r="J87" s="346"/>
      <c r="L87" s="346"/>
      <c r="N87" s="346"/>
    </row>
    <row r="88" spans="1:14" ht="16.5">
      <c r="A88" s="341" t="s">
        <v>595</v>
      </c>
      <c r="B88" s="342"/>
      <c r="C88" s="347" t="s">
        <v>596</v>
      </c>
      <c r="D88" s="344"/>
      <c r="E88" s="345"/>
      <c r="F88" s="344"/>
      <c r="G88" s="345"/>
      <c r="H88" s="363"/>
      <c r="J88" s="346"/>
      <c r="L88" s="346"/>
      <c r="N88" s="346"/>
    </row>
    <row r="89" spans="1:14" ht="16.5">
      <c r="A89" s="343" t="s">
        <v>597</v>
      </c>
      <c r="B89" s="344"/>
      <c r="C89" s="347" t="s">
        <v>598</v>
      </c>
      <c r="D89" s="344"/>
      <c r="E89" s="345"/>
      <c r="F89" s="344"/>
      <c r="G89" s="345"/>
      <c r="H89" s="363"/>
      <c r="J89" s="346"/>
      <c r="L89" s="346"/>
      <c r="N89" s="346"/>
    </row>
    <row r="90" spans="1:15" ht="18.75">
      <c r="A90" s="808"/>
      <c r="B90" s="808"/>
      <c r="C90" s="808"/>
      <c r="D90" s="808"/>
      <c r="E90" s="808"/>
      <c r="F90" s="808"/>
      <c r="G90" s="808"/>
      <c r="H90" s="808"/>
      <c r="I90" s="365"/>
      <c r="K90" s="365"/>
      <c r="M90" s="365"/>
      <c r="O90" s="365"/>
    </row>
    <row r="91" spans="1:15" ht="18.75">
      <c r="A91" s="365"/>
      <c r="B91" s="365"/>
      <c r="C91" s="366"/>
      <c r="D91" s="365"/>
      <c r="E91" s="365"/>
      <c r="F91" s="365"/>
      <c r="G91" s="365"/>
      <c r="H91" s="365"/>
      <c r="I91" s="365"/>
      <c r="K91" s="365"/>
      <c r="M91" s="365"/>
      <c r="O91" s="365"/>
    </row>
    <row r="92" spans="1:15" ht="18.75">
      <c r="A92" s="365"/>
      <c r="B92" s="365"/>
      <c r="C92" s="366"/>
      <c r="D92" s="365"/>
      <c r="E92" s="365"/>
      <c r="F92" s="365"/>
      <c r="G92" s="365"/>
      <c r="H92" s="365"/>
      <c r="I92" s="365"/>
      <c r="K92" s="365"/>
      <c r="M92" s="365"/>
      <c r="O92" s="365"/>
    </row>
    <row r="93" spans="1:15" ht="18.75">
      <c r="A93" s="365"/>
      <c r="B93" s="365"/>
      <c r="C93" s="366"/>
      <c r="D93" s="365"/>
      <c r="E93" s="365"/>
      <c r="F93" s="365"/>
      <c r="G93" s="365"/>
      <c r="H93" s="365"/>
      <c r="I93" s="365"/>
      <c r="K93" s="365"/>
      <c r="M93" s="365"/>
      <c r="O93" s="365"/>
    </row>
    <row r="94" spans="1:15" ht="18.75">
      <c r="A94" s="365"/>
      <c r="B94" s="365"/>
      <c r="C94" s="366"/>
      <c r="D94" s="365"/>
      <c r="E94" s="365"/>
      <c r="F94" s="365"/>
      <c r="G94" s="365"/>
      <c r="H94" s="365"/>
      <c r="I94" s="365"/>
      <c r="K94" s="365"/>
      <c r="M94" s="365"/>
      <c r="O94" s="365"/>
    </row>
    <row r="95" spans="1:15" ht="18.75">
      <c r="A95" s="365"/>
      <c r="B95" s="365"/>
      <c r="C95" s="366"/>
      <c r="D95" s="365"/>
      <c r="E95" s="365"/>
      <c r="F95" s="365"/>
      <c r="G95" s="365"/>
      <c r="H95" s="365"/>
      <c r="I95" s="365"/>
      <c r="K95" s="365"/>
      <c r="M95" s="365"/>
      <c r="O95" s="365"/>
    </row>
    <row r="96" spans="1:15" ht="18.75">
      <c r="A96" s="365"/>
      <c r="B96" s="365"/>
      <c r="C96" s="366"/>
      <c r="D96" s="365"/>
      <c r="E96" s="365"/>
      <c r="F96" s="365"/>
      <c r="G96" s="365"/>
      <c r="H96" s="365"/>
      <c r="I96" s="365"/>
      <c r="K96" s="365"/>
      <c r="M96" s="365"/>
      <c r="O96" s="365"/>
    </row>
    <row r="97" spans="1:15" ht="18.75">
      <c r="A97" s="365"/>
      <c r="B97" s="365"/>
      <c r="C97" s="366"/>
      <c r="D97" s="365"/>
      <c r="E97" s="365"/>
      <c r="F97" s="365"/>
      <c r="G97" s="365"/>
      <c r="H97" s="365"/>
      <c r="I97" s="365"/>
      <c r="K97" s="365"/>
      <c r="M97" s="365"/>
      <c r="O97" s="365"/>
    </row>
    <row r="98" spans="1:15" ht="18.75">
      <c r="A98" s="365"/>
      <c r="B98" s="365"/>
      <c r="C98" s="366"/>
      <c r="D98" s="365"/>
      <c r="E98" s="365"/>
      <c r="F98" s="365"/>
      <c r="G98" s="365"/>
      <c r="H98" s="365"/>
      <c r="I98" s="365"/>
      <c r="K98" s="365"/>
      <c r="M98" s="365"/>
      <c r="O98" s="365"/>
    </row>
    <row r="99" spans="1:15" ht="18.75">
      <c r="A99" s="365"/>
      <c r="B99" s="365"/>
      <c r="C99" s="366"/>
      <c r="D99" s="365"/>
      <c r="E99" s="365"/>
      <c r="F99" s="365"/>
      <c r="G99" s="365"/>
      <c r="H99" s="365"/>
      <c r="I99" s="365"/>
      <c r="K99" s="365"/>
      <c r="M99" s="365"/>
      <c r="O99" s="365"/>
    </row>
    <row r="100" spans="1:15" ht="18.75">
      <c r="A100" s="365"/>
      <c r="B100" s="365"/>
      <c r="C100" s="366"/>
      <c r="D100" s="365"/>
      <c r="E100" s="365"/>
      <c r="F100" s="365"/>
      <c r="G100" s="365"/>
      <c r="H100" s="365"/>
      <c r="I100" s="365"/>
      <c r="K100" s="365"/>
      <c r="M100" s="365"/>
      <c r="O100" s="365"/>
    </row>
    <row r="101" spans="1:15" ht="18.75">
      <c r="A101" s="365"/>
      <c r="B101" s="365"/>
      <c r="C101" s="366"/>
      <c r="D101" s="365"/>
      <c r="E101" s="365"/>
      <c r="F101" s="365"/>
      <c r="G101" s="365"/>
      <c r="H101" s="365"/>
      <c r="I101" s="365"/>
      <c r="K101" s="365"/>
      <c r="M101" s="365"/>
      <c r="O101" s="365"/>
    </row>
    <row r="102" spans="1:15" ht="18.75">
      <c r="A102" s="365"/>
      <c r="B102" s="365"/>
      <c r="C102" s="366"/>
      <c r="D102" s="365"/>
      <c r="E102" s="365">
        <v>3</v>
      </c>
      <c r="F102" s="365"/>
      <c r="G102" s="365"/>
      <c r="H102" s="365"/>
      <c r="I102" s="365"/>
      <c r="K102" s="365"/>
      <c r="M102" s="365"/>
      <c r="O102" s="365"/>
    </row>
    <row r="103" spans="1:15" ht="18.75">
      <c r="A103" s="365"/>
      <c r="B103" s="365"/>
      <c r="C103" s="366"/>
      <c r="D103" s="365"/>
      <c r="E103" s="365"/>
      <c r="F103" s="365"/>
      <c r="G103" s="365"/>
      <c r="H103" s="365"/>
      <c r="I103" s="365"/>
      <c r="K103" s="365"/>
      <c r="M103" s="365"/>
      <c r="O103" s="365"/>
    </row>
    <row r="104" spans="1:15" ht="18.75">
      <c r="A104" s="365"/>
      <c r="B104" s="365"/>
      <c r="C104" s="366"/>
      <c r="D104" s="365"/>
      <c r="E104" s="365"/>
      <c r="F104" s="365"/>
      <c r="G104" s="365"/>
      <c r="H104" s="365"/>
      <c r="I104" s="365"/>
      <c r="K104" s="365"/>
      <c r="M104" s="365"/>
      <c r="O104" s="365"/>
    </row>
    <row r="105" spans="1:15" ht="18.75">
      <c r="A105" s="365"/>
      <c r="B105" s="365"/>
      <c r="C105" s="366"/>
      <c r="D105" s="365"/>
      <c r="E105" s="365"/>
      <c r="F105" s="365"/>
      <c r="G105" s="365"/>
      <c r="H105" s="365"/>
      <c r="I105" s="365"/>
      <c r="K105" s="365"/>
      <c r="M105" s="365"/>
      <c r="O105" s="365"/>
    </row>
    <row r="106" spans="1:15" ht="18.75">
      <c r="A106" s="365"/>
      <c r="B106" s="365"/>
      <c r="C106" s="366"/>
      <c r="D106" s="365"/>
      <c r="E106" s="365"/>
      <c r="F106" s="365"/>
      <c r="G106" s="365"/>
      <c r="H106" s="365"/>
      <c r="I106" s="365"/>
      <c r="K106" s="365"/>
      <c r="M106" s="365"/>
      <c r="O106" s="365"/>
    </row>
    <row r="107" spans="1:15" ht="18.75">
      <c r="A107" s="365"/>
      <c r="B107" s="365"/>
      <c r="C107" s="366"/>
      <c r="D107" s="365"/>
      <c r="E107" s="365"/>
      <c r="F107" s="365"/>
      <c r="G107" s="365"/>
      <c r="H107" s="365"/>
      <c r="I107" s="365"/>
      <c r="K107" s="365"/>
      <c r="M107" s="365"/>
      <c r="O107" s="365"/>
    </row>
    <row r="108" spans="1:15" ht="22.5">
      <c r="A108" s="888" t="s">
        <v>561</v>
      </c>
      <c r="B108" s="888"/>
      <c r="C108" s="888"/>
      <c r="D108" s="888"/>
      <c r="E108" s="888"/>
      <c r="F108" s="804"/>
      <c r="G108" s="804"/>
      <c r="H108" s="804"/>
      <c r="I108" s="305"/>
      <c r="K108" s="305"/>
      <c r="M108" s="305"/>
      <c r="O108" s="305"/>
    </row>
    <row r="109" spans="1:15" ht="27" customHeight="1">
      <c r="A109" s="888" t="str">
        <f>+A52</f>
        <v>AL 31 DE DICIEMBRE  DE 2020 Y 2019</v>
      </c>
      <c r="B109" s="888"/>
      <c r="C109" s="888"/>
      <c r="D109" s="888"/>
      <c r="E109" s="888"/>
      <c r="F109" s="804"/>
      <c r="G109" s="804"/>
      <c r="H109" s="804"/>
      <c r="I109" s="305"/>
      <c r="K109" s="305"/>
      <c r="M109" s="305"/>
      <c r="O109" s="305"/>
    </row>
    <row r="110" spans="1:15" ht="18.75">
      <c r="A110" s="889" t="s">
        <v>562</v>
      </c>
      <c r="B110" s="889"/>
      <c r="C110" s="889"/>
      <c r="D110" s="889"/>
      <c r="E110" s="889"/>
      <c r="F110" s="805"/>
      <c r="G110" s="805"/>
      <c r="H110" s="805"/>
      <c r="I110" s="307"/>
      <c r="K110" s="307"/>
      <c r="M110" s="307"/>
      <c r="O110" s="307"/>
    </row>
    <row r="111" spans="1:15" ht="15.75">
      <c r="A111" s="309"/>
      <c r="B111" s="309"/>
      <c r="C111" s="312"/>
      <c r="D111" s="309"/>
      <c r="E111" s="309"/>
      <c r="F111" s="309"/>
      <c r="G111" s="309"/>
      <c r="H111" s="309"/>
      <c r="I111" s="309"/>
      <c r="J111" s="309"/>
      <c r="K111" s="309"/>
      <c r="L111" s="309"/>
      <c r="M111" s="309"/>
      <c r="N111" s="309"/>
      <c r="O111" s="309"/>
    </row>
    <row r="112" spans="1:15" ht="20.25">
      <c r="A112" s="308" t="s">
        <v>612</v>
      </c>
      <c r="B112" s="309"/>
      <c r="C112" s="310">
        <v>2020</v>
      </c>
      <c r="D112" s="309"/>
      <c r="E112" s="310">
        <v>2019</v>
      </c>
      <c r="F112" s="309"/>
      <c r="G112" s="307"/>
      <c r="H112" s="311"/>
      <c r="I112" s="310" t="s">
        <v>564</v>
      </c>
      <c r="J112" s="311"/>
      <c r="K112" s="310" t="s">
        <v>565</v>
      </c>
      <c r="L112" s="311"/>
      <c r="M112" s="310" t="s">
        <v>566</v>
      </c>
      <c r="N112" s="311"/>
      <c r="O112" s="310" t="s">
        <v>566</v>
      </c>
    </row>
    <row r="113" spans="1:15" ht="15.75">
      <c r="A113" s="309"/>
      <c r="B113" s="314"/>
      <c r="C113" s="315"/>
      <c r="D113" s="314"/>
      <c r="E113" s="314"/>
      <c r="F113" s="314"/>
      <c r="G113" s="314"/>
      <c r="H113" s="309"/>
      <c r="I113" s="314"/>
      <c r="J113" s="309"/>
      <c r="K113" s="314"/>
      <c r="L113" s="309"/>
      <c r="M113" s="314"/>
      <c r="N113" s="309"/>
      <c r="O113" s="314"/>
    </row>
    <row r="114" spans="1:15" ht="18.75">
      <c r="A114" s="367" t="s">
        <v>613</v>
      </c>
      <c r="B114" s="314"/>
      <c r="C114" s="315"/>
      <c r="D114" s="314"/>
      <c r="E114" s="314"/>
      <c r="F114" s="314"/>
      <c r="G114" s="314"/>
      <c r="H114" s="309"/>
      <c r="I114" s="314"/>
      <c r="J114" s="309"/>
      <c r="K114" s="314"/>
      <c r="L114" s="309"/>
      <c r="M114" s="314"/>
      <c r="N114" s="309"/>
      <c r="O114" s="314"/>
    </row>
    <row r="115" spans="1:15" ht="6.75" customHeight="1">
      <c r="A115" s="309"/>
      <c r="B115" s="314"/>
      <c r="C115" s="315"/>
      <c r="D115" s="314"/>
      <c r="E115" s="314"/>
      <c r="F115" s="314"/>
      <c r="G115" s="314"/>
      <c r="H115" s="309"/>
      <c r="I115" s="314"/>
      <c r="J115" s="309"/>
      <c r="K115" s="314"/>
      <c r="L115" s="309"/>
      <c r="M115" s="314"/>
      <c r="N115" s="309"/>
      <c r="O115" s="314"/>
    </row>
    <row r="116" spans="1:15" ht="18.75">
      <c r="A116" s="367" t="s">
        <v>614</v>
      </c>
      <c r="B116" s="314"/>
      <c r="C116" s="315"/>
      <c r="D116" s="314"/>
      <c r="E116" s="314"/>
      <c r="F116" s="314"/>
      <c r="G116" s="314"/>
      <c r="H116" s="309"/>
      <c r="I116" s="314"/>
      <c r="J116" s="309"/>
      <c r="K116" s="314"/>
      <c r="L116" s="309"/>
      <c r="M116" s="314"/>
      <c r="N116" s="309"/>
      <c r="O116" s="314"/>
    </row>
    <row r="117" spans="1:15" ht="15.75">
      <c r="A117" s="762" t="s">
        <v>1042</v>
      </c>
      <c r="B117" s="314"/>
      <c r="C117" s="369">
        <v>653173724</v>
      </c>
      <c r="D117" s="314"/>
      <c r="E117" s="369">
        <v>367732306</v>
      </c>
      <c r="F117" s="314"/>
      <c r="G117" s="319"/>
      <c r="H117" s="319"/>
      <c r="I117" s="319">
        <v>3588359698</v>
      </c>
      <c r="J117" s="319"/>
      <c r="K117" s="319">
        <v>1400292558</v>
      </c>
      <c r="L117" s="319"/>
      <c r="M117" s="319">
        <f>E117-I117</f>
        <v>-3220627392</v>
      </c>
      <c r="N117" s="319"/>
      <c r="O117" s="319">
        <f>G117-K117</f>
        <v>-1400292558</v>
      </c>
    </row>
    <row r="118" spans="1:15" ht="15.75">
      <c r="A118" s="762" t="s">
        <v>1043</v>
      </c>
      <c r="B118" s="314"/>
      <c r="C118" s="369">
        <f>105539499</f>
        <v>105539499</v>
      </c>
      <c r="D118" s="314"/>
      <c r="E118" s="369">
        <v>2546196415</v>
      </c>
      <c r="F118" s="314"/>
      <c r="G118" s="319"/>
      <c r="H118" s="319"/>
      <c r="I118" s="319">
        <v>5926718804</v>
      </c>
      <c r="J118" s="319"/>
      <c r="K118" s="319">
        <v>5090000000</v>
      </c>
      <c r="L118" s="319"/>
      <c r="M118" s="319">
        <f>E118-I118</f>
        <v>-3380522389</v>
      </c>
      <c r="N118" s="319"/>
      <c r="O118" s="319">
        <f>G118-K118</f>
        <v>-5090000000</v>
      </c>
    </row>
    <row r="119" spans="1:15" ht="15.75">
      <c r="A119" s="763" t="s">
        <v>1044</v>
      </c>
      <c r="B119" s="314"/>
      <c r="C119" s="369">
        <v>3368939072</v>
      </c>
      <c r="D119" s="314"/>
      <c r="E119" s="369">
        <v>4369382834</v>
      </c>
      <c r="F119" s="314"/>
      <c r="G119" s="319"/>
      <c r="H119" s="319"/>
      <c r="I119" s="319">
        <v>0</v>
      </c>
      <c r="J119" s="319"/>
      <c r="K119" s="319">
        <v>4828200101</v>
      </c>
      <c r="L119" s="319"/>
      <c r="M119" s="371">
        <v>0</v>
      </c>
      <c r="N119" s="319"/>
      <c r="O119" s="319">
        <f>G119-K119</f>
        <v>-4828200101</v>
      </c>
    </row>
    <row r="120" spans="1:15" ht="15.75">
      <c r="A120" s="762" t="s">
        <v>1012</v>
      </c>
      <c r="B120" s="314"/>
      <c r="C120" s="369">
        <v>82914422</v>
      </c>
      <c r="D120" s="314"/>
      <c r="E120" s="369">
        <v>76966380</v>
      </c>
      <c r="F120" s="314"/>
      <c r="G120" s="319"/>
      <c r="H120" s="319"/>
      <c r="I120" s="319"/>
      <c r="J120" s="319"/>
      <c r="K120" s="319"/>
      <c r="L120" s="319"/>
      <c r="M120" s="371"/>
      <c r="N120" s="319"/>
      <c r="O120" s="319"/>
    </row>
    <row r="121" spans="1:15" ht="15.75">
      <c r="A121" s="762" t="s">
        <v>1045</v>
      </c>
      <c r="B121" s="314"/>
      <c r="C121" s="369">
        <f>8425136000+2905797371</f>
        <v>11330933371</v>
      </c>
      <c r="D121" s="314"/>
      <c r="E121" s="369">
        <v>15608142206</v>
      </c>
      <c r="F121" s="314"/>
      <c r="G121" s="319"/>
      <c r="H121" s="319"/>
      <c r="I121" s="319">
        <v>446908053</v>
      </c>
      <c r="J121" s="319"/>
      <c r="K121" s="319">
        <v>2923314683</v>
      </c>
      <c r="L121" s="319"/>
      <c r="M121" s="319">
        <f>E121-I121</f>
        <v>15161234153</v>
      </c>
      <c r="N121" s="319"/>
      <c r="O121" s="319">
        <f>G121-K121</f>
        <v>-2923314683</v>
      </c>
    </row>
    <row r="122" spans="1:15" ht="15.75">
      <c r="A122" s="762" t="s">
        <v>1046</v>
      </c>
      <c r="B122" s="314"/>
      <c r="C122" s="369">
        <v>1000000000</v>
      </c>
      <c r="D122" s="314"/>
      <c r="E122" s="369">
        <v>4000000000</v>
      </c>
      <c r="F122" s="314"/>
      <c r="G122" s="319"/>
      <c r="H122" s="319"/>
      <c r="I122" s="319"/>
      <c r="J122" s="319"/>
      <c r="K122" s="319"/>
      <c r="L122" s="319"/>
      <c r="M122" s="319"/>
      <c r="N122" s="319"/>
      <c r="O122" s="319"/>
    </row>
    <row r="123" spans="1:15" ht="15.75">
      <c r="A123" s="762" t="s">
        <v>615</v>
      </c>
      <c r="B123" s="314"/>
      <c r="C123" s="372">
        <v>228290044</v>
      </c>
      <c r="D123" s="314"/>
      <c r="E123" s="372">
        <v>505506746</v>
      </c>
      <c r="F123" s="314"/>
      <c r="G123" s="353"/>
      <c r="H123" s="319"/>
      <c r="I123" s="319">
        <v>2622687815</v>
      </c>
      <c r="J123" s="319"/>
      <c r="K123" s="319">
        <v>109363166</v>
      </c>
      <c r="L123" s="319"/>
      <c r="M123" s="319">
        <f>E123-I123</f>
        <v>-2117181069</v>
      </c>
      <c r="N123" s="319"/>
      <c r="O123" s="319">
        <f>G123-K123</f>
        <v>-109363166</v>
      </c>
    </row>
    <row r="124" spans="1:15" ht="15.75">
      <c r="A124" s="762" t="s">
        <v>1013</v>
      </c>
      <c r="B124" s="314"/>
      <c r="C124" s="372">
        <v>0</v>
      </c>
      <c r="D124" s="314"/>
      <c r="E124" s="372">
        <v>0</v>
      </c>
      <c r="F124" s="314"/>
      <c r="G124" s="353"/>
      <c r="H124" s="319"/>
      <c r="I124" s="319"/>
      <c r="J124" s="319"/>
      <c r="K124" s="319"/>
      <c r="L124" s="319"/>
      <c r="M124" s="319"/>
      <c r="N124" s="319"/>
      <c r="O124" s="319"/>
    </row>
    <row r="125" spans="1:15" ht="15.75">
      <c r="A125" s="762" t="s">
        <v>616</v>
      </c>
      <c r="B125" s="314"/>
      <c r="C125" s="369">
        <f>1520821924</f>
        <v>1520821924</v>
      </c>
      <c r="D125" s="314"/>
      <c r="E125" s="369">
        <f>65753425+257273978</f>
        <v>323027403</v>
      </c>
      <c r="F125" s="314"/>
      <c r="G125" s="319"/>
      <c r="H125" s="319"/>
      <c r="I125" s="319">
        <v>705594910</v>
      </c>
      <c r="J125" s="319"/>
      <c r="K125" s="319">
        <v>139623862</v>
      </c>
      <c r="L125" s="319"/>
      <c r="M125" s="319">
        <f>E125-I125</f>
        <v>-382567507</v>
      </c>
      <c r="N125" s="319"/>
      <c r="O125" s="319">
        <f>G125-K125</f>
        <v>-139623862</v>
      </c>
    </row>
    <row r="126" spans="1:15" ht="15.75">
      <c r="A126" s="762" t="s">
        <v>1067</v>
      </c>
      <c r="B126" s="314"/>
      <c r="C126" s="369">
        <f>882350483+77625288</f>
        <v>959975771</v>
      </c>
      <c r="D126" s="314"/>
      <c r="E126" s="369">
        <v>1099166211</v>
      </c>
      <c r="F126" s="314"/>
      <c r="G126" s="319"/>
      <c r="H126" s="319"/>
      <c r="I126" s="319">
        <v>59435300</v>
      </c>
      <c r="J126" s="319"/>
      <c r="K126" s="319">
        <v>333381352</v>
      </c>
      <c r="L126" s="319"/>
      <c r="M126" s="319">
        <f>E126-I126</f>
        <v>1039730911</v>
      </c>
      <c r="N126" s="319"/>
      <c r="O126" s="319">
        <f>G126-K126</f>
        <v>-333381352</v>
      </c>
    </row>
    <row r="127" spans="1:15" ht="15.75">
      <c r="A127" s="762" t="s">
        <v>1092</v>
      </c>
      <c r="B127" s="314"/>
      <c r="C127" s="369">
        <v>1853791642</v>
      </c>
      <c r="D127" s="314"/>
      <c r="E127" s="369">
        <v>1716629332</v>
      </c>
      <c r="F127" s="314"/>
      <c r="G127" s="319"/>
      <c r="H127" s="319"/>
      <c r="I127" s="319"/>
      <c r="J127" s="319"/>
      <c r="K127" s="319"/>
      <c r="L127" s="319"/>
      <c r="M127" s="319"/>
      <c r="N127" s="319"/>
      <c r="O127" s="319"/>
    </row>
    <row r="128" spans="1:15" ht="15.75">
      <c r="A128" s="762" t="s">
        <v>1014</v>
      </c>
      <c r="B128" s="314"/>
      <c r="C128" s="369">
        <v>2918597027</v>
      </c>
      <c r="D128" s="314"/>
      <c r="E128" s="369">
        <v>3308700545</v>
      </c>
      <c r="F128" s="314"/>
      <c r="G128" s="319"/>
      <c r="H128" s="319"/>
      <c r="I128" s="319">
        <v>9207774</v>
      </c>
      <c r="J128" s="319"/>
      <c r="K128" s="319">
        <v>409097888</v>
      </c>
      <c r="L128" s="319"/>
      <c r="M128" s="319" t="e">
        <f>#REF!</f>
        <v>#REF!</v>
      </c>
      <c r="N128" s="319"/>
      <c r="O128" s="319" t="e">
        <f>#REF!</f>
        <v>#REF!</v>
      </c>
    </row>
    <row r="129" spans="1:15" ht="18" customHeight="1">
      <c r="A129" s="373" t="s">
        <v>617</v>
      </c>
      <c r="B129" s="314"/>
      <c r="C129" s="374">
        <f>SUM(C117:C128)</f>
        <v>24022976496</v>
      </c>
      <c r="D129" s="314"/>
      <c r="E129" s="374">
        <f>SUM(E117:E128)</f>
        <v>33921450378</v>
      </c>
      <c r="F129" s="314"/>
      <c r="G129" s="361"/>
      <c r="H129" s="319"/>
      <c r="I129" s="375">
        <f>SUM(I117:I128)</f>
        <v>13358912354</v>
      </c>
      <c r="J129" s="319"/>
      <c r="K129" s="375">
        <f>SUM(K117:K128)</f>
        <v>15233273610</v>
      </c>
      <c r="L129" s="319"/>
      <c r="M129" s="375" t="e">
        <f>SUM(M117:M128)</f>
        <v>#REF!</v>
      </c>
      <c r="N129" s="319"/>
      <c r="O129" s="375" t="e">
        <f>SUM(O117:O128)</f>
        <v>#REF!</v>
      </c>
    </row>
    <row r="130" spans="1:15" ht="18" customHeight="1">
      <c r="A130" s="309"/>
      <c r="B130" s="314"/>
      <c r="C130" s="376"/>
      <c r="D130" s="314"/>
      <c r="E130" s="376"/>
      <c r="F130" s="314"/>
      <c r="G130" s="361"/>
      <c r="H130" s="319"/>
      <c r="I130" s="361"/>
      <c r="J130" s="319"/>
      <c r="K130" s="361"/>
      <c r="L130" s="319"/>
      <c r="M130" s="361"/>
      <c r="N130" s="319"/>
      <c r="O130" s="361"/>
    </row>
    <row r="131" spans="1:15" ht="18" customHeight="1">
      <c r="A131" s="367" t="s">
        <v>618</v>
      </c>
      <c r="B131" s="314"/>
      <c r="C131" s="315"/>
      <c r="D131" s="314"/>
      <c r="E131" s="315"/>
      <c r="F131" s="314"/>
      <c r="G131" s="314"/>
      <c r="H131" s="309"/>
      <c r="I131" s="314"/>
      <c r="J131" s="309"/>
      <c r="K131" s="314"/>
      <c r="L131" s="309"/>
      <c r="M131" s="314"/>
      <c r="N131" s="309"/>
      <c r="O131" s="314"/>
    </row>
    <row r="132" spans="1:15" ht="18" customHeight="1">
      <c r="A132" s="309"/>
      <c r="B132" s="314"/>
      <c r="C132" s="315"/>
      <c r="D132" s="314"/>
      <c r="E132" s="315"/>
      <c r="F132" s="314"/>
      <c r="G132" s="314"/>
      <c r="H132" s="309"/>
      <c r="I132" s="314"/>
      <c r="J132" s="309"/>
      <c r="K132" s="314"/>
      <c r="L132" s="309"/>
      <c r="M132" s="314"/>
      <c r="N132" s="309"/>
      <c r="O132" s="314"/>
    </row>
    <row r="133" spans="1:15" ht="18" customHeight="1">
      <c r="A133" s="367" t="s">
        <v>619</v>
      </c>
      <c r="B133" s="314"/>
      <c r="C133" s="315"/>
      <c r="D133" s="314"/>
      <c r="E133" s="315"/>
      <c r="F133" s="314"/>
      <c r="G133" s="314"/>
      <c r="H133" s="309"/>
      <c r="I133" s="314"/>
      <c r="J133" s="309"/>
      <c r="K133" s="314"/>
      <c r="L133" s="309"/>
      <c r="M133" s="314"/>
      <c r="N133" s="309"/>
      <c r="O133" s="314"/>
    </row>
    <row r="134" spans="1:15" ht="18" customHeight="1">
      <c r="A134" s="763" t="s">
        <v>1015</v>
      </c>
      <c r="B134" s="314"/>
      <c r="C134" s="377">
        <v>0</v>
      </c>
      <c r="D134" s="314"/>
      <c r="E134" s="377">
        <v>0</v>
      </c>
      <c r="F134" s="314"/>
      <c r="G134" s="319"/>
      <c r="H134" s="319"/>
      <c r="I134" s="319"/>
      <c r="J134" s="319"/>
      <c r="K134" s="319"/>
      <c r="L134" s="319"/>
      <c r="M134" s="371"/>
      <c r="N134" s="319"/>
      <c r="O134" s="319"/>
    </row>
    <row r="135" spans="1:15" ht="18" customHeight="1">
      <c r="A135" s="763" t="s">
        <v>1046</v>
      </c>
      <c r="B135" s="314"/>
      <c r="C135" s="378">
        <v>14000000000</v>
      </c>
      <c r="D135" s="314"/>
      <c r="E135" s="378">
        <v>0</v>
      </c>
      <c r="F135" s="314"/>
      <c r="G135" s="379"/>
      <c r="H135" s="319"/>
      <c r="I135" s="319">
        <v>1363000000</v>
      </c>
      <c r="J135" s="319"/>
      <c r="K135" s="319">
        <v>0</v>
      </c>
      <c r="L135" s="319"/>
      <c r="M135" s="319">
        <f>E135-I135</f>
        <v>-1363000000</v>
      </c>
      <c r="N135" s="319"/>
      <c r="O135" s="371">
        <v>0</v>
      </c>
    </row>
    <row r="136" spans="1:15" ht="18" customHeight="1">
      <c r="A136" s="763" t="str">
        <f>A125</f>
        <v>   Intereses a Pagar - Nota 8</v>
      </c>
      <c r="B136" s="314"/>
      <c r="C136" s="378">
        <v>3391931507</v>
      </c>
      <c r="D136" s="314"/>
      <c r="E136" s="378">
        <v>0</v>
      </c>
      <c r="F136" s="314"/>
      <c r="G136" s="379"/>
      <c r="H136" s="319"/>
      <c r="I136" s="319">
        <v>1363000000</v>
      </c>
      <c r="J136" s="319"/>
      <c r="K136" s="319">
        <v>0</v>
      </c>
      <c r="L136" s="319"/>
      <c r="M136" s="319">
        <f>E136-I136</f>
        <v>-1363000000</v>
      </c>
      <c r="N136" s="319"/>
      <c r="O136" s="371">
        <v>0</v>
      </c>
    </row>
    <row r="137" spans="1:15" ht="18" customHeight="1">
      <c r="A137" s="763" t="s">
        <v>620</v>
      </c>
      <c r="B137" s="314"/>
      <c r="C137" s="378">
        <v>54436419</v>
      </c>
      <c r="D137" s="314"/>
      <c r="E137" s="378">
        <v>263270220</v>
      </c>
      <c r="F137" s="314"/>
      <c r="G137" s="379"/>
      <c r="H137" s="319"/>
      <c r="I137" s="319"/>
      <c r="J137" s="319"/>
      <c r="K137" s="319"/>
      <c r="L137" s="319"/>
      <c r="M137" s="319"/>
      <c r="N137" s="319"/>
      <c r="O137" s="371"/>
    </row>
    <row r="138" spans="1:15" ht="18" customHeight="1">
      <c r="A138" s="373" t="s">
        <v>621</v>
      </c>
      <c r="B138" s="314"/>
      <c r="C138" s="380">
        <f>SUM(C134:C137)</f>
        <v>17446367926</v>
      </c>
      <c r="D138" s="314"/>
      <c r="E138" s="380">
        <f>SUM(E134:E137)</f>
        <v>263270220</v>
      </c>
      <c r="F138" s="314"/>
      <c r="G138" s="361"/>
      <c r="H138" s="319"/>
      <c r="I138" s="375">
        <f>SUM(I134:I136)</f>
        <v>2726000000</v>
      </c>
      <c r="J138" s="319"/>
      <c r="K138" s="375">
        <f>SUM(K134:K136)</f>
        <v>0</v>
      </c>
      <c r="L138" s="319"/>
      <c r="M138" s="375">
        <f>SUM(M134:M136)</f>
        <v>-2726000000</v>
      </c>
      <c r="N138" s="319"/>
      <c r="O138" s="375">
        <f>SUM(O134:O136)</f>
        <v>0</v>
      </c>
    </row>
    <row r="139" spans="1:15" ht="18" customHeight="1">
      <c r="A139" s="309"/>
      <c r="B139" s="314"/>
      <c r="C139" s="376"/>
      <c r="D139" s="314"/>
      <c r="E139" s="376"/>
      <c r="F139" s="314"/>
      <c r="G139" s="361"/>
      <c r="H139" s="319"/>
      <c r="I139" s="361"/>
      <c r="J139" s="319"/>
      <c r="K139" s="361"/>
      <c r="L139" s="319"/>
      <c r="M139" s="361"/>
      <c r="N139" s="319"/>
      <c r="O139" s="361"/>
    </row>
    <row r="140" spans="1:15" ht="15.75">
      <c r="A140" s="309"/>
      <c r="B140" s="314"/>
      <c r="C140" s="323"/>
      <c r="D140" s="314"/>
      <c r="E140" s="323"/>
      <c r="F140" s="314"/>
      <c r="G140" s="324"/>
      <c r="H140" s="319"/>
      <c r="I140" s="324"/>
      <c r="J140" s="319"/>
      <c r="K140" s="324"/>
      <c r="L140" s="319"/>
      <c r="M140" s="324"/>
      <c r="N140" s="319"/>
      <c r="O140" s="324"/>
    </row>
    <row r="141" spans="1:15" ht="18.75">
      <c r="A141" s="313" t="s">
        <v>622</v>
      </c>
      <c r="B141" s="314"/>
      <c r="C141" s="381">
        <f>C129+C138</f>
        <v>41469344422</v>
      </c>
      <c r="D141" s="314"/>
      <c r="E141" s="381">
        <f>E129+E138</f>
        <v>34184720598</v>
      </c>
      <c r="F141" s="314"/>
      <c r="G141" s="361"/>
      <c r="H141" s="325"/>
      <c r="I141" s="382">
        <f>I129+I138</f>
        <v>16084912354</v>
      </c>
      <c r="J141" s="325"/>
      <c r="K141" s="382">
        <f>K129+K138</f>
        <v>15233273610</v>
      </c>
      <c r="L141" s="325"/>
      <c r="M141" s="382" t="e">
        <f>M129+M138</f>
        <v>#REF!</v>
      </c>
      <c r="N141" s="325"/>
      <c r="O141" s="382" t="e">
        <f>O129+O138</f>
        <v>#REF!</v>
      </c>
    </row>
    <row r="142" spans="1:15" ht="15.75">
      <c r="A142" s="309"/>
      <c r="B142" s="309"/>
      <c r="C142" s="337"/>
      <c r="D142" s="309"/>
      <c r="E142" s="309"/>
      <c r="F142" s="309"/>
      <c r="G142" s="338"/>
      <c r="H142" s="325"/>
      <c r="I142" s="338"/>
      <c r="J142" s="325"/>
      <c r="K142" s="338"/>
      <c r="L142" s="325"/>
      <c r="M142" s="338"/>
      <c r="N142" s="325"/>
      <c r="O142" s="338"/>
    </row>
    <row r="143" spans="1:15" ht="15.75">
      <c r="A143" s="309"/>
      <c r="B143" s="309"/>
      <c r="C143" s="337"/>
      <c r="D143" s="309"/>
      <c r="E143" s="309"/>
      <c r="F143" s="309"/>
      <c r="G143" s="338"/>
      <c r="H143" s="325"/>
      <c r="I143" s="338"/>
      <c r="J143" s="325"/>
      <c r="K143" s="338"/>
      <c r="L143" s="325"/>
      <c r="M143" s="338"/>
      <c r="N143" s="325"/>
      <c r="O143" s="338"/>
    </row>
    <row r="144" spans="1:15" ht="29.25" customHeight="1">
      <c r="A144" s="309"/>
      <c r="B144" s="309"/>
      <c r="C144" s="337"/>
      <c r="D144" s="309"/>
      <c r="E144" s="309"/>
      <c r="F144" s="309"/>
      <c r="G144" s="338"/>
      <c r="H144" s="325"/>
      <c r="I144" s="338"/>
      <c r="J144" s="325"/>
      <c r="K144" s="338"/>
      <c r="L144" s="325"/>
      <c r="M144" s="338"/>
      <c r="N144" s="325"/>
      <c r="O144" s="338"/>
    </row>
    <row r="145" spans="1:15" ht="15.75">
      <c r="A145" s="309"/>
      <c r="B145" s="309"/>
      <c r="C145" s="337"/>
      <c r="D145" s="309"/>
      <c r="E145" s="309"/>
      <c r="F145" s="309"/>
      <c r="G145" s="338"/>
      <c r="H145" s="325"/>
      <c r="I145" s="338"/>
      <c r="J145" s="325"/>
      <c r="K145" s="338"/>
      <c r="L145" s="325"/>
      <c r="M145" s="338"/>
      <c r="N145" s="325"/>
      <c r="O145" s="338"/>
    </row>
    <row r="146" spans="1:14" ht="16.5">
      <c r="A146" s="341" t="s">
        <v>591</v>
      </c>
      <c r="B146" s="342"/>
      <c r="C146" s="343" t="s">
        <v>592</v>
      </c>
      <c r="D146" s="344"/>
      <c r="E146" s="345"/>
      <c r="F146" s="342"/>
      <c r="H146" s="346"/>
      <c r="J146" s="346"/>
      <c r="L146" s="346"/>
      <c r="N146" s="346"/>
    </row>
    <row r="147" spans="1:14" ht="16.5">
      <c r="A147" s="341" t="s">
        <v>593</v>
      </c>
      <c r="B147" s="342"/>
      <c r="C147" s="347" t="s">
        <v>623</v>
      </c>
      <c r="D147" s="344"/>
      <c r="E147" s="345"/>
      <c r="F147" s="342"/>
      <c r="H147" s="346"/>
      <c r="J147" s="346"/>
      <c r="L147" s="346"/>
      <c r="N147" s="346"/>
    </row>
    <row r="148" spans="1:14" ht="33.75" customHeight="1">
      <c r="A148" s="342"/>
      <c r="B148" s="342"/>
      <c r="C148" s="345"/>
      <c r="D148" s="344"/>
      <c r="E148" s="364"/>
      <c r="F148" s="342"/>
      <c r="H148" s="346"/>
      <c r="J148" s="346"/>
      <c r="L148" s="346"/>
      <c r="N148" s="346"/>
    </row>
    <row r="149" spans="1:14" ht="16.5">
      <c r="A149" s="342"/>
      <c r="B149" s="342"/>
      <c r="C149" s="345"/>
      <c r="D149" s="344"/>
      <c r="E149" s="364"/>
      <c r="F149" s="342"/>
      <c r="H149" s="346"/>
      <c r="J149" s="346"/>
      <c r="L149" s="346"/>
      <c r="N149" s="346"/>
    </row>
    <row r="150" spans="1:14" ht="31.5" customHeight="1">
      <c r="A150" s="342"/>
      <c r="B150" s="342"/>
      <c r="C150" s="345"/>
      <c r="D150" s="344"/>
      <c r="E150" s="364"/>
      <c r="F150" s="342"/>
      <c r="H150" s="346"/>
      <c r="J150" s="346"/>
      <c r="L150" s="346"/>
      <c r="N150" s="346"/>
    </row>
    <row r="151" spans="1:14" ht="16.5">
      <c r="A151" s="341" t="s">
        <v>595</v>
      </c>
      <c r="B151" s="342"/>
      <c r="C151" s="347" t="s">
        <v>596</v>
      </c>
      <c r="D151" s="344"/>
      <c r="E151" s="345"/>
      <c r="F151" s="342"/>
      <c r="H151" s="346"/>
      <c r="J151" s="346"/>
      <c r="L151" s="346"/>
      <c r="N151" s="346"/>
    </row>
    <row r="152" spans="1:14" ht="16.5">
      <c r="A152" s="341" t="s">
        <v>597</v>
      </c>
      <c r="B152" s="342"/>
      <c r="C152" s="347" t="s">
        <v>598</v>
      </c>
      <c r="D152" s="344"/>
      <c r="E152" s="876">
        <v>4</v>
      </c>
      <c r="F152" s="342"/>
      <c r="H152" s="346"/>
      <c r="J152" s="346"/>
      <c r="L152" s="346"/>
      <c r="N152" s="346"/>
    </row>
    <row r="153" spans="1:15" ht="18.75">
      <c r="A153" s="809"/>
      <c r="B153" s="809"/>
      <c r="C153" s="809"/>
      <c r="D153" s="809"/>
      <c r="E153" s="809"/>
      <c r="F153" s="809"/>
      <c r="G153" s="809"/>
      <c r="H153" s="809"/>
      <c r="I153" s="365"/>
      <c r="K153" s="365"/>
      <c r="M153" s="365"/>
      <c r="O153" s="365"/>
    </row>
    <row r="154" spans="1:15" ht="22.5">
      <c r="A154" s="888" t="s">
        <v>561</v>
      </c>
      <c r="B154" s="888"/>
      <c r="C154" s="888"/>
      <c r="D154" s="888"/>
      <c r="E154" s="888"/>
      <c r="F154" s="804"/>
      <c r="G154" s="804"/>
      <c r="H154" s="804"/>
      <c r="I154" s="305"/>
      <c r="K154" s="305"/>
      <c r="M154" s="305"/>
      <c r="O154" s="305"/>
    </row>
    <row r="155" spans="1:15" ht="22.5">
      <c r="A155" s="888" t="str">
        <f>+A109</f>
        <v>AL 31 DE DICIEMBRE  DE 2020 Y 2019</v>
      </c>
      <c r="B155" s="888"/>
      <c r="C155" s="888"/>
      <c r="D155" s="888"/>
      <c r="E155" s="888"/>
      <c r="F155" s="804"/>
      <c r="G155" s="804"/>
      <c r="H155" s="804"/>
      <c r="I155" s="305"/>
      <c r="K155" s="305"/>
      <c r="M155" s="305"/>
      <c r="O155" s="305"/>
    </row>
    <row r="156" spans="1:15" ht="18.75">
      <c r="A156" s="889" t="s">
        <v>562</v>
      </c>
      <c r="B156" s="889"/>
      <c r="C156" s="889"/>
      <c r="D156" s="889"/>
      <c r="E156" s="889"/>
      <c r="F156" s="805"/>
      <c r="G156" s="805"/>
      <c r="H156" s="805"/>
      <c r="I156" s="307"/>
      <c r="K156" s="307"/>
      <c r="M156" s="307"/>
      <c r="O156" s="307"/>
    </row>
    <row r="157" spans="1:15" ht="30.75" customHeight="1">
      <c r="A157" s="309"/>
      <c r="B157" s="309"/>
      <c r="C157" s="312"/>
      <c r="D157" s="309"/>
      <c r="E157" s="309"/>
      <c r="F157" s="309"/>
      <c r="G157" s="309"/>
      <c r="H157" s="309"/>
      <c r="I157" s="309"/>
      <c r="J157" s="309"/>
      <c r="K157" s="309"/>
      <c r="L157" s="309"/>
      <c r="M157" s="309"/>
      <c r="N157" s="309"/>
      <c r="O157" s="309"/>
    </row>
    <row r="158" spans="1:15" ht="20.25">
      <c r="A158" s="308" t="s">
        <v>624</v>
      </c>
      <c r="B158" s="309"/>
      <c r="C158" s="310">
        <v>2020</v>
      </c>
      <c r="D158" s="309"/>
      <c r="E158" s="310">
        <v>2019</v>
      </c>
      <c r="F158" s="309"/>
      <c r="G158" s="307"/>
      <c r="H158" s="311"/>
      <c r="I158" s="310" t="s">
        <v>564</v>
      </c>
      <c r="J158" s="311"/>
      <c r="K158" s="310" t="s">
        <v>565</v>
      </c>
      <c r="L158" s="311"/>
      <c r="M158" s="310" t="s">
        <v>566</v>
      </c>
      <c r="N158" s="311"/>
      <c r="O158" s="310" t="s">
        <v>566</v>
      </c>
    </row>
    <row r="159" spans="1:15" ht="9.75" customHeight="1">
      <c r="A159" s="367"/>
      <c r="B159" s="314"/>
      <c r="C159" s="383"/>
      <c r="D159" s="314"/>
      <c r="E159" s="314"/>
      <c r="F159" s="314"/>
      <c r="G159" s="319"/>
      <c r="H159" s="319"/>
      <c r="I159" s="319"/>
      <c r="J159" s="319"/>
      <c r="K159" s="319"/>
      <c r="L159" s="319"/>
      <c r="M159" s="319"/>
      <c r="N159" s="319"/>
      <c r="O159" s="319"/>
    </row>
    <row r="160" spans="1:15" ht="18.75">
      <c r="A160" s="384" t="s">
        <v>625</v>
      </c>
      <c r="B160" s="314"/>
      <c r="C160" s="385"/>
      <c r="D160" s="314"/>
      <c r="E160" s="314"/>
      <c r="F160" s="314"/>
      <c r="G160" s="325"/>
      <c r="H160" s="325"/>
      <c r="I160" s="325"/>
      <c r="J160" s="325"/>
      <c r="K160" s="325"/>
      <c r="L160" s="325"/>
      <c r="M160" s="325"/>
      <c r="N160" s="325"/>
      <c r="O160" s="325"/>
    </row>
    <row r="161" spans="1:15" ht="15.75">
      <c r="A161" s="370" t="s">
        <v>626</v>
      </c>
      <c r="B161" s="314"/>
      <c r="C161" s="386">
        <v>49200000000</v>
      </c>
      <c r="D161" s="314"/>
      <c r="E161" s="386">
        <v>48000000000</v>
      </c>
      <c r="F161" s="314"/>
      <c r="G161" s="353"/>
      <c r="H161" s="319"/>
      <c r="I161" s="353">
        <v>18500000000</v>
      </c>
      <c r="J161" s="319"/>
      <c r="K161" s="353">
        <v>11500000000</v>
      </c>
      <c r="L161" s="319"/>
      <c r="M161" s="319">
        <f>E161-I161</f>
        <v>29500000000</v>
      </c>
      <c r="N161" s="319"/>
      <c r="O161" s="319">
        <f>G161-K161</f>
        <v>-11500000000</v>
      </c>
    </row>
    <row r="162" spans="1:15" ht="18" customHeight="1">
      <c r="A162" s="309"/>
      <c r="B162" s="314"/>
      <c r="C162" s="374">
        <f>SUM(C161:C161)</f>
        <v>49200000000</v>
      </c>
      <c r="D162" s="314"/>
      <c r="E162" s="374">
        <f>SUM(E161:E161)</f>
        <v>48000000000</v>
      </c>
      <c r="F162" s="314"/>
      <c r="G162" s="361"/>
      <c r="H162" s="319"/>
      <c r="I162" s="375">
        <f>SUM(I161:I161)</f>
        <v>18500000000</v>
      </c>
      <c r="J162" s="319"/>
      <c r="K162" s="375">
        <f>SUM(K161:K161)</f>
        <v>11500000000</v>
      </c>
      <c r="L162" s="319"/>
      <c r="M162" s="375">
        <f>SUM(M161:M161)</f>
        <v>29500000000</v>
      </c>
      <c r="N162" s="319"/>
      <c r="O162" s="375">
        <f>SUM(O161:O161)</f>
        <v>-11500000000</v>
      </c>
    </row>
    <row r="163" spans="1:15" ht="18" customHeight="1">
      <c r="A163" s="309"/>
      <c r="B163" s="314"/>
      <c r="C163" s="387"/>
      <c r="D163" s="314"/>
      <c r="E163" s="387"/>
      <c r="F163" s="314"/>
      <c r="G163" s="361"/>
      <c r="H163" s="319"/>
      <c r="I163" s="361"/>
      <c r="J163" s="319"/>
      <c r="K163" s="361"/>
      <c r="L163" s="319"/>
      <c r="M163" s="361"/>
      <c r="N163" s="319"/>
      <c r="O163" s="361"/>
    </row>
    <row r="164" spans="1:15" ht="18.75">
      <c r="A164" s="367" t="s">
        <v>627</v>
      </c>
      <c r="B164" s="314"/>
      <c r="C164" s="388"/>
      <c r="D164" s="314"/>
      <c r="E164" s="388"/>
      <c r="F164" s="314"/>
      <c r="G164" s="325"/>
      <c r="H164" s="325"/>
      <c r="I164" s="325"/>
      <c r="J164" s="325"/>
      <c r="K164" s="325"/>
      <c r="L164" s="325"/>
      <c r="M164" s="325"/>
      <c r="N164" s="325"/>
      <c r="O164" s="325"/>
    </row>
    <row r="165" spans="1:15" ht="15.75">
      <c r="A165" s="368" t="s">
        <v>628</v>
      </c>
      <c r="B165" s="314"/>
      <c r="C165" s="318">
        <v>8151731798</v>
      </c>
      <c r="D165" s="314"/>
      <c r="E165" s="318">
        <v>6931012994</v>
      </c>
      <c r="F165" s="314"/>
      <c r="G165" s="319"/>
      <c r="H165" s="319"/>
      <c r="I165" s="319">
        <v>782829638</v>
      </c>
      <c r="J165" s="319"/>
      <c r="K165" s="319">
        <v>650268811</v>
      </c>
      <c r="L165" s="319"/>
      <c r="M165" s="319">
        <f>E165-I165</f>
        <v>6148183356</v>
      </c>
      <c r="N165" s="319"/>
      <c r="O165" s="319">
        <f>G165-K165</f>
        <v>-650268811</v>
      </c>
    </row>
    <row r="166" spans="1:15" ht="15.75">
      <c r="A166" s="368" t="s">
        <v>1066</v>
      </c>
      <c r="B166" s="314"/>
      <c r="C166" s="318">
        <v>0</v>
      </c>
      <c r="D166" s="314"/>
      <c r="E166" s="318">
        <v>1052061213</v>
      </c>
      <c r="F166" s="314"/>
      <c r="G166" s="319"/>
      <c r="H166" s="319"/>
      <c r="I166" s="319"/>
      <c r="J166" s="319"/>
      <c r="K166" s="319"/>
      <c r="L166" s="319"/>
      <c r="M166" s="319"/>
      <c r="N166" s="319"/>
      <c r="O166" s="319"/>
    </row>
    <row r="167" spans="1:15" ht="15.75">
      <c r="A167" s="309"/>
      <c r="B167" s="314"/>
      <c r="C167" s="374">
        <f>SUM(C165:C166)</f>
        <v>8151731798</v>
      </c>
      <c r="D167" s="314"/>
      <c r="E167" s="374">
        <f>SUM(E165:E166)</f>
        <v>7983074207</v>
      </c>
      <c r="F167" s="314"/>
      <c r="G167" s="361"/>
      <c r="H167" s="319"/>
      <c r="I167" s="375">
        <f>SUM(I165:I165)</f>
        <v>782829638</v>
      </c>
      <c r="J167" s="319"/>
      <c r="K167" s="375">
        <f>SUM(K165:K165)</f>
        <v>650268811</v>
      </c>
      <c r="L167" s="319"/>
      <c r="M167" s="375">
        <f>SUM(M165:M165)</f>
        <v>6148183356</v>
      </c>
      <c r="N167" s="319"/>
      <c r="O167" s="375">
        <f>SUM(O165:O165)</f>
        <v>-650268811</v>
      </c>
    </row>
    <row r="168" spans="1:15" ht="15.75">
      <c r="A168" s="309"/>
      <c r="B168" s="314"/>
      <c r="C168" s="387"/>
      <c r="D168" s="314"/>
      <c r="E168" s="387"/>
      <c r="F168" s="314"/>
      <c r="G168" s="361"/>
      <c r="H168" s="319"/>
      <c r="I168" s="361"/>
      <c r="J168" s="319"/>
      <c r="K168" s="361"/>
      <c r="L168" s="319"/>
      <c r="M168" s="361"/>
      <c r="N168" s="319"/>
      <c r="O168" s="361"/>
    </row>
    <row r="169" spans="1:15" ht="18.75">
      <c r="A169" s="384" t="s">
        <v>629</v>
      </c>
      <c r="B169" s="314"/>
      <c r="C169" s="388"/>
      <c r="D169" s="314"/>
      <c r="E169" s="388"/>
      <c r="F169" s="314"/>
      <c r="G169" s="325"/>
      <c r="H169" s="325"/>
      <c r="I169" s="325"/>
      <c r="J169" s="325"/>
      <c r="K169" s="325"/>
      <c r="L169" s="325"/>
      <c r="M169" s="325"/>
      <c r="N169" s="325"/>
      <c r="O169" s="325"/>
    </row>
    <row r="170" spans="1:15" ht="15.75">
      <c r="A170" s="309" t="s">
        <v>630</v>
      </c>
      <c r="B170" s="314"/>
      <c r="C170" s="377">
        <v>23193657282</v>
      </c>
      <c r="D170" s="314"/>
      <c r="E170" s="377">
        <v>24614338753</v>
      </c>
      <c r="F170" s="314"/>
      <c r="G170" s="319"/>
      <c r="H170" s="319"/>
      <c r="I170" s="319">
        <v>1718104649</v>
      </c>
      <c r="J170" s="319"/>
      <c r="K170" s="319">
        <v>842685312</v>
      </c>
      <c r="L170" s="319"/>
      <c r="M170" s="319">
        <f>E170-I170</f>
        <v>22896234104</v>
      </c>
      <c r="N170" s="319"/>
      <c r="O170" s="319">
        <f>G170-K170</f>
        <v>-842685312</v>
      </c>
    </row>
    <row r="171" spans="1:15" ht="18" customHeight="1">
      <c r="A171" s="309"/>
      <c r="B171" s="314"/>
      <c r="C171" s="389">
        <f>SUM(C170:C170)</f>
        <v>23193657282</v>
      </c>
      <c r="D171" s="314"/>
      <c r="E171" s="389">
        <f>SUM(E170:E170)</f>
        <v>24614338753</v>
      </c>
      <c r="F171" s="314"/>
      <c r="G171" s="361"/>
      <c r="H171" s="319"/>
      <c r="I171" s="375" t="e">
        <f>SUM(#REF!)</f>
        <v>#REF!</v>
      </c>
      <c r="J171" s="319"/>
      <c r="K171" s="375" t="e">
        <f>SUM(#REF!)</f>
        <v>#REF!</v>
      </c>
      <c r="L171" s="319"/>
      <c r="M171" s="375" t="e">
        <f>SUM(#REF!)</f>
        <v>#REF!</v>
      </c>
      <c r="N171" s="319"/>
      <c r="O171" s="375" t="e">
        <f>SUM(#REF!)</f>
        <v>#REF!</v>
      </c>
    </row>
    <row r="172" spans="1:15" ht="15.75">
      <c r="A172" s="309"/>
      <c r="B172" s="314"/>
      <c r="C172" s="390"/>
      <c r="D172" s="314"/>
      <c r="E172" s="390"/>
      <c r="F172" s="314"/>
      <c r="G172" s="325"/>
      <c r="H172" s="325"/>
      <c r="I172" s="325"/>
      <c r="J172" s="325"/>
      <c r="K172" s="325"/>
      <c r="L172" s="325"/>
      <c r="M172" s="325"/>
      <c r="N172" s="325"/>
      <c r="O172" s="325"/>
    </row>
    <row r="173" spans="1:15" ht="18.75">
      <c r="A173" s="384" t="s">
        <v>631</v>
      </c>
      <c r="B173" s="314"/>
      <c r="C173" s="391">
        <f>C162+C167+C171</f>
        <v>80545389080</v>
      </c>
      <c r="D173" s="391"/>
      <c r="E173" s="391">
        <f>E162+E167+E171</f>
        <v>80597412960</v>
      </c>
      <c r="F173" s="314"/>
      <c r="G173" s="361"/>
      <c r="H173" s="319"/>
      <c r="I173" s="382" t="e">
        <f>I162+I167+I171</f>
        <v>#REF!</v>
      </c>
      <c r="J173" s="319"/>
      <c r="K173" s="382" t="e">
        <f>K162+K167+K171</f>
        <v>#REF!</v>
      </c>
      <c r="L173" s="319"/>
      <c r="M173" s="382" t="e">
        <f>M162+M167+M171</f>
        <v>#REF!</v>
      </c>
      <c r="N173" s="319"/>
      <c r="O173" s="382" t="e">
        <f>O162+O167+O171</f>
        <v>#REF!</v>
      </c>
    </row>
    <row r="174" spans="1:15" ht="18.75">
      <c r="A174" s="384"/>
      <c r="B174" s="314"/>
      <c r="C174" s="392"/>
      <c r="D174" s="314"/>
      <c r="E174" s="392"/>
      <c r="F174" s="314"/>
      <c r="G174" s="361"/>
      <c r="H174" s="319"/>
      <c r="I174" s="361"/>
      <c r="J174" s="319"/>
      <c r="K174" s="361"/>
      <c r="L174" s="319"/>
      <c r="M174" s="361"/>
      <c r="N174" s="319"/>
      <c r="O174" s="361"/>
    </row>
    <row r="175" spans="1:15" ht="17.25" thickBot="1">
      <c r="A175" s="341" t="s">
        <v>632</v>
      </c>
      <c r="B175" s="314"/>
      <c r="C175" s="393">
        <f>C141+C173</f>
        <v>122014733502</v>
      </c>
      <c r="D175" s="393"/>
      <c r="E175" s="393">
        <f>E141+E173</f>
        <v>114782133558</v>
      </c>
      <c r="F175" s="314"/>
      <c r="G175" s="361"/>
      <c r="H175" s="319"/>
      <c r="I175" s="362" t="e">
        <f>I141+I173</f>
        <v>#REF!</v>
      </c>
      <c r="J175" s="319"/>
      <c r="K175" s="362" t="e">
        <f>K141+K173</f>
        <v>#REF!</v>
      </c>
      <c r="L175" s="319"/>
      <c r="M175" s="362" t="e">
        <f>M141+M173</f>
        <v>#REF!</v>
      </c>
      <c r="N175" s="319"/>
      <c r="O175" s="362" t="e">
        <f>O141+O173</f>
        <v>#REF!</v>
      </c>
    </row>
    <row r="176" spans="1:15" ht="16.5" thickTop="1">
      <c r="A176" s="309"/>
      <c r="B176" s="314"/>
      <c r="C176" s="385"/>
      <c r="D176" s="314"/>
      <c r="E176" s="385"/>
      <c r="F176" s="314"/>
      <c r="G176" s="325"/>
      <c r="H176" s="325"/>
      <c r="I176" s="325"/>
      <c r="J176" s="325"/>
      <c r="K176" s="325"/>
      <c r="L176" s="325"/>
      <c r="M176" s="325"/>
      <c r="N176" s="325"/>
      <c r="O176" s="325"/>
    </row>
    <row r="177" spans="1:15" s="334" customFormat="1" ht="17.25">
      <c r="A177" s="394" t="s">
        <v>633</v>
      </c>
      <c r="B177" s="328"/>
      <c r="C177" s="395"/>
      <c r="D177" s="328"/>
      <c r="E177" s="395"/>
      <c r="F177" s="331"/>
      <c r="G177" s="331"/>
      <c r="I177" s="331"/>
      <c r="K177" s="331"/>
      <c r="M177" s="331"/>
      <c r="O177" s="331"/>
    </row>
    <row r="178" spans="1:15" s="334" customFormat="1" ht="16.5">
      <c r="A178" s="396" t="s">
        <v>634</v>
      </c>
      <c r="B178" s="328"/>
      <c r="C178" s="353">
        <v>61675435313</v>
      </c>
      <c r="D178" s="314"/>
      <c r="E178" s="353">
        <v>68353869677</v>
      </c>
      <c r="F178" s="333"/>
      <c r="G178" s="397"/>
      <c r="I178" s="397"/>
      <c r="K178" s="397"/>
      <c r="M178" s="397"/>
      <c r="O178" s="397"/>
    </row>
    <row r="179" spans="1:15" s="334" customFormat="1" ht="16.5">
      <c r="A179" s="396" t="s">
        <v>635</v>
      </c>
      <c r="B179" s="328"/>
      <c r="C179" s="353">
        <v>7540000060</v>
      </c>
      <c r="D179" s="314"/>
      <c r="E179" s="353">
        <v>7140000000</v>
      </c>
      <c r="F179" s="333"/>
      <c r="G179" s="397"/>
      <c r="I179" s="397"/>
      <c r="K179" s="397"/>
      <c r="M179" s="397"/>
      <c r="O179" s="397"/>
    </row>
    <row r="180" spans="1:15" s="334" customFormat="1" ht="15.75">
      <c r="A180" s="396" t="s">
        <v>636</v>
      </c>
      <c r="B180" s="328"/>
      <c r="C180" s="353">
        <v>450463623</v>
      </c>
      <c r="D180" s="314"/>
      <c r="E180" s="353">
        <v>450463623</v>
      </c>
      <c r="F180" s="333"/>
      <c r="G180" s="397"/>
      <c r="I180" s="397"/>
      <c r="K180" s="397"/>
      <c r="M180" s="397"/>
      <c r="O180" s="397"/>
    </row>
    <row r="181" spans="1:15" s="334" customFormat="1" ht="16.5">
      <c r="A181" s="396" t="s">
        <v>637</v>
      </c>
      <c r="B181" s="328"/>
      <c r="C181" s="353">
        <f>8511400562+700000000</f>
        <v>9211400562</v>
      </c>
      <c r="D181" s="314"/>
      <c r="E181" s="353">
        <f>8511400562+700000000</f>
        <v>9211400562</v>
      </c>
      <c r="F181" s="333"/>
      <c r="G181" s="397"/>
      <c r="I181" s="397"/>
      <c r="K181" s="397"/>
      <c r="M181" s="397"/>
      <c r="O181" s="397"/>
    </row>
    <row r="182" spans="1:15" s="334" customFormat="1" ht="16.5">
      <c r="A182" s="396" t="s">
        <v>638</v>
      </c>
      <c r="B182" s="328"/>
      <c r="C182" s="353">
        <f>28410764000+1138000000</f>
        <v>29548764000</v>
      </c>
      <c r="D182" s="314"/>
      <c r="E182" s="353">
        <v>28410764000</v>
      </c>
      <c r="F182" s="333"/>
      <c r="G182" s="397"/>
      <c r="I182" s="397"/>
      <c r="K182" s="397"/>
      <c r="M182" s="397"/>
      <c r="O182" s="397"/>
    </row>
    <row r="183" spans="2:15" s="334" customFormat="1" ht="16.5">
      <c r="B183" s="328"/>
      <c r="C183" s="322">
        <f>SUM(C178:C182)</f>
        <v>108426063558</v>
      </c>
      <c r="D183" s="314"/>
      <c r="E183" s="322">
        <f>SUM(E178:E182)</f>
        <v>113566497862</v>
      </c>
      <c r="F183" s="333"/>
      <c r="G183" s="398"/>
      <c r="I183" s="399"/>
      <c r="K183" s="399"/>
      <c r="M183" s="399"/>
      <c r="O183" s="399"/>
    </row>
    <row r="184" spans="1:15" ht="15.75">
      <c r="A184" s="309"/>
      <c r="B184" s="314"/>
      <c r="C184" s="385"/>
      <c r="D184" s="314"/>
      <c r="E184" s="314"/>
      <c r="F184" s="314"/>
      <c r="G184" s="325"/>
      <c r="H184" s="325"/>
      <c r="I184" s="325"/>
      <c r="J184" s="325"/>
      <c r="K184" s="325"/>
      <c r="L184" s="325"/>
      <c r="M184" s="325"/>
      <c r="N184" s="325"/>
      <c r="O184" s="325"/>
    </row>
    <row r="185" spans="1:15" ht="15.75">
      <c r="A185" s="891" t="s">
        <v>639</v>
      </c>
      <c r="B185" s="891"/>
      <c r="C185" s="891"/>
      <c r="D185" s="891"/>
      <c r="E185" s="891"/>
      <c r="F185" s="351"/>
      <c r="G185" s="351"/>
      <c r="H185" s="351"/>
      <c r="I185" s="400"/>
      <c r="K185" s="400"/>
      <c r="M185" s="400"/>
      <c r="O185" s="400"/>
    </row>
    <row r="186" spans="1:15" ht="15.75">
      <c r="A186" s="309"/>
      <c r="B186" s="309"/>
      <c r="C186" s="337"/>
      <c r="D186" s="309"/>
      <c r="E186" s="309"/>
      <c r="F186" s="309"/>
      <c r="G186" s="338"/>
      <c r="H186" s="325"/>
      <c r="I186" s="338"/>
      <c r="J186" s="325"/>
      <c r="K186" s="338"/>
      <c r="L186" s="325"/>
      <c r="M186" s="338"/>
      <c r="N186" s="325"/>
      <c r="O186" s="338"/>
    </row>
    <row r="187" spans="1:15" ht="15.75">
      <c r="A187" s="309"/>
      <c r="B187" s="309"/>
      <c r="C187" s="312"/>
      <c r="D187" s="309"/>
      <c r="E187" s="401"/>
      <c r="F187" s="309"/>
      <c r="G187" s="309"/>
      <c r="H187" s="325"/>
      <c r="I187" s="309"/>
      <c r="J187" s="325"/>
      <c r="K187" s="309"/>
      <c r="L187" s="325"/>
      <c r="M187" s="309"/>
      <c r="N187" s="325"/>
      <c r="O187" s="309"/>
    </row>
    <row r="188" spans="1:15" ht="39" customHeight="1">
      <c r="A188" s="309"/>
      <c r="B188" s="309"/>
      <c r="C188" s="312"/>
      <c r="D188" s="309"/>
      <c r="E188" s="401"/>
      <c r="F188" s="309"/>
      <c r="G188" s="309"/>
      <c r="H188" s="325"/>
      <c r="I188" s="309"/>
      <c r="J188" s="325"/>
      <c r="K188" s="309"/>
      <c r="L188" s="325"/>
      <c r="M188" s="309"/>
      <c r="N188" s="325"/>
      <c r="O188" s="309"/>
    </row>
    <row r="189" spans="1:15" ht="15.75">
      <c r="A189" s="309"/>
      <c r="B189" s="309"/>
      <c r="C189" s="337"/>
      <c r="D189" s="309"/>
      <c r="E189" s="309"/>
      <c r="F189" s="309"/>
      <c r="G189" s="338"/>
      <c r="H189" s="325"/>
      <c r="I189" s="338"/>
      <c r="J189" s="325"/>
      <c r="K189" s="338"/>
      <c r="L189" s="325"/>
      <c r="M189" s="338"/>
      <c r="N189" s="325"/>
      <c r="O189" s="338"/>
    </row>
    <row r="190" spans="1:15" ht="15.75">
      <c r="A190" s="309"/>
      <c r="B190" s="309"/>
      <c r="C190" s="337"/>
      <c r="D190" s="309"/>
      <c r="E190" s="309"/>
      <c r="F190" s="309"/>
      <c r="G190" s="338"/>
      <c r="H190" s="325"/>
      <c r="I190" s="338"/>
      <c r="J190" s="325"/>
      <c r="K190" s="338"/>
      <c r="L190" s="325"/>
      <c r="M190" s="338"/>
      <c r="N190" s="325"/>
      <c r="O190" s="338"/>
    </row>
    <row r="191" spans="1:14" ht="16.5">
      <c r="A191" s="341" t="s">
        <v>591</v>
      </c>
      <c r="B191" s="342"/>
      <c r="C191" s="343" t="s">
        <v>592</v>
      </c>
      <c r="D191" s="344"/>
      <c r="E191" s="345"/>
      <c r="F191" s="342"/>
      <c r="H191" s="346"/>
      <c r="J191" s="346"/>
      <c r="L191" s="346"/>
      <c r="N191" s="346"/>
    </row>
    <row r="192" spans="1:14" ht="16.5">
      <c r="A192" s="341" t="s">
        <v>593</v>
      </c>
      <c r="B192" s="342"/>
      <c r="C192" s="347" t="s">
        <v>640</v>
      </c>
      <c r="D192" s="344"/>
      <c r="E192" s="345"/>
      <c r="F192" s="342"/>
      <c r="H192" s="346"/>
      <c r="J192" s="346"/>
      <c r="L192" s="346"/>
      <c r="N192" s="346"/>
    </row>
    <row r="193" spans="1:14" ht="16.5">
      <c r="A193" s="342"/>
      <c r="B193" s="342"/>
      <c r="C193" s="364"/>
      <c r="D193" s="344"/>
      <c r="E193" s="345"/>
      <c r="F193" s="342"/>
      <c r="H193" s="346"/>
      <c r="J193" s="346"/>
      <c r="L193" s="346"/>
      <c r="N193" s="346"/>
    </row>
    <row r="194" spans="1:14" ht="45" customHeight="1">
      <c r="A194" s="342"/>
      <c r="B194" s="342"/>
      <c r="C194" s="364"/>
      <c r="D194" s="344"/>
      <c r="E194" s="345"/>
      <c r="F194" s="342"/>
      <c r="H194" s="346"/>
      <c r="J194" s="346"/>
      <c r="L194" s="346"/>
      <c r="N194" s="346"/>
    </row>
    <row r="195" spans="1:14" ht="16.5">
      <c r="A195" s="342"/>
      <c r="B195" s="342"/>
      <c r="C195" s="364"/>
      <c r="D195" s="344"/>
      <c r="E195" s="345"/>
      <c r="F195" s="342"/>
      <c r="H195" s="346"/>
      <c r="J195" s="346"/>
      <c r="L195" s="346"/>
      <c r="N195" s="346"/>
    </row>
    <row r="196" spans="1:14" ht="16.5">
      <c r="A196" s="342"/>
      <c r="B196" s="342"/>
      <c r="C196" s="364"/>
      <c r="D196" s="344"/>
      <c r="E196" s="345"/>
      <c r="F196" s="342"/>
      <c r="H196" s="346"/>
      <c r="J196" s="346"/>
      <c r="L196" s="346"/>
      <c r="N196" s="346"/>
    </row>
    <row r="197" spans="1:14" ht="16.5">
      <c r="A197" s="341" t="s">
        <v>595</v>
      </c>
      <c r="B197" s="342"/>
      <c r="C197" s="347" t="s">
        <v>596</v>
      </c>
      <c r="D197" s="344"/>
      <c r="E197" s="345"/>
      <c r="F197" s="342"/>
      <c r="H197" s="346"/>
      <c r="J197" s="346"/>
      <c r="L197" s="346"/>
      <c r="N197" s="346"/>
    </row>
    <row r="198" spans="1:14" ht="16.5">
      <c r="A198" s="341" t="s">
        <v>597</v>
      </c>
      <c r="B198" s="342"/>
      <c r="C198" s="347" t="s">
        <v>598</v>
      </c>
      <c r="D198" s="344"/>
      <c r="E198" s="345"/>
      <c r="F198" s="342"/>
      <c r="H198" s="346"/>
      <c r="J198" s="346"/>
      <c r="L198" s="346"/>
      <c r="N198" s="346"/>
    </row>
    <row r="199" spans="1:15" ht="15.75">
      <c r="A199" s="400"/>
      <c r="B199" s="400"/>
      <c r="C199" s="402"/>
      <c r="D199" s="402"/>
      <c r="E199" s="402"/>
      <c r="F199" s="400"/>
      <c r="G199" s="400"/>
      <c r="H199" s="400"/>
      <c r="I199" s="400"/>
      <c r="J199" s="400"/>
      <c r="K199" s="400"/>
      <c r="L199" s="400"/>
      <c r="M199" s="400"/>
      <c r="N199" s="400"/>
      <c r="O199" s="400"/>
    </row>
    <row r="200" spans="1:15" ht="15.75">
      <c r="A200" s="400"/>
      <c r="B200" s="400"/>
      <c r="C200" s="403"/>
      <c r="D200" s="400"/>
      <c r="E200" s="400"/>
      <c r="F200" s="400"/>
      <c r="G200" s="400"/>
      <c r="H200" s="400"/>
      <c r="I200" s="400"/>
      <c r="J200" s="400"/>
      <c r="K200" s="400"/>
      <c r="L200" s="400"/>
      <c r="M200" s="400"/>
      <c r="N200" s="400"/>
      <c r="O200" s="400"/>
    </row>
    <row r="201" spans="1:15" ht="15.75">
      <c r="A201" s="400"/>
      <c r="B201" s="400"/>
      <c r="C201" s="403"/>
      <c r="D201" s="400"/>
      <c r="E201" s="400"/>
      <c r="F201" s="400"/>
      <c r="G201" s="400"/>
      <c r="H201" s="400"/>
      <c r="I201" s="400"/>
      <c r="J201" s="400"/>
      <c r="K201" s="400"/>
      <c r="L201" s="400"/>
      <c r="M201" s="400"/>
      <c r="N201" s="400"/>
      <c r="O201" s="400"/>
    </row>
    <row r="202" spans="1:15" ht="15.75">
      <c r="A202" s="400"/>
      <c r="B202" s="400"/>
      <c r="C202" s="403"/>
      <c r="D202" s="400"/>
      <c r="E202" s="400"/>
      <c r="F202" s="400"/>
      <c r="G202" s="400"/>
      <c r="H202" s="400"/>
      <c r="I202" s="400"/>
      <c r="J202" s="400"/>
      <c r="K202" s="400"/>
      <c r="L202" s="400"/>
      <c r="M202" s="400"/>
      <c r="N202" s="400"/>
      <c r="O202" s="400"/>
    </row>
    <row r="203" spans="1:15" ht="15.75">
      <c r="A203" s="400"/>
      <c r="B203" s="400"/>
      <c r="C203" s="403"/>
      <c r="D203" s="400"/>
      <c r="E203" s="400"/>
      <c r="F203" s="400"/>
      <c r="G203" s="400"/>
      <c r="H203" s="400"/>
      <c r="I203" s="400"/>
      <c r="J203" s="400"/>
      <c r="K203" s="400"/>
      <c r="L203" s="400"/>
      <c r="M203" s="400"/>
      <c r="N203" s="400"/>
      <c r="O203" s="400"/>
    </row>
    <row r="204" spans="1:15" ht="15.75">
      <c r="A204" s="400"/>
      <c r="B204" s="400"/>
      <c r="C204" s="403"/>
      <c r="D204" s="400"/>
      <c r="E204" s="400"/>
      <c r="F204" s="400"/>
      <c r="G204" s="400"/>
      <c r="H204" s="400"/>
      <c r="I204" s="400"/>
      <c r="J204" s="400"/>
      <c r="K204" s="400"/>
      <c r="L204" s="400"/>
      <c r="M204" s="400"/>
      <c r="N204" s="400"/>
      <c r="O204" s="400"/>
    </row>
    <row r="205" spans="1:15" ht="15.75">
      <c r="A205" s="400"/>
      <c r="B205" s="400"/>
      <c r="C205" s="403"/>
      <c r="D205" s="400"/>
      <c r="E205" s="400">
        <v>5</v>
      </c>
      <c r="F205" s="400"/>
      <c r="G205" s="400"/>
      <c r="H205" s="400"/>
      <c r="I205" s="400"/>
      <c r="J205" s="400"/>
      <c r="K205" s="400"/>
      <c r="L205" s="400"/>
      <c r="M205" s="400"/>
      <c r="N205" s="400"/>
      <c r="O205" s="400"/>
    </row>
    <row r="206" spans="1:15" ht="15.75">
      <c r="A206" s="400"/>
      <c r="B206" s="400"/>
      <c r="C206" s="403"/>
      <c r="D206" s="400"/>
      <c r="E206" s="400"/>
      <c r="F206" s="400"/>
      <c r="G206" s="400"/>
      <c r="H206" s="400"/>
      <c r="I206" s="400"/>
      <c r="J206" s="400"/>
      <c r="K206" s="400"/>
      <c r="L206" s="400"/>
      <c r="M206" s="400"/>
      <c r="N206" s="400"/>
      <c r="O206" s="400"/>
    </row>
    <row r="207" spans="1:15" ht="15.75">
      <c r="A207" s="400"/>
      <c r="B207" s="400"/>
      <c r="C207" s="403"/>
      <c r="D207" s="400"/>
      <c r="E207" s="400"/>
      <c r="F207" s="400"/>
      <c r="G207" s="400"/>
      <c r="H207" s="400"/>
      <c r="I207" s="400"/>
      <c r="J207" s="400"/>
      <c r="K207" s="400"/>
      <c r="L207" s="400"/>
      <c r="M207" s="400"/>
      <c r="N207" s="400"/>
      <c r="O207" s="400"/>
    </row>
    <row r="208" spans="1:15" ht="15.75" hidden="1">
      <c r="A208" s="400"/>
      <c r="B208" s="400"/>
      <c r="C208" s="403"/>
      <c r="D208" s="400"/>
      <c r="E208" s="400"/>
      <c r="F208" s="400"/>
      <c r="G208" s="400"/>
      <c r="H208" s="400"/>
      <c r="I208" s="400"/>
      <c r="J208" s="400"/>
      <c r="K208" s="400"/>
      <c r="L208" s="400"/>
      <c r="M208" s="400"/>
      <c r="N208" s="400"/>
      <c r="O208" s="400"/>
    </row>
    <row r="209" spans="1:15" ht="15.75" hidden="1">
      <c r="A209" s="400"/>
      <c r="B209" s="400"/>
      <c r="C209" s="403"/>
      <c r="D209" s="400"/>
      <c r="E209" s="400"/>
      <c r="F209" s="400"/>
      <c r="G209" s="400"/>
      <c r="H209" s="400"/>
      <c r="I209" s="400"/>
      <c r="J209" s="400"/>
      <c r="K209" s="400"/>
      <c r="L209" s="400"/>
      <c r="M209" s="400"/>
      <c r="N209" s="400"/>
      <c r="O209" s="400"/>
    </row>
    <row r="210" spans="1:15" ht="15.75" hidden="1">
      <c r="A210" s="400"/>
      <c r="B210" s="400"/>
      <c r="C210" s="404">
        <f>C76-C175</f>
        <v>0</v>
      </c>
      <c r="D210" s="400"/>
      <c r="E210" s="353">
        <f>E76-E175</f>
        <v>0</v>
      </c>
      <c r="F210" s="400"/>
      <c r="G210" s="353">
        <f>G76-G175</f>
        <v>0</v>
      </c>
      <c r="H210" s="400"/>
      <c r="I210" s="353" t="e">
        <f>I76-I175</f>
        <v>#REF!</v>
      </c>
      <c r="J210" s="400"/>
      <c r="K210" s="353" t="e">
        <f>K76-K175</f>
        <v>#REF!</v>
      </c>
      <c r="L210" s="400"/>
      <c r="M210" s="353" t="e">
        <f>M76-M175</f>
        <v>#REF!</v>
      </c>
      <c r="N210" s="400"/>
      <c r="O210" s="353" t="e">
        <f>O76-O175</f>
        <v>#REF!</v>
      </c>
    </row>
    <row r="211" spans="1:15" ht="15.75" hidden="1">
      <c r="A211" s="400"/>
      <c r="B211" s="400"/>
      <c r="C211" s="404"/>
      <c r="D211" s="400"/>
      <c r="E211" s="353"/>
      <c r="F211" s="400"/>
      <c r="G211" s="353"/>
      <c r="H211" s="400"/>
      <c r="I211" s="353"/>
      <c r="J211" s="400"/>
      <c r="K211" s="353"/>
      <c r="L211" s="400"/>
      <c r="M211" s="353"/>
      <c r="N211" s="400"/>
      <c r="O211" s="353"/>
    </row>
    <row r="212" spans="1:15" ht="15.75" hidden="1">
      <c r="A212" s="400"/>
      <c r="B212" s="400"/>
      <c r="C212" s="404"/>
      <c r="D212" s="400"/>
      <c r="E212" s="353"/>
      <c r="F212" s="400"/>
      <c r="G212" s="353"/>
      <c r="H212" s="400"/>
      <c r="I212" s="353"/>
      <c r="J212" s="400"/>
      <c r="K212" s="353"/>
      <c r="L212" s="400"/>
      <c r="M212" s="353"/>
      <c r="N212" s="400"/>
      <c r="O212" s="353"/>
    </row>
    <row r="213" spans="1:15" ht="16.5" customHeight="1" hidden="1">
      <c r="A213" s="400"/>
      <c r="B213" s="400"/>
      <c r="C213" s="404"/>
      <c r="D213" s="400"/>
      <c r="E213" s="353"/>
      <c r="F213" s="400"/>
      <c r="G213" s="353"/>
      <c r="H213" s="400"/>
      <c r="I213" s="353"/>
      <c r="J213" s="400"/>
      <c r="K213" s="353"/>
      <c r="L213" s="400"/>
      <c r="M213" s="353"/>
      <c r="N213" s="400"/>
      <c r="O213" s="353"/>
    </row>
    <row r="214" spans="1:15" ht="16.5" customHeight="1" hidden="1">
      <c r="A214" s="400"/>
      <c r="B214" s="400"/>
      <c r="C214" s="404"/>
      <c r="D214" s="400"/>
      <c r="E214" s="353"/>
      <c r="F214" s="400"/>
      <c r="G214" s="353"/>
      <c r="H214" s="400"/>
      <c r="I214" s="353"/>
      <c r="J214" s="400"/>
      <c r="K214" s="353"/>
      <c r="L214" s="400"/>
      <c r="M214" s="353"/>
      <c r="N214" s="400"/>
      <c r="O214" s="353"/>
    </row>
    <row r="215" spans="1:15" ht="16.5" customHeight="1" hidden="1">
      <c r="A215" s="400"/>
      <c r="B215" s="400"/>
      <c r="C215" s="404"/>
      <c r="D215" s="400"/>
      <c r="E215" s="353"/>
      <c r="F215" s="400"/>
      <c r="G215" s="353"/>
      <c r="H215" s="400"/>
      <c r="I215" s="353"/>
      <c r="J215" s="400"/>
      <c r="K215" s="353"/>
      <c r="L215" s="400"/>
      <c r="M215" s="353"/>
      <c r="N215" s="400"/>
      <c r="O215" s="353"/>
    </row>
    <row r="216" spans="1:15" ht="16.5" customHeight="1" hidden="1">
      <c r="A216" s="400"/>
      <c r="B216" s="400"/>
      <c r="C216" s="404"/>
      <c r="D216" s="400"/>
      <c r="E216" s="353"/>
      <c r="F216" s="400"/>
      <c r="G216" s="353"/>
      <c r="H216" s="400"/>
      <c r="I216" s="353"/>
      <c r="J216" s="400"/>
      <c r="K216" s="353"/>
      <c r="L216" s="400"/>
      <c r="M216" s="353"/>
      <c r="N216" s="400"/>
      <c r="O216" s="353"/>
    </row>
    <row r="217" spans="1:15" ht="16.5" customHeight="1" hidden="1">
      <c r="A217" s="400"/>
      <c r="B217" s="400"/>
      <c r="C217" s="404"/>
      <c r="D217" s="400"/>
      <c r="E217" s="353"/>
      <c r="F217" s="400"/>
      <c r="G217" s="353"/>
      <c r="H217" s="400"/>
      <c r="I217" s="353"/>
      <c r="J217" s="400"/>
      <c r="K217" s="353"/>
      <c r="L217" s="400"/>
      <c r="M217" s="353"/>
      <c r="N217" s="400"/>
      <c r="O217" s="353"/>
    </row>
    <row r="218" spans="1:15" ht="16.5" customHeight="1" hidden="1">
      <c r="A218" s="400"/>
      <c r="B218" s="400"/>
      <c r="C218" s="404"/>
      <c r="D218" s="400"/>
      <c r="E218" s="353"/>
      <c r="F218" s="400"/>
      <c r="G218" s="353"/>
      <c r="H218" s="400"/>
      <c r="I218" s="353"/>
      <c r="J218" s="400"/>
      <c r="K218" s="353"/>
      <c r="L218" s="400"/>
      <c r="M218" s="353"/>
      <c r="N218" s="400"/>
      <c r="O218" s="353"/>
    </row>
    <row r="219" spans="1:15" ht="16.5" customHeight="1" hidden="1">
      <c r="A219" s="400"/>
      <c r="B219" s="400"/>
      <c r="C219" s="404"/>
      <c r="D219" s="400"/>
      <c r="E219" s="353"/>
      <c r="F219" s="400"/>
      <c r="G219" s="353"/>
      <c r="H219" s="400"/>
      <c r="I219" s="353"/>
      <c r="J219" s="400"/>
      <c r="K219" s="353"/>
      <c r="L219" s="400"/>
      <c r="M219" s="353"/>
      <c r="N219" s="400"/>
      <c r="O219" s="353"/>
    </row>
    <row r="220" spans="1:15" ht="16.5" customHeight="1" hidden="1">
      <c r="A220" s="400"/>
      <c r="B220" s="400"/>
      <c r="C220" s="404"/>
      <c r="D220" s="400"/>
      <c r="E220" s="353"/>
      <c r="F220" s="400"/>
      <c r="G220" s="353"/>
      <c r="H220" s="400"/>
      <c r="I220" s="353"/>
      <c r="J220" s="400"/>
      <c r="K220" s="353"/>
      <c r="L220" s="400"/>
      <c r="M220" s="353"/>
      <c r="N220" s="400"/>
      <c r="O220" s="353"/>
    </row>
    <row r="221" spans="1:15" ht="16.5" customHeight="1" hidden="1">
      <c r="A221" s="400"/>
      <c r="B221" s="400"/>
      <c r="C221" s="404"/>
      <c r="D221" s="400"/>
      <c r="E221" s="353"/>
      <c r="F221" s="400"/>
      <c r="G221" s="353"/>
      <c r="H221" s="400"/>
      <c r="I221" s="353"/>
      <c r="J221" s="400"/>
      <c r="K221" s="353"/>
      <c r="L221" s="400"/>
      <c r="M221" s="353"/>
      <c r="N221" s="400"/>
      <c r="O221" s="353"/>
    </row>
    <row r="222" spans="1:15" ht="15.75" hidden="1">
      <c r="A222" s="400"/>
      <c r="B222" s="400"/>
      <c r="C222" s="404"/>
      <c r="D222" s="400"/>
      <c r="E222" s="353"/>
      <c r="F222" s="400"/>
      <c r="G222" s="353"/>
      <c r="H222" s="400"/>
      <c r="I222" s="353"/>
      <c r="J222" s="400"/>
      <c r="K222" s="353"/>
      <c r="L222" s="400"/>
      <c r="M222" s="353"/>
      <c r="N222" s="400"/>
      <c r="O222" s="353"/>
    </row>
    <row r="223" spans="1:15" ht="15.75" hidden="1">
      <c r="A223" s="400"/>
      <c r="B223" s="400"/>
      <c r="C223" s="404"/>
      <c r="D223" s="400"/>
      <c r="E223" s="353"/>
      <c r="F223" s="400"/>
      <c r="G223" s="353"/>
      <c r="H223" s="400"/>
      <c r="I223" s="353"/>
      <c r="J223" s="400"/>
      <c r="K223" s="353"/>
      <c r="L223" s="400"/>
      <c r="M223" s="353"/>
      <c r="N223" s="400"/>
      <c r="O223" s="353"/>
    </row>
    <row r="224" spans="1:15" ht="15.75" hidden="1">
      <c r="A224" s="400"/>
      <c r="B224" s="400"/>
      <c r="C224" s="404"/>
      <c r="D224" s="400"/>
      <c r="E224" s="353"/>
      <c r="F224" s="400"/>
      <c r="G224" s="353"/>
      <c r="H224" s="400"/>
      <c r="I224" s="353"/>
      <c r="J224" s="400"/>
      <c r="K224" s="353"/>
      <c r="L224" s="400"/>
      <c r="M224" s="353"/>
      <c r="N224" s="400"/>
      <c r="O224" s="353"/>
    </row>
    <row r="225" spans="1:15" ht="15.75" hidden="1">
      <c r="A225" s="400"/>
      <c r="B225" s="400"/>
      <c r="C225" s="404"/>
      <c r="D225" s="400"/>
      <c r="E225" s="353"/>
      <c r="F225" s="400"/>
      <c r="G225" s="353"/>
      <c r="H225" s="400"/>
      <c r="I225" s="353"/>
      <c r="J225" s="400"/>
      <c r="K225" s="353"/>
      <c r="L225" s="400"/>
      <c r="M225" s="353"/>
      <c r="N225" s="400"/>
      <c r="O225" s="353"/>
    </row>
    <row r="226" spans="1:15" ht="15.75" hidden="1">
      <c r="A226" s="400"/>
      <c r="B226" s="400"/>
      <c r="C226" s="404"/>
      <c r="D226" s="400"/>
      <c r="E226" s="353"/>
      <c r="F226" s="400"/>
      <c r="G226" s="353"/>
      <c r="H226" s="400"/>
      <c r="I226" s="353"/>
      <c r="J226" s="400"/>
      <c r="K226" s="353"/>
      <c r="L226" s="400"/>
      <c r="M226" s="353"/>
      <c r="N226" s="400"/>
      <c r="O226" s="353"/>
    </row>
    <row r="227" spans="1:15" ht="15.75">
      <c r="A227" s="761"/>
      <c r="B227" s="761"/>
      <c r="C227" s="404"/>
      <c r="D227" s="761"/>
      <c r="E227" s="353"/>
      <c r="F227" s="761"/>
      <c r="G227" s="353"/>
      <c r="H227" s="761"/>
      <c r="I227" s="353"/>
      <c r="J227" s="761"/>
      <c r="K227" s="353"/>
      <c r="L227" s="761"/>
      <c r="M227" s="353"/>
      <c r="N227" s="761"/>
      <c r="O227" s="353"/>
    </row>
    <row r="228" spans="1:15" ht="15.75">
      <c r="A228" s="832"/>
      <c r="B228" s="832"/>
      <c r="C228" s="404"/>
      <c r="D228" s="832"/>
      <c r="E228" s="353"/>
      <c r="F228" s="832"/>
      <c r="G228" s="353"/>
      <c r="H228" s="832"/>
      <c r="I228" s="353"/>
      <c r="J228" s="832"/>
      <c r="K228" s="353"/>
      <c r="L228" s="832"/>
      <c r="M228" s="353"/>
      <c r="N228" s="832"/>
      <c r="O228" s="353"/>
    </row>
    <row r="229" spans="1:15" s="406" customFormat="1" ht="20.25">
      <c r="A229" s="890" t="s">
        <v>641</v>
      </c>
      <c r="B229" s="890"/>
      <c r="C229" s="890"/>
      <c r="D229" s="890"/>
      <c r="E229" s="890"/>
      <c r="F229" s="806"/>
      <c r="G229" s="806"/>
      <c r="H229" s="806"/>
      <c r="I229" s="405"/>
      <c r="K229" s="405"/>
      <c r="M229" s="405"/>
      <c r="O229" s="405"/>
    </row>
    <row r="230" spans="1:15" s="406" customFormat="1" ht="20.25">
      <c r="A230" s="892" t="s">
        <v>642</v>
      </c>
      <c r="B230" s="892"/>
      <c r="C230" s="892"/>
      <c r="D230" s="892"/>
      <c r="E230" s="892"/>
      <c r="F230" s="807"/>
      <c r="G230" s="807"/>
      <c r="H230" s="807"/>
      <c r="I230" s="407"/>
      <c r="K230" s="407"/>
      <c r="M230" s="407"/>
      <c r="O230" s="407"/>
    </row>
    <row r="231" spans="1:15" s="406" customFormat="1" ht="20.25">
      <c r="A231" s="892" t="s">
        <v>1104</v>
      </c>
      <c r="B231" s="892"/>
      <c r="C231" s="892"/>
      <c r="D231" s="892"/>
      <c r="E231" s="892"/>
      <c r="F231" s="807"/>
      <c r="G231" s="807"/>
      <c r="H231" s="807"/>
      <c r="I231" s="407"/>
      <c r="K231" s="407"/>
      <c r="M231" s="407"/>
      <c r="O231" s="407"/>
    </row>
    <row r="232" spans="1:15" s="406" customFormat="1" ht="20.25">
      <c r="A232" s="890" t="s">
        <v>562</v>
      </c>
      <c r="B232" s="890"/>
      <c r="C232" s="890"/>
      <c r="D232" s="890"/>
      <c r="E232" s="890"/>
      <c r="F232" s="806"/>
      <c r="G232" s="806"/>
      <c r="H232" s="806"/>
      <c r="I232" s="405"/>
      <c r="K232" s="405"/>
      <c r="M232" s="405"/>
      <c r="O232" s="405"/>
    </row>
    <row r="233" spans="1:17" ht="18.75">
      <c r="A233" s="408"/>
      <c r="B233" s="409"/>
      <c r="C233" s="310">
        <v>2020</v>
      </c>
      <c r="D233" s="409"/>
      <c r="E233" s="310">
        <v>2019</v>
      </c>
      <c r="F233" s="409"/>
      <c r="G233" s="307"/>
      <c r="H233" s="311"/>
      <c r="I233" s="310"/>
      <c r="J233" s="311"/>
      <c r="K233" s="310"/>
      <c r="L233" s="311"/>
      <c r="M233" s="310"/>
      <c r="N233" s="311"/>
      <c r="O233" s="310"/>
      <c r="Q233" s="410"/>
    </row>
    <row r="234" spans="1:15" ht="18.75">
      <c r="A234" s="367" t="s">
        <v>643</v>
      </c>
      <c r="B234" s="314"/>
      <c r="C234" s="312"/>
      <c r="D234" s="314"/>
      <c r="E234" s="314"/>
      <c r="F234" s="314"/>
      <c r="G234" s="309"/>
      <c r="H234" s="309"/>
      <c r="I234" s="309"/>
      <c r="J234" s="309"/>
      <c r="K234" s="309"/>
      <c r="L234" s="309"/>
      <c r="M234" s="309"/>
      <c r="N234" s="309"/>
      <c r="O234" s="309"/>
    </row>
    <row r="235" spans="1:19" ht="15.75">
      <c r="A235" s="368" t="s">
        <v>644</v>
      </c>
      <c r="B235" s="314"/>
      <c r="C235" s="318">
        <v>79589053506</v>
      </c>
      <c r="D235" s="314"/>
      <c r="E235" s="318">
        <v>84431465771</v>
      </c>
      <c r="F235" s="411"/>
      <c r="G235" s="319"/>
      <c r="H235" s="319"/>
      <c r="I235" s="319"/>
      <c r="J235" s="319"/>
      <c r="K235" s="319"/>
      <c r="L235" s="319"/>
      <c r="M235" s="319"/>
      <c r="N235" s="319"/>
      <c r="O235" s="319"/>
      <c r="Q235" s="412"/>
      <c r="R235" s="413">
        <f>C235/C240</f>
        <v>0.31929552381968107</v>
      </c>
      <c r="S235" s="412"/>
    </row>
    <row r="236" spans="1:19" ht="15.75">
      <c r="A236" s="368" t="s">
        <v>645</v>
      </c>
      <c r="B236" s="314"/>
      <c r="C236" s="369">
        <f>168842950297+832541324</f>
        <v>169675491621</v>
      </c>
      <c r="D236" s="314"/>
      <c r="E236" s="369">
        <v>200666197391</v>
      </c>
      <c r="F236" s="411"/>
      <c r="G236" s="319"/>
      <c r="H236" s="319"/>
      <c r="I236" s="319"/>
      <c r="J236" s="319"/>
      <c r="K236" s="319"/>
      <c r="L236" s="319"/>
      <c r="M236" s="319"/>
      <c r="N236" s="319"/>
      <c r="O236" s="319"/>
      <c r="Q236" s="412"/>
      <c r="R236" s="413">
        <f>C236/C240</f>
        <v>0.6807044761803189</v>
      </c>
      <c r="S236" s="412"/>
    </row>
    <row r="237" spans="1:15" ht="15.75" hidden="1">
      <c r="A237" s="414" t="s">
        <v>646</v>
      </c>
      <c r="B237" s="314"/>
      <c r="C237" s="318"/>
      <c r="D237" s="314"/>
      <c r="E237" s="318"/>
      <c r="F237" s="411"/>
      <c r="G237" s="319"/>
      <c r="H237" s="319"/>
      <c r="I237" s="319"/>
      <c r="J237" s="319"/>
      <c r="K237" s="319"/>
      <c r="L237" s="319"/>
      <c r="M237" s="319"/>
      <c r="N237" s="319"/>
      <c r="O237" s="319"/>
    </row>
    <row r="238" spans="1:15" ht="15.75" hidden="1">
      <c r="A238" s="368" t="s">
        <v>647</v>
      </c>
      <c r="B238" s="314"/>
      <c r="C238" s="318">
        <v>0</v>
      </c>
      <c r="D238" s="314"/>
      <c r="E238" s="318">
        <v>0</v>
      </c>
      <c r="F238" s="411"/>
      <c r="G238" s="319"/>
      <c r="H238" s="319"/>
      <c r="I238" s="319"/>
      <c r="J238" s="319"/>
      <c r="K238" s="319"/>
      <c r="L238" s="319"/>
      <c r="M238" s="319"/>
      <c r="N238" s="319"/>
      <c r="O238" s="319"/>
    </row>
    <row r="239" spans="1:15" ht="15.75" hidden="1">
      <c r="A239" s="368" t="s">
        <v>648</v>
      </c>
      <c r="B239" s="314"/>
      <c r="C239" s="318">
        <v>0</v>
      </c>
      <c r="D239" s="314"/>
      <c r="E239" s="318">
        <v>0</v>
      </c>
      <c r="F239" s="411"/>
      <c r="G239" s="319"/>
      <c r="H239" s="319"/>
      <c r="I239" s="319"/>
      <c r="J239" s="319"/>
      <c r="K239" s="319"/>
      <c r="L239" s="319"/>
      <c r="M239" s="319"/>
      <c r="N239" s="319"/>
      <c r="O239" s="319"/>
    </row>
    <row r="240" spans="1:15" ht="18.75">
      <c r="A240" s="367" t="s">
        <v>649</v>
      </c>
      <c r="B240" s="314"/>
      <c r="C240" s="374">
        <f>SUM(C235:C239)</f>
        <v>249264545127</v>
      </c>
      <c r="D240" s="314"/>
      <c r="E240" s="374">
        <f>SUM(E235:E239)</f>
        <v>285097663162</v>
      </c>
      <c r="F240" s="411"/>
      <c r="G240" s="361"/>
      <c r="H240" s="319"/>
      <c r="I240" s="375"/>
      <c r="J240" s="319"/>
      <c r="K240" s="375"/>
      <c r="L240" s="319"/>
      <c r="M240" s="375"/>
      <c r="N240" s="319"/>
      <c r="O240" s="375"/>
    </row>
    <row r="241" spans="1:15" ht="15.75">
      <c r="A241" s="414" t="s">
        <v>646</v>
      </c>
      <c r="B241" s="314"/>
      <c r="C241" s="388"/>
      <c r="D241" s="314"/>
      <c r="E241" s="388"/>
      <c r="F241" s="411"/>
      <c r="G241" s="325"/>
      <c r="H241" s="325"/>
      <c r="I241" s="325"/>
      <c r="J241" s="325"/>
      <c r="K241" s="325"/>
      <c r="L241" s="325"/>
      <c r="M241" s="325"/>
      <c r="N241" s="325"/>
      <c r="O241" s="325"/>
    </row>
    <row r="242" spans="1:15" ht="15.75">
      <c r="A242" s="368" t="s">
        <v>650</v>
      </c>
      <c r="B242" s="314"/>
      <c r="C242" s="415">
        <v>-31636511115</v>
      </c>
      <c r="D242" s="314"/>
      <c r="E242" s="415">
        <v>-33707597120</v>
      </c>
      <c r="F242" s="411"/>
      <c r="G242" s="416"/>
      <c r="H242" s="319"/>
      <c r="I242" s="416"/>
      <c r="J242" s="319"/>
      <c r="K242" s="416"/>
      <c r="L242" s="319"/>
      <c r="M242" s="416"/>
      <c r="N242" s="319"/>
      <c r="O242" s="416"/>
    </row>
    <row r="243" spans="1:15" ht="16.5" customHeight="1">
      <c r="A243" s="368" t="s">
        <v>651</v>
      </c>
      <c r="B243" s="314"/>
      <c r="C243" s="417">
        <f>-148975699020</f>
        <v>-148975699020</v>
      </c>
      <c r="D243" s="314"/>
      <c r="E243" s="417">
        <v>-175421873908</v>
      </c>
      <c r="F243" s="411"/>
      <c r="G243" s="416"/>
      <c r="H243" s="325"/>
      <c r="I243" s="418"/>
      <c r="J243" s="325"/>
      <c r="K243" s="418"/>
      <c r="L243" s="325"/>
      <c r="M243" s="418"/>
      <c r="N243" s="325"/>
      <c r="O243" s="418"/>
    </row>
    <row r="244" spans="1:15" ht="16.5" customHeight="1">
      <c r="A244" s="368"/>
      <c r="B244" s="314"/>
      <c r="C244" s="419">
        <f>SUM(C242:C243)</f>
        <v>-180612210135</v>
      </c>
      <c r="D244" s="419"/>
      <c r="E244" s="419">
        <f>SUM(E242:E243)</f>
        <v>-209129471028</v>
      </c>
      <c r="F244" s="411"/>
      <c r="G244" s="420"/>
      <c r="H244" s="325"/>
      <c r="I244" s="421"/>
      <c r="J244" s="325"/>
      <c r="K244" s="421"/>
      <c r="L244" s="325"/>
      <c r="M244" s="421"/>
      <c r="N244" s="325"/>
      <c r="O244" s="421"/>
    </row>
    <row r="245" spans="1:17" ht="18.75">
      <c r="A245" s="384" t="s">
        <v>652</v>
      </c>
      <c r="B245" s="314"/>
      <c r="C245" s="381">
        <f>C240+C244</f>
        <v>68652334992</v>
      </c>
      <c r="D245" s="381"/>
      <c r="E245" s="381">
        <f>E240+E244</f>
        <v>75968192134</v>
      </c>
      <c r="F245" s="411"/>
      <c r="G245" s="361"/>
      <c r="H245" s="319"/>
      <c r="I245" s="382"/>
      <c r="J245" s="319"/>
      <c r="K245" s="382"/>
      <c r="L245" s="319"/>
      <c r="M245" s="382"/>
      <c r="N245" s="319"/>
      <c r="O245" s="382"/>
      <c r="Q245" s="422"/>
    </row>
    <row r="246" spans="1:17" ht="15.75">
      <c r="A246" s="423" t="s">
        <v>653</v>
      </c>
      <c r="B246" s="314"/>
      <c r="C246" s="385"/>
      <c r="D246" s="314"/>
      <c r="E246" s="385"/>
      <c r="F246" s="411"/>
      <c r="G246" s="325"/>
      <c r="H246" s="325"/>
      <c r="I246" s="325"/>
      <c r="J246" s="325"/>
      <c r="K246" s="325"/>
      <c r="L246" s="325"/>
      <c r="M246" s="325"/>
      <c r="N246" s="325"/>
      <c r="O246" s="325"/>
      <c r="Q246" s="422"/>
    </row>
    <row r="247" spans="1:17" ht="18.75">
      <c r="A247" s="367" t="s">
        <v>654</v>
      </c>
      <c r="B247" s="314"/>
      <c r="C247" s="385"/>
      <c r="D247" s="314"/>
      <c r="E247" s="385"/>
      <c r="F247" s="411"/>
      <c r="G247" s="325"/>
      <c r="H247" s="325"/>
      <c r="I247" s="325"/>
      <c r="J247" s="325"/>
      <c r="K247" s="325"/>
      <c r="L247" s="325"/>
      <c r="M247" s="325"/>
      <c r="N247" s="325"/>
      <c r="O247" s="325"/>
      <c r="Q247" s="422"/>
    </row>
    <row r="248" spans="1:15" ht="15.75">
      <c r="A248" s="368" t="s">
        <v>655</v>
      </c>
      <c r="B248" s="314"/>
      <c r="C248" s="369">
        <v>14414120</v>
      </c>
      <c r="D248" s="314"/>
      <c r="E248" s="369">
        <v>26783084</v>
      </c>
      <c r="F248" s="411"/>
      <c r="G248" s="319"/>
      <c r="H248" s="319"/>
      <c r="I248" s="319"/>
      <c r="J248" s="319"/>
      <c r="K248" s="319"/>
      <c r="L248" s="319"/>
      <c r="M248" s="319"/>
      <c r="N248" s="319"/>
      <c r="O248" s="319"/>
    </row>
    <row r="249" spans="1:15" ht="15.75">
      <c r="A249" s="370" t="s">
        <v>656</v>
      </c>
      <c r="B249" s="314"/>
      <c r="C249" s="369">
        <v>459440000</v>
      </c>
      <c r="D249" s="314"/>
      <c r="E249" s="369">
        <v>61800000</v>
      </c>
      <c r="F249" s="411"/>
      <c r="G249" s="319"/>
      <c r="H249" s="319"/>
      <c r="I249" s="319"/>
      <c r="J249" s="319"/>
      <c r="K249" s="319"/>
      <c r="L249" s="319"/>
      <c r="M249" s="319"/>
      <c r="N249" s="319"/>
      <c r="O249" s="319"/>
    </row>
    <row r="250" spans="1:15" ht="15.75">
      <c r="A250" s="370" t="s">
        <v>657</v>
      </c>
      <c r="B250" s="314"/>
      <c r="C250" s="369">
        <f>65552197+137999489</f>
        <v>203551686</v>
      </c>
      <c r="D250" s="314"/>
      <c r="E250" s="369">
        <v>201960657</v>
      </c>
      <c r="F250" s="411"/>
      <c r="G250" s="319"/>
      <c r="H250" s="319"/>
      <c r="I250" s="319"/>
      <c r="J250" s="319"/>
      <c r="K250" s="319"/>
      <c r="L250" s="319"/>
      <c r="M250" s="319"/>
      <c r="N250" s="319"/>
      <c r="O250" s="319"/>
    </row>
    <row r="251" spans="1:15" ht="15.75">
      <c r="A251" s="370" t="s">
        <v>658</v>
      </c>
      <c r="B251" s="314"/>
      <c r="C251" s="369">
        <f>146000+54184768</f>
        <v>54330768</v>
      </c>
      <c r="D251" s="314"/>
      <c r="E251" s="369">
        <v>58532959</v>
      </c>
      <c r="F251" s="411"/>
      <c r="G251" s="319"/>
      <c r="H251" s="319"/>
      <c r="I251" s="319"/>
      <c r="J251" s="319"/>
      <c r="K251" s="319"/>
      <c r="L251" s="319"/>
      <c r="M251" s="319"/>
      <c r="N251" s="319"/>
      <c r="O251" s="319"/>
    </row>
    <row r="252" spans="1:15" ht="15.75">
      <c r="A252" s="370" t="s">
        <v>659</v>
      </c>
      <c r="B252" s="314"/>
      <c r="C252" s="369">
        <v>0</v>
      </c>
      <c r="D252" s="314"/>
      <c r="E252" s="369">
        <v>0</v>
      </c>
      <c r="F252" s="411"/>
      <c r="G252" s="319"/>
      <c r="H252" s="319"/>
      <c r="I252" s="319"/>
      <c r="J252" s="319"/>
      <c r="K252" s="319"/>
      <c r="L252" s="319"/>
      <c r="M252" s="319"/>
      <c r="N252" s="319"/>
      <c r="O252" s="319"/>
    </row>
    <row r="253" spans="1:15" ht="15.75">
      <c r="A253" s="370" t="s">
        <v>660</v>
      </c>
      <c r="B253" s="314"/>
      <c r="C253" s="369">
        <f>215250+2999593264</f>
        <v>2999808514</v>
      </c>
      <c r="D253" s="314"/>
      <c r="E253" s="369">
        <v>1219030572</v>
      </c>
      <c r="F253" s="411"/>
      <c r="G253" s="319"/>
      <c r="H253" s="319"/>
      <c r="I253" s="319"/>
      <c r="J253" s="319"/>
      <c r="K253" s="319"/>
      <c r="L253" s="319"/>
      <c r="M253" s="319"/>
      <c r="N253" s="319"/>
      <c r="O253" s="319"/>
    </row>
    <row r="254" spans="1:17" ht="15.75">
      <c r="A254" s="370" t="s">
        <v>661</v>
      </c>
      <c r="B254" s="314"/>
      <c r="C254" s="369">
        <f>178888398+711710652</f>
        <v>890599050</v>
      </c>
      <c r="D254" s="314"/>
      <c r="E254" s="369">
        <v>743256533</v>
      </c>
      <c r="F254" s="411"/>
      <c r="G254" s="319"/>
      <c r="H254" s="319"/>
      <c r="I254" s="319"/>
      <c r="J254" s="319"/>
      <c r="K254" s="319"/>
      <c r="L254" s="319"/>
      <c r="M254" s="319"/>
      <c r="N254" s="319"/>
      <c r="O254" s="319"/>
      <c r="Q254" s="422"/>
    </row>
    <row r="255" spans="1:17" ht="15.75">
      <c r="A255" s="309"/>
      <c r="B255" s="314"/>
      <c r="C255" s="374">
        <f>SUM(C248:C254)</f>
        <v>4622144138</v>
      </c>
      <c r="D255" s="374"/>
      <c r="E255" s="374">
        <f>SUM(E248:E254)</f>
        <v>2311363805</v>
      </c>
      <c r="F255" s="411"/>
      <c r="G255" s="361"/>
      <c r="H255" s="319"/>
      <c r="I255" s="375"/>
      <c r="J255" s="319"/>
      <c r="K255" s="375"/>
      <c r="L255" s="319"/>
      <c r="M255" s="375"/>
      <c r="N255" s="319"/>
      <c r="O255" s="375"/>
      <c r="Q255" s="422"/>
    </row>
    <row r="256" spans="1:17" ht="15.75">
      <c r="A256" s="423" t="s">
        <v>646</v>
      </c>
      <c r="B256" s="314"/>
      <c r="C256" s="385"/>
      <c r="D256" s="314"/>
      <c r="E256" s="385"/>
      <c r="F256" s="411"/>
      <c r="G256" s="325"/>
      <c r="H256" s="325"/>
      <c r="I256" s="325"/>
      <c r="J256" s="325"/>
      <c r="K256" s="325"/>
      <c r="L256" s="325"/>
      <c r="M256" s="325"/>
      <c r="N256" s="325"/>
      <c r="O256" s="325"/>
      <c r="Q256" s="422"/>
    </row>
    <row r="257" spans="1:17" ht="20.25" customHeight="1">
      <c r="A257" s="367" t="s">
        <v>662</v>
      </c>
      <c r="B257" s="314"/>
      <c r="C257" s="385"/>
      <c r="D257" s="314"/>
      <c r="E257" s="385"/>
      <c r="F257" s="411"/>
      <c r="G257" s="325"/>
      <c r="H257" s="325"/>
      <c r="I257" s="325"/>
      <c r="J257" s="325"/>
      <c r="K257" s="325"/>
      <c r="L257" s="325"/>
      <c r="M257" s="325"/>
      <c r="N257" s="325"/>
      <c r="O257" s="325"/>
      <c r="Q257" s="422"/>
    </row>
    <row r="258" spans="1:15" ht="15.75">
      <c r="A258" s="370" t="s">
        <v>663</v>
      </c>
      <c r="B258" s="314"/>
      <c r="C258" s="369">
        <v>-9079184158</v>
      </c>
      <c r="D258" s="314"/>
      <c r="E258" s="369">
        <v>-9373575299</v>
      </c>
      <c r="F258" s="411"/>
      <c r="G258" s="319"/>
      <c r="H258" s="319"/>
      <c r="I258" s="319"/>
      <c r="J258" s="319"/>
      <c r="K258" s="319"/>
      <c r="L258" s="319"/>
      <c r="M258" s="319"/>
      <c r="N258" s="319"/>
      <c r="O258" s="319"/>
    </row>
    <row r="259" spans="1:17" ht="15.75">
      <c r="A259" s="370" t="s">
        <v>664</v>
      </c>
      <c r="B259" s="314"/>
      <c r="C259" s="369">
        <v>-13441625545</v>
      </c>
      <c r="D259" s="314"/>
      <c r="E259" s="369">
        <v>-14068818967</v>
      </c>
      <c r="F259" s="411"/>
      <c r="G259" s="319"/>
      <c r="H259" s="319"/>
      <c r="I259" s="319"/>
      <c r="J259" s="319"/>
      <c r="K259" s="319"/>
      <c r="L259" s="319"/>
      <c r="M259" s="319"/>
      <c r="N259" s="319"/>
      <c r="O259" s="319"/>
      <c r="Q259" s="422"/>
    </row>
    <row r="260" spans="1:15" ht="15.75">
      <c r="A260" s="370" t="s">
        <v>665</v>
      </c>
      <c r="B260" s="314"/>
      <c r="C260" s="369">
        <f>-(20237703384+C265+C267)</f>
        <v>-16238236529</v>
      </c>
      <c r="D260" s="314"/>
      <c r="E260" s="369">
        <v>-16757471917</v>
      </c>
      <c r="F260" s="411"/>
      <c r="G260" s="319"/>
      <c r="H260" s="319"/>
      <c r="I260" s="319"/>
      <c r="J260" s="319"/>
      <c r="K260" s="319"/>
      <c r="L260" s="319"/>
      <c r="M260" s="319"/>
      <c r="N260" s="319"/>
      <c r="O260" s="319"/>
    </row>
    <row r="261" spans="1:15" ht="15.75">
      <c r="A261" s="370" t="s">
        <v>666</v>
      </c>
      <c r="B261" s="314"/>
      <c r="C261" s="369">
        <v>-2211117538</v>
      </c>
      <c r="D261" s="314"/>
      <c r="E261" s="369">
        <v>-2947448206</v>
      </c>
      <c r="F261" s="411"/>
      <c r="G261" s="319"/>
      <c r="H261" s="319"/>
      <c r="I261" s="319"/>
      <c r="J261" s="319"/>
      <c r="K261" s="319"/>
      <c r="L261" s="319"/>
      <c r="M261" s="319"/>
      <c r="N261" s="319"/>
      <c r="O261" s="319"/>
    </row>
    <row r="262" spans="1:15" ht="15.75">
      <c r="A262" s="370" t="s">
        <v>667</v>
      </c>
      <c r="B262" s="314"/>
      <c r="C262" s="369">
        <v>-5111191223</v>
      </c>
      <c r="D262" s="314"/>
      <c r="E262" s="369">
        <v>-5976027309</v>
      </c>
      <c r="F262" s="411"/>
      <c r="G262" s="319"/>
      <c r="H262" s="319"/>
      <c r="I262" s="319"/>
      <c r="J262" s="319"/>
      <c r="K262" s="319"/>
      <c r="L262" s="319"/>
      <c r="M262" s="319"/>
      <c r="N262" s="319"/>
      <c r="O262" s="319"/>
    </row>
    <row r="263" spans="1:15" ht="15.75">
      <c r="A263" s="309"/>
      <c r="B263" s="314"/>
      <c r="C263" s="374">
        <f>SUM(C258:C262)</f>
        <v>-46081354993</v>
      </c>
      <c r="D263" s="374"/>
      <c r="E263" s="374">
        <f>SUM(E258:E262)</f>
        <v>-49123341698</v>
      </c>
      <c r="F263" s="411"/>
      <c r="G263" s="361"/>
      <c r="H263" s="319"/>
      <c r="I263" s="375"/>
      <c r="J263" s="319"/>
      <c r="K263" s="375"/>
      <c r="L263" s="319"/>
      <c r="M263" s="375"/>
      <c r="N263" s="319"/>
      <c r="O263" s="375"/>
    </row>
    <row r="264" spans="1:15" ht="18.75">
      <c r="A264" s="367" t="s">
        <v>668</v>
      </c>
      <c r="B264" s="424"/>
      <c r="C264" s="387">
        <f>C255+C263+C245</f>
        <v>27193124137</v>
      </c>
      <c r="D264" s="387"/>
      <c r="E264" s="387">
        <f>E255+E263+E245</f>
        <v>29156214241</v>
      </c>
      <c r="F264" s="425"/>
      <c r="G264" s="361"/>
      <c r="H264" s="319"/>
      <c r="I264" s="361"/>
      <c r="J264" s="319"/>
      <c r="K264" s="361"/>
      <c r="L264" s="319"/>
      <c r="M264" s="361"/>
      <c r="N264" s="319"/>
      <c r="O264" s="361"/>
    </row>
    <row r="265" spans="1:15" ht="18.75" customHeight="1">
      <c r="A265" s="368" t="s">
        <v>669</v>
      </c>
      <c r="B265" s="314"/>
      <c r="C265" s="426">
        <v>-2778748051</v>
      </c>
      <c r="D265" s="314"/>
      <c r="E265" s="426">
        <v>-3246383975</v>
      </c>
      <c r="F265" s="411"/>
      <c r="G265" s="353"/>
      <c r="H265" s="319"/>
      <c r="I265" s="427"/>
      <c r="J265" s="319"/>
      <c r="K265" s="427"/>
      <c r="L265" s="319"/>
      <c r="M265" s="427"/>
      <c r="N265" s="319"/>
      <c r="O265" s="427"/>
    </row>
    <row r="266" spans="1:15" ht="20.25" customHeight="1">
      <c r="A266" s="414" t="s">
        <v>670</v>
      </c>
      <c r="B266" s="314"/>
      <c r="C266" s="386">
        <f>C264+C265</f>
        <v>24414376086</v>
      </c>
      <c r="D266" s="386"/>
      <c r="E266" s="386">
        <f>E264+E265</f>
        <v>25909830266</v>
      </c>
      <c r="F266" s="411"/>
      <c r="G266" s="353"/>
      <c r="H266" s="319"/>
      <c r="I266" s="353"/>
      <c r="J266" s="319"/>
      <c r="K266" s="353"/>
      <c r="L266" s="319"/>
      <c r="M266" s="353"/>
      <c r="N266" s="319"/>
      <c r="O266" s="353"/>
    </row>
    <row r="267" spans="1:15" ht="15.75">
      <c r="A267" s="368" t="s">
        <v>671</v>
      </c>
      <c r="B267" s="314"/>
      <c r="C267" s="386">
        <v>-1220718804</v>
      </c>
      <c r="D267" s="314"/>
      <c r="E267" s="386">
        <v>-1295491513</v>
      </c>
      <c r="F267" s="411"/>
      <c r="G267" s="353"/>
      <c r="H267" s="319"/>
      <c r="I267" s="353"/>
      <c r="J267" s="319"/>
      <c r="K267" s="353"/>
      <c r="L267" s="319"/>
      <c r="M267" s="353"/>
      <c r="N267" s="319"/>
      <c r="O267" s="353"/>
    </row>
    <row r="268" spans="1:15" ht="17.25" thickBot="1">
      <c r="A268" s="428" t="s">
        <v>672</v>
      </c>
      <c r="B268" s="424"/>
      <c r="C268" s="360">
        <f>C266+C267</f>
        <v>23193657282</v>
      </c>
      <c r="D268" s="360"/>
      <c r="E268" s="360">
        <f>E266+E267</f>
        <v>24614338753</v>
      </c>
      <c r="F268" s="425"/>
      <c r="G268" s="361"/>
      <c r="H268" s="319"/>
      <c r="I268" s="362"/>
      <c r="J268" s="319"/>
      <c r="K268" s="362"/>
      <c r="L268" s="319"/>
      <c r="M268" s="362"/>
      <c r="N268" s="319"/>
      <c r="O268" s="362"/>
    </row>
    <row r="269" spans="1:15" ht="16.5" thickTop="1">
      <c r="A269" s="891" t="s">
        <v>639</v>
      </c>
      <c r="B269" s="891"/>
      <c r="C269" s="891"/>
      <c r="D269" s="891"/>
      <c r="E269" s="891"/>
      <c r="F269" s="351"/>
      <c r="G269" s="351"/>
      <c r="H269" s="351"/>
      <c r="I269" s="400"/>
      <c r="K269" s="400"/>
      <c r="M269" s="400"/>
      <c r="O269" s="400"/>
    </row>
    <row r="270" spans="1:15" ht="15.75">
      <c r="A270" s="400"/>
      <c r="B270" s="400"/>
      <c r="C270" s="400"/>
      <c r="D270" s="400"/>
      <c r="E270" s="400"/>
      <c r="F270" s="400"/>
      <c r="G270" s="400"/>
      <c r="H270" s="400"/>
      <c r="I270" s="400"/>
      <c r="K270" s="400"/>
      <c r="M270" s="400"/>
      <c r="O270" s="400"/>
    </row>
    <row r="271" spans="1:15" ht="15.75">
      <c r="A271" s="400"/>
      <c r="B271" s="400"/>
      <c r="C271" s="400"/>
      <c r="D271" s="400"/>
      <c r="E271" s="400"/>
      <c r="F271" s="400"/>
      <c r="G271" s="400"/>
      <c r="H271" s="400"/>
      <c r="I271" s="400"/>
      <c r="K271" s="400"/>
      <c r="M271" s="400"/>
      <c r="O271" s="400"/>
    </row>
    <row r="272" spans="1:15" ht="54" customHeight="1">
      <c r="A272" s="400"/>
      <c r="B272" s="400"/>
      <c r="C272" s="403"/>
      <c r="D272" s="400"/>
      <c r="E272" s="400"/>
      <c r="F272" s="400"/>
      <c r="G272" s="400"/>
      <c r="H272" s="400"/>
      <c r="I272" s="400"/>
      <c r="K272" s="400"/>
      <c r="M272" s="400"/>
      <c r="O272" s="400"/>
    </row>
    <row r="273" spans="1:15" ht="15.75">
      <c r="A273" s="309"/>
      <c r="B273" s="309"/>
      <c r="C273" s="337"/>
      <c r="D273" s="309"/>
      <c r="E273" s="309"/>
      <c r="F273" s="309"/>
      <c r="G273" s="338"/>
      <c r="H273" s="325"/>
      <c r="I273" s="338"/>
      <c r="J273" s="325"/>
      <c r="K273" s="338"/>
      <c r="L273" s="325"/>
      <c r="M273" s="338"/>
      <c r="N273" s="325"/>
      <c r="O273" s="338"/>
    </row>
    <row r="274" spans="1:14" ht="16.5">
      <c r="A274" s="341" t="s">
        <v>591</v>
      </c>
      <c r="B274" s="342"/>
      <c r="C274" s="343" t="s">
        <v>592</v>
      </c>
      <c r="D274" s="344"/>
      <c r="E274" s="345"/>
      <c r="F274" s="342"/>
      <c r="H274" s="346"/>
      <c r="J274" s="346"/>
      <c r="L274" s="346"/>
      <c r="N274" s="346"/>
    </row>
    <row r="275" spans="1:14" ht="16.5">
      <c r="A275" s="341" t="s">
        <v>1182</v>
      </c>
      <c r="B275" s="342"/>
      <c r="C275" s="347" t="s">
        <v>1183</v>
      </c>
      <c r="D275" s="342"/>
      <c r="F275" s="342"/>
      <c r="H275" s="346"/>
      <c r="J275" s="346"/>
      <c r="L275" s="346"/>
      <c r="N275" s="346"/>
    </row>
    <row r="276" spans="1:14" ht="16.5">
      <c r="A276" s="341"/>
      <c r="B276" s="342"/>
      <c r="C276" s="347"/>
      <c r="D276" s="342"/>
      <c r="F276" s="342"/>
      <c r="H276" s="346"/>
      <c r="J276" s="346"/>
      <c r="L276" s="346"/>
      <c r="N276" s="346"/>
    </row>
    <row r="277" spans="1:14" ht="16.5">
      <c r="A277" s="341"/>
      <c r="B277" s="342"/>
      <c r="C277" s="347"/>
      <c r="D277" s="342"/>
      <c r="F277" s="342"/>
      <c r="H277" s="346"/>
      <c r="J277" s="346"/>
      <c r="L277" s="346"/>
      <c r="N277" s="346"/>
    </row>
    <row r="278" spans="1:14" ht="16.5">
      <c r="A278" s="341"/>
      <c r="B278" s="342"/>
      <c r="C278" s="347"/>
      <c r="D278" s="342"/>
      <c r="F278" s="342"/>
      <c r="H278" s="346"/>
      <c r="J278" s="346"/>
      <c r="L278" s="346"/>
      <c r="N278" s="346"/>
    </row>
    <row r="279" spans="1:14" ht="40.5" customHeight="1">
      <c r="A279" s="342"/>
      <c r="B279" s="342"/>
      <c r="C279" s="345"/>
      <c r="D279" s="342"/>
      <c r="E279" s="429"/>
      <c r="F279" s="342"/>
      <c r="H279" s="346"/>
      <c r="J279" s="346"/>
      <c r="L279" s="346"/>
      <c r="N279" s="346"/>
    </row>
    <row r="280" spans="1:14" ht="16.5">
      <c r="A280" s="341" t="s">
        <v>595</v>
      </c>
      <c r="B280" s="342"/>
      <c r="C280" s="347" t="s">
        <v>596</v>
      </c>
      <c r="D280" s="344"/>
      <c r="E280" s="345"/>
      <c r="F280" s="342"/>
      <c r="H280" s="346"/>
      <c r="J280" s="346"/>
      <c r="L280" s="346"/>
      <c r="N280" s="346"/>
    </row>
    <row r="281" spans="1:14" ht="16.5">
      <c r="A281" s="341" t="s">
        <v>1181</v>
      </c>
      <c r="B281" s="342"/>
      <c r="C281" s="347" t="s">
        <v>1180</v>
      </c>
      <c r="D281" s="342"/>
      <c r="E281" s="883">
        <v>6</v>
      </c>
      <c r="F281" s="342"/>
      <c r="H281" s="346"/>
      <c r="J281" s="346"/>
      <c r="L281" s="346"/>
      <c r="N281" s="346"/>
    </row>
    <row r="284" spans="1:3" ht="15">
      <c r="A284" s="785" t="s">
        <v>1062</v>
      </c>
      <c r="B284" s="786"/>
      <c r="C284" s="787">
        <f>C39/C129</f>
        <v>2.7508492603738506</v>
      </c>
    </row>
    <row r="285" spans="1:3" ht="15">
      <c r="A285" s="785"/>
      <c r="B285" s="786"/>
      <c r="C285" s="786"/>
    </row>
    <row r="286" spans="1:16" ht="15">
      <c r="A286" s="785" t="s">
        <v>1063</v>
      </c>
      <c r="B286" s="786"/>
      <c r="C286" s="788">
        <f>C141/C173</f>
        <v>0.5148568390527166</v>
      </c>
      <c r="P286" s="783"/>
    </row>
    <row r="287" spans="1:16" ht="15">
      <c r="A287" s="785"/>
      <c r="B287" s="786"/>
      <c r="C287" s="786"/>
      <c r="P287" s="782"/>
    </row>
    <row r="288" spans="1:16" ht="15">
      <c r="A288" s="785" t="s">
        <v>1064</v>
      </c>
      <c r="B288" s="786"/>
      <c r="C288" s="786">
        <f>C173-C170</f>
        <v>57351731798</v>
      </c>
      <c r="P288" s="783"/>
    </row>
    <row r="289" spans="1:16" ht="15">
      <c r="A289" s="786"/>
      <c r="B289" s="786"/>
      <c r="C289" s="789">
        <f>C264/C288</f>
        <v>0.474146521551914</v>
      </c>
      <c r="P289" s="782"/>
    </row>
    <row r="290" spans="1:16" ht="15">
      <c r="A290" s="786"/>
      <c r="B290" s="786"/>
      <c r="C290" s="786"/>
      <c r="P290" s="784"/>
    </row>
    <row r="291" ht="15">
      <c r="P291" s="413"/>
    </row>
  </sheetData>
  <sheetProtection/>
  <mergeCells count="18">
    <mergeCell ref="A232:E232"/>
    <mergeCell ref="A185:E185"/>
    <mergeCell ref="A269:E269"/>
    <mergeCell ref="A51:E51"/>
    <mergeCell ref="A52:E52"/>
    <mergeCell ref="A156:E156"/>
    <mergeCell ref="A231:E231"/>
    <mergeCell ref="A229:E229"/>
    <mergeCell ref="A230:E230"/>
    <mergeCell ref="A1:E1"/>
    <mergeCell ref="A2:E2"/>
    <mergeCell ref="A3:E3"/>
    <mergeCell ref="A154:E154"/>
    <mergeCell ref="A155:E155"/>
    <mergeCell ref="A108:E108"/>
    <mergeCell ref="A109:E109"/>
    <mergeCell ref="A110:E110"/>
    <mergeCell ref="A53:E53"/>
  </mergeCells>
  <printOptions horizontalCentered="1"/>
  <pageMargins left="1.1811023622047245" right="0.7874015748031497" top="0.5905511811023623" bottom="0.7874015748031497" header="0" footer="0"/>
  <pageSetup fitToHeight="0" horizontalDpi="600" verticalDpi="600" orientation="portrait" paperSize="9" scale="78" r:id="rId2"/>
  <rowBreaks count="2" manualBreakCount="2">
    <brk id="50" max="255" man="1"/>
    <brk id="152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957"/>
  <sheetViews>
    <sheetView showGridLines="0" zoomScale="106" zoomScaleNormal="106" zoomScalePageLayoutView="0" workbookViewId="0" topLeftCell="A1">
      <selection activeCell="E45" sqref="E45"/>
    </sheetView>
  </sheetViews>
  <sheetFormatPr defaultColWidth="11.421875" defaultRowHeight="15"/>
  <cols>
    <col min="1" max="1" width="7.7109375" style="0" customWidth="1"/>
    <col min="2" max="2" width="33.140625" style="0" customWidth="1"/>
    <col min="3" max="3" width="13.8515625" style="0" customWidth="1"/>
    <col min="4" max="4" width="15.28125" style="0" customWidth="1"/>
    <col min="5" max="5" width="14.57421875" style="0" customWidth="1"/>
    <col min="6" max="6" width="11.7109375" style="0" bestFit="1" customWidth="1"/>
  </cols>
  <sheetData>
    <row r="2" spans="1:5" ht="30.75">
      <c r="A2" s="901" t="s">
        <v>137</v>
      </c>
      <c r="B2" s="901"/>
      <c r="C2" s="901"/>
      <c r="D2" s="901"/>
      <c r="E2" s="901"/>
    </row>
    <row r="3" spans="1:5" ht="30.75">
      <c r="A3" s="902" t="s">
        <v>1106</v>
      </c>
      <c r="B3" s="902"/>
      <c r="C3" s="902"/>
      <c r="D3" s="902"/>
      <c r="E3" s="902"/>
    </row>
    <row r="5" spans="1:2" ht="18.75">
      <c r="A5" s="903" t="s">
        <v>145</v>
      </c>
      <c r="B5" s="903"/>
    </row>
    <row r="6" spans="1:5" ht="16.5">
      <c r="A6" s="99" t="s">
        <v>139</v>
      </c>
      <c r="B6" s="99"/>
      <c r="C6" s="99"/>
      <c r="D6" s="99"/>
      <c r="E6" s="99"/>
    </row>
    <row r="7" spans="1:5" ht="15.75">
      <c r="A7" s="98" t="s">
        <v>140</v>
      </c>
      <c r="B7" s="98"/>
      <c r="C7" s="98"/>
      <c r="D7" s="98"/>
      <c r="E7" s="98"/>
    </row>
    <row r="8" ht="15.75">
      <c r="A8" s="97" t="s">
        <v>141</v>
      </c>
    </row>
    <row r="9" ht="15.75">
      <c r="A9" s="97" t="s">
        <v>142</v>
      </c>
    </row>
    <row r="10" ht="15.75">
      <c r="A10" s="97" t="s">
        <v>143</v>
      </c>
    </row>
    <row r="11" ht="15.75">
      <c r="A11" s="97" t="s">
        <v>144</v>
      </c>
    </row>
    <row r="13" ht="15.75">
      <c r="A13" s="100" t="s">
        <v>138</v>
      </c>
    </row>
    <row r="15" ht="16.5">
      <c r="A15" s="96" t="s">
        <v>146</v>
      </c>
    </row>
    <row r="16" ht="15.75">
      <c r="A16" s="97" t="s">
        <v>148</v>
      </c>
    </row>
    <row r="17" ht="15">
      <c r="A17" t="s">
        <v>147</v>
      </c>
    </row>
    <row r="18" ht="15.75">
      <c r="A18" s="97" t="s">
        <v>149</v>
      </c>
    </row>
    <row r="19" ht="15.75">
      <c r="A19" s="97" t="s">
        <v>150</v>
      </c>
    </row>
    <row r="20" ht="15.75">
      <c r="A20" s="39" t="s">
        <v>151</v>
      </c>
    </row>
    <row r="22" ht="16.5">
      <c r="A22" s="96" t="s">
        <v>152</v>
      </c>
    </row>
    <row r="23" ht="15.75">
      <c r="A23" s="97" t="s">
        <v>153</v>
      </c>
    </row>
    <row r="24" ht="15.75">
      <c r="A24" s="97" t="s">
        <v>154</v>
      </c>
    </row>
    <row r="25" ht="15.75">
      <c r="A25" s="97" t="s">
        <v>155</v>
      </c>
    </row>
    <row r="26" ht="15.75">
      <c r="A26" s="97" t="s">
        <v>156</v>
      </c>
    </row>
    <row r="28" ht="16.5">
      <c r="A28" s="96" t="s">
        <v>157</v>
      </c>
    </row>
    <row r="29" ht="15.75">
      <c r="A29" s="97" t="s">
        <v>158</v>
      </c>
    </row>
    <row r="30" ht="15.75">
      <c r="A30" s="97" t="s">
        <v>159</v>
      </c>
    </row>
    <row r="31" ht="15.75">
      <c r="A31" s="97" t="s">
        <v>160</v>
      </c>
    </row>
    <row r="32" ht="15.75">
      <c r="A32" s="97" t="s">
        <v>161</v>
      </c>
    </row>
    <row r="33" ht="15.75">
      <c r="A33" s="100" t="s">
        <v>162</v>
      </c>
    </row>
    <row r="35" ht="16.5">
      <c r="A35" s="96" t="s">
        <v>163</v>
      </c>
    </row>
    <row r="36" ht="15.75">
      <c r="A36" s="97" t="s">
        <v>164</v>
      </c>
    </row>
    <row r="37" ht="15.75">
      <c r="A37" s="97" t="s">
        <v>165</v>
      </c>
    </row>
    <row r="38" ht="15.75">
      <c r="A38" s="97" t="s">
        <v>166</v>
      </c>
    </row>
    <row r="39" ht="15.75">
      <c r="A39" s="97" t="s">
        <v>167</v>
      </c>
    </row>
    <row r="40" ht="15.75">
      <c r="A40" s="97" t="s">
        <v>168</v>
      </c>
    </row>
    <row r="41" ht="15.75">
      <c r="A41" s="100" t="s">
        <v>169</v>
      </c>
    </row>
    <row r="42" s="101" customFormat="1" ht="15"/>
    <row r="43" s="101" customFormat="1" ht="15"/>
    <row r="44" s="101" customFormat="1" ht="15"/>
    <row r="45" s="101" customFormat="1" ht="15">
      <c r="E45" s="878">
        <v>7</v>
      </c>
    </row>
    <row r="46" s="101" customFormat="1" ht="15"/>
    <row r="47" s="101" customFormat="1" ht="15"/>
    <row r="48" s="101" customFormat="1" ht="15"/>
    <row r="49" s="101" customFormat="1" ht="15"/>
    <row r="50" s="101" customFormat="1" ht="15"/>
    <row r="51" s="101" customFormat="1" ht="15"/>
    <row r="52" s="101" customFormat="1" ht="15"/>
    <row r="53" s="101" customFormat="1" ht="24" customHeight="1">
      <c r="A53" s="96" t="s">
        <v>170</v>
      </c>
    </row>
    <row r="54" s="101" customFormat="1" ht="15.75">
      <c r="A54" s="97" t="s">
        <v>171</v>
      </c>
    </row>
    <row r="55" s="101" customFormat="1" ht="15.75">
      <c r="A55" s="97" t="s">
        <v>172</v>
      </c>
    </row>
    <row r="56" s="101" customFormat="1" ht="15.75">
      <c r="A56" s="97" t="s">
        <v>173</v>
      </c>
    </row>
    <row r="57" s="101" customFormat="1" ht="15.75">
      <c r="A57" s="97" t="s">
        <v>174</v>
      </c>
    </row>
    <row r="58" s="101" customFormat="1" ht="15.75">
      <c r="A58" s="97" t="s">
        <v>175</v>
      </c>
    </row>
    <row r="59" s="101" customFormat="1" ht="15.75">
      <c r="A59" s="100" t="s">
        <v>176</v>
      </c>
    </row>
    <row r="60" s="101" customFormat="1" ht="15"/>
    <row r="61" s="101" customFormat="1" ht="16.5">
      <c r="A61" s="802" t="s">
        <v>1097</v>
      </c>
    </row>
    <row r="62" s="101" customFormat="1" ht="16.5">
      <c r="A62" s="145" t="s">
        <v>177</v>
      </c>
    </row>
    <row r="63" s="803" customFormat="1" ht="16.5">
      <c r="A63" s="145" t="s">
        <v>178</v>
      </c>
    </row>
    <row r="64" s="803" customFormat="1" ht="16.5">
      <c r="A64" s="145" t="s">
        <v>179</v>
      </c>
    </row>
    <row r="65" s="101" customFormat="1" ht="15.75">
      <c r="A65" s="97" t="s">
        <v>180</v>
      </c>
    </row>
    <row r="66" s="101" customFormat="1" ht="15.75">
      <c r="A66" s="97" t="s">
        <v>181</v>
      </c>
    </row>
    <row r="67" s="101" customFormat="1" ht="15.75">
      <c r="A67" s="97" t="s">
        <v>182</v>
      </c>
    </row>
    <row r="68" s="101" customFormat="1" ht="15.75">
      <c r="A68" s="97" t="s">
        <v>183</v>
      </c>
    </row>
    <row r="69" s="101" customFormat="1" ht="15.75">
      <c r="A69" s="97" t="s">
        <v>184</v>
      </c>
    </row>
    <row r="70" s="101" customFormat="1" ht="15.75">
      <c r="A70" s="97" t="s">
        <v>185</v>
      </c>
    </row>
    <row r="71" s="101" customFormat="1" ht="15.75">
      <c r="A71" s="97" t="s">
        <v>186</v>
      </c>
    </row>
    <row r="72" s="101" customFormat="1" ht="15"/>
    <row r="73" s="101" customFormat="1" ht="16.5">
      <c r="A73" s="96" t="s">
        <v>187</v>
      </c>
    </row>
    <row r="74" s="101" customFormat="1" ht="15.75">
      <c r="A74" s="97" t="s">
        <v>188</v>
      </c>
    </row>
    <row r="75" s="101" customFormat="1" ht="15.75">
      <c r="A75" s="97" t="s">
        <v>189</v>
      </c>
    </row>
    <row r="76" s="101" customFormat="1" ht="15.75">
      <c r="A76" s="97" t="s">
        <v>190</v>
      </c>
    </row>
    <row r="77" s="101" customFormat="1" ht="15.75">
      <c r="A77" s="97" t="s">
        <v>191</v>
      </c>
    </row>
    <row r="78" s="101" customFormat="1" ht="15.75">
      <c r="A78" s="97" t="s">
        <v>192</v>
      </c>
    </row>
    <row r="79" s="101" customFormat="1" ht="15.75">
      <c r="A79" s="100" t="s">
        <v>193</v>
      </c>
    </row>
    <row r="80" s="101" customFormat="1" ht="15"/>
    <row r="81" s="101" customFormat="1" ht="16.5">
      <c r="A81" s="96" t="s">
        <v>194</v>
      </c>
    </row>
    <row r="82" s="101" customFormat="1" ht="15.75">
      <c r="A82" s="97" t="s">
        <v>195</v>
      </c>
    </row>
    <row r="83" s="101" customFormat="1" ht="15.75">
      <c r="A83" s="97" t="s">
        <v>196</v>
      </c>
    </row>
    <row r="84" s="101" customFormat="1" ht="15.75">
      <c r="A84" s="97" t="s">
        <v>197</v>
      </c>
    </row>
    <row r="85" s="101" customFormat="1" ht="15.75">
      <c r="A85" s="97" t="s">
        <v>198</v>
      </c>
    </row>
    <row r="86" s="101" customFormat="1" ht="15.75">
      <c r="A86" s="97" t="s">
        <v>199</v>
      </c>
    </row>
    <row r="87" s="101" customFormat="1" ht="15.75">
      <c r="A87" s="97" t="s">
        <v>200</v>
      </c>
    </row>
    <row r="88" s="101" customFormat="1" ht="15"/>
    <row r="89" s="101" customFormat="1" ht="16.5">
      <c r="A89" s="96" t="s">
        <v>201</v>
      </c>
    </row>
    <row r="90" s="101" customFormat="1" ht="15.75">
      <c r="A90" s="97" t="s">
        <v>188</v>
      </c>
    </row>
    <row r="91" s="101" customFormat="1" ht="15.75">
      <c r="A91" s="97" t="s">
        <v>202</v>
      </c>
    </row>
    <row r="92" s="101" customFormat="1" ht="15.75">
      <c r="A92" s="97" t="s">
        <v>190</v>
      </c>
    </row>
    <row r="93" s="101" customFormat="1" ht="15.75">
      <c r="A93" s="97" t="s">
        <v>203</v>
      </c>
    </row>
    <row r="94" s="101" customFormat="1" ht="15.75">
      <c r="A94" s="97" t="s">
        <v>204</v>
      </c>
    </row>
    <row r="95" s="101" customFormat="1" ht="15.75">
      <c r="A95" s="97" t="s">
        <v>205</v>
      </c>
    </row>
    <row r="96" s="101" customFormat="1" ht="15">
      <c r="E96" s="878">
        <v>8</v>
      </c>
    </row>
    <row r="97" s="101" customFormat="1" ht="15"/>
    <row r="98" s="101" customFormat="1" ht="15"/>
    <row r="99" s="101" customFormat="1" ht="15"/>
    <row r="100" s="101" customFormat="1" ht="15"/>
    <row r="101" s="101" customFormat="1" ht="16.5">
      <c r="A101" s="96" t="s">
        <v>194</v>
      </c>
    </row>
    <row r="102" s="101" customFormat="1" ht="15.75">
      <c r="A102" s="97" t="s">
        <v>206</v>
      </c>
    </row>
    <row r="103" s="101" customFormat="1" ht="15.75">
      <c r="A103" s="97" t="s">
        <v>207</v>
      </c>
    </row>
    <row r="104" s="101" customFormat="1" ht="15.75">
      <c r="A104" s="97" t="s">
        <v>208</v>
      </c>
    </row>
    <row r="105" s="101" customFormat="1" ht="15.75">
      <c r="A105" s="100" t="s">
        <v>209</v>
      </c>
    </row>
    <row r="106" s="101" customFormat="1" ht="15"/>
    <row r="107" s="101" customFormat="1" ht="16.5">
      <c r="A107" s="96" t="s">
        <v>210</v>
      </c>
    </row>
    <row r="108" s="101" customFormat="1" ht="15.75">
      <c r="A108" s="97" t="s">
        <v>188</v>
      </c>
    </row>
    <row r="109" s="101" customFormat="1" ht="15.75">
      <c r="A109" s="97" t="s">
        <v>211</v>
      </c>
    </row>
    <row r="110" s="101" customFormat="1" ht="15.75">
      <c r="A110" s="97" t="s">
        <v>212</v>
      </c>
    </row>
    <row r="111" s="101" customFormat="1" ht="15.75">
      <c r="A111" s="97" t="s">
        <v>213</v>
      </c>
    </row>
    <row r="112" s="101" customFormat="1" ht="15.75">
      <c r="A112" s="100" t="s">
        <v>214</v>
      </c>
    </row>
    <row r="113" s="101" customFormat="1" ht="15"/>
    <row r="114" s="101" customFormat="1" ht="16.5">
      <c r="A114" s="96" t="s">
        <v>194</v>
      </c>
    </row>
    <row r="115" s="101" customFormat="1" ht="15.75">
      <c r="A115" s="97" t="s">
        <v>206</v>
      </c>
    </row>
    <row r="116" s="101" customFormat="1" ht="15.75">
      <c r="A116" s="97" t="s">
        <v>215</v>
      </c>
    </row>
    <row r="117" s="101" customFormat="1" ht="15.75">
      <c r="A117" s="97" t="s">
        <v>216</v>
      </c>
    </row>
    <row r="118" s="101" customFormat="1" ht="15.75">
      <c r="A118" s="97" t="s">
        <v>217</v>
      </c>
    </row>
    <row r="119" s="101" customFormat="1" ht="15.75">
      <c r="A119" s="100" t="s">
        <v>218</v>
      </c>
    </row>
    <row r="120" s="101" customFormat="1" ht="15"/>
    <row r="121" s="101" customFormat="1" ht="16.5">
      <c r="A121" s="96" t="s">
        <v>219</v>
      </c>
    </row>
    <row r="122" s="101" customFormat="1" ht="15.75">
      <c r="A122" s="97" t="s">
        <v>188</v>
      </c>
    </row>
    <row r="123" s="101" customFormat="1" ht="15.75">
      <c r="A123" s="97" t="s">
        <v>220</v>
      </c>
    </row>
    <row r="124" s="101" customFormat="1" ht="15.75">
      <c r="A124" s="97" t="s">
        <v>221</v>
      </c>
    </row>
    <row r="125" s="101" customFormat="1" ht="15.75">
      <c r="A125" s="97" t="s">
        <v>222</v>
      </c>
    </row>
    <row r="126" s="101" customFormat="1" ht="15.75">
      <c r="A126" s="97" t="s">
        <v>223</v>
      </c>
    </row>
    <row r="127" s="101" customFormat="1" ht="15.75">
      <c r="A127" s="100" t="s">
        <v>224</v>
      </c>
    </row>
    <row r="128" s="101" customFormat="1" ht="15"/>
    <row r="129" s="101" customFormat="1" ht="16.5">
      <c r="A129" s="96" t="s">
        <v>194</v>
      </c>
    </row>
    <row r="130" s="101" customFormat="1" ht="15.75">
      <c r="A130" s="97" t="s">
        <v>206</v>
      </c>
    </row>
    <row r="131" s="101" customFormat="1" ht="15.75">
      <c r="A131" s="97" t="s">
        <v>225</v>
      </c>
    </row>
    <row r="132" s="101" customFormat="1" ht="15.75">
      <c r="A132" s="97" t="s">
        <v>226</v>
      </c>
    </row>
    <row r="133" s="101" customFormat="1" ht="15.75">
      <c r="A133" s="97" t="s">
        <v>227</v>
      </c>
    </row>
    <row r="134" s="101" customFormat="1" ht="15.75">
      <c r="A134" s="100" t="s">
        <v>228</v>
      </c>
    </row>
    <row r="135" s="101" customFormat="1" ht="15"/>
    <row r="136" s="101" customFormat="1" ht="16.5">
      <c r="A136" s="96" t="s">
        <v>229</v>
      </c>
    </row>
    <row r="137" s="101" customFormat="1" ht="15.75">
      <c r="A137" s="97" t="s">
        <v>230</v>
      </c>
    </row>
    <row r="138" s="101" customFormat="1" ht="15.75">
      <c r="A138" s="97" t="s">
        <v>231</v>
      </c>
    </row>
    <row r="139" s="101" customFormat="1" ht="15.75">
      <c r="A139" s="97" t="s">
        <v>232</v>
      </c>
    </row>
    <row r="140" s="101" customFormat="1" ht="15.75">
      <c r="A140" s="97" t="s">
        <v>233</v>
      </c>
    </row>
    <row r="141" s="101" customFormat="1" ht="15.75">
      <c r="A141" s="97" t="s">
        <v>234</v>
      </c>
    </row>
    <row r="142" s="101" customFormat="1" ht="15.75">
      <c r="A142" s="97" t="s">
        <v>235</v>
      </c>
    </row>
    <row r="143" s="101" customFormat="1" ht="15.75">
      <c r="A143" s="97" t="s">
        <v>236</v>
      </c>
    </row>
    <row r="144" s="101" customFormat="1" ht="15.75">
      <c r="A144" s="100" t="s">
        <v>237</v>
      </c>
    </row>
    <row r="145" s="101" customFormat="1" ht="15">
      <c r="E145" s="878">
        <v>9</v>
      </c>
    </row>
    <row r="146" s="101" customFormat="1" ht="15"/>
    <row r="147" s="101" customFormat="1" ht="15"/>
    <row r="148" s="101" customFormat="1" ht="15"/>
    <row r="149" s="101" customFormat="1" ht="15"/>
    <row r="150" s="101" customFormat="1" ht="15"/>
    <row r="151" s="101" customFormat="1" ht="15"/>
    <row r="152" s="101" customFormat="1" ht="16.5">
      <c r="A152" s="96" t="s">
        <v>238</v>
      </c>
    </row>
    <row r="153" s="101" customFormat="1" ht="15.75">
      <c r="A153" s="97" t="s">
        <v>239</v>
      </c>
    </row>
    <row r="154" s="101" customFormat="1" ht="15.75">
      <c r="A154" s="97" t="s">
        <v>240</v>
      </c>
    </row>
    <row r="155" s="101" customFormat="1" ht="15.75">
      <c r="A155" s="97" t="s">
        <v>241</v>
      </c>
    </row>
    <row r="156" s="101" customFormat="1" ht="15.75">
      <c r="A156" s="97" t="s">
        <v>242</v>
      </c>
    </row>
    <row r="157" s="101" customFormat="1" ht="15.75">
      <c r="A157" s="97" t="s">
        <v>243</v>
      </c>
    </row>
    <row r="158" s="101" customFormat="1" ht="15.75">
      <c r="A158" s="97" t="s">
        <v>244</v>
      </c>
    </row>
    <row r="159" s="101" customFormat="1" ht="15.75">
      <c r="A159" s="97" t="s">
        <v>245</v>
      </c>
    </row>
    <row r="160" s="101" customFormat="1" ht="15"/>
    <row r="161" s="101" customFormat="1" ht="16.5">
      <c r="A161" s="96" t="s">
        <v>194</v>
      </c>
    </row>
    <row r="162" s="101" customFormat="1" ht="15.75">
      <c r="A162" s="97" t="s">
        <v>206</v>
      </c>
    </row>
    <row r="163" s="101" customFormat="1" ht="15.75">
      <c r="A163" s="97" t="s">
        <v>246</v>
      </c>
    </row>
    <row r="164" s="101" customFormat="1" ht="15.75">
      <c r="A164" s="97" t="s">
        <v>226</v>
      </c>
    </row>
    <row r="165" s="101" customFormat="1" ht="15.75">
      <c r="A165" s="97" t="s">
        <v>247</v>
      </c>
    </row>
    <row r="166" s="101" customFormat="1" ht="15.75">
      <c r="A166" s="100" t="s">
        <v>248</v>
      </c>
    </row>
    <row r="167" s="101" customFormat="1" ht="15"/>
    <row r="168" s="101" customFormat="1" ht="16.5">
      <c r="A168" s="96" t="s">
        <v>1049</v>
      </c>
    </row>
    <row r="169" s="101" customFormat="1" ht="15.75">
      <c r="A169" s="97" t="s">
        <v>239</v>
      </c>
    </row>
    <row r="170" s="101" customFormat="1" ht="15.75">
      <c r="A170" s="97" t="s">
        <v>1050</v>
      </c>
    </row>
    <row r="171" s="101" customFormat="1" ht="15.75">
      <c r="A171" s="97" t="s">
        <v>1051</v>
      </c>
    </row>
    <row r="172" s="101" customFormat="1" ht="15.75">
      <c r="A172" s="97" t="s">
        <v>242</v>
      </c>
    </row>
    <row r="173" s="101" customFormat="1" ht="15.75">
      <c r="A173" s="97" t="s">
        <v>1052</v>
      </c>
    </row>
    <row r="174" s="101" customFormat="1" ht="15.75">
      <c r="A174" s="97" t="s">
        <v>1053</v>
      </c>
    </row>
    <row r="175" s="101" customFormat="1" ht="15.75">
      <c r="A175" s="97" t="s">
        <v>1054</v>
      </c>
    </row>
    <row r="176" s="101" customFormat="1" ht="15.75">
      <c r="A176" s="97" t="s">
        <v>1110</v>
      </c>
    </row>
    <row r="177" s="101" customFormat="1" ht="15.75">
      <c r="A177" s="97" t="s">
        <v>1111</v>
      </c>
    </row>
    <row r="178" s="101" customFormat="1" ht="15.75">
      <c r="A178" s="97" t="s">
        <v>1112</v>
      </c>
    </row>
    <row r="179" s="101" customFormat="1" ht="15.75">
      <c r="A179" s="100" t="s">
        <v>1113</v>
      </c>
    </row>
    <row r="180" s="101" customFormat="1" ht="15.75">
      <c r="A180" s="100"/>
    </row>
    <row r="181" s="101" customFormat="1" ht="15.75">
      <c r="A181" s="97" t="s">
        <v>249</v>
      </c>
    </row>
    <row r="182" s="101" customFormat="1" ht="15.75">
      <c r="A182" s="97" t="s">
        <v>250</v>
      </c>
    </row>
    <row r="183" s="101" customFormat="1" ht="15.75">
      <c r="A183" s="97" t="s">
        <v>251</v>
      </c>
    </row>
    <row r="184" s="101" customFormat="1" ht="15.75">
      <c r="A184" s="97" t="s">
        <v>252</v>
      </c>
    </row>
    <row r="185" s="101" customFormat="1" ht="15.75">
      <c r="A185" s="97" t="s">
        <v>253</v>
      </c>
    </row>
    <row r="186" s="101" customFormat="1" ht="15.75">
      <c r="A186" s="97" t="s">
        <v>254</v>
      </c>
    </row>
    <row r="187" s="101" customFormat="1" ht="15.75">
      <c r="A187" s="97" t="s">
        <v>255</v>
      </c>
    </row>
    <row r="188" s="101" customFormat="1" ht="15.75">
      <c r="A188" s="97" t="s">
        <v>256</v>
      </c>
    </row>
    <row r="189" s="101" customFormat="1" ht="15.75">
      <c r="A189" s="97" t="s">
        <v>257</v>
      </c>
    </row>
    <row r="190" s="101" customFormat="1" ht="15.75">
      <c r="A190" s="97" t="s">
        <v>258</v>
      </c>
    </row>
    <row r="191" s="101" customFormat="1" ht="15.75">
      <c r="A191" s="97" t="s">
        <v>259</v>
      </c>
    </row>
    <row r="192" s="101" customFormat="1" ht="15.75">
      <c r="A192" s="97" t="s">
        <v>260</v>
      </c>
    </row>
    <row r="193" s="101" customFormat="1" ht="15.75">
      <c r="A193" s="100" t="s">
        <v>261</v>
      </c>
    </row>
    <row r="194" s="101" customFormat="1" ht="15">
      <c r="E194" s="878">
        <v>10</v>
      </c>
    </row>
    <row r="195" s="101" customFormat="1" ht="15"/>
    <row r="196" s="101" customFormat="1" ht="15"/>
    <row r="197" s="101" customFormat="1" ht="15"/>
    <row r="198" s="101" customFormat="1" ht="26.25" customHeight="1"/>
    <row r="199" s="101" customFormat="1" ht="21.75" customHeight="1"/>
    <row r="200" s="101" customFormat="1" ht="15.75">
      <c r="A200" s="97" t="s">
        <v>262</v>
      </c>
    </row>
    <row r="201" s="101" customFormat="1" ht="13.5" customHeight="1">
      <c r="A201" s="97" t="s">
        <v>263</v>
      </c>
    </row>
    <row r="202" s="101" customFormat="1" ht="14.25" customHeight="1">
      <c r="A202" s="97" t="s">
        <v>264</v>
      </c>
    </row>
    <row r="203" s="101" customFormat="1" ht="15.75">
      <c r="A203" s="97" t="s">
        <v>265</v>
      </c>
    </row>
    <row r="204" s="101" customFormat="1" ht="15.75">
      <c r="A204" s="97" t="s">
        <v>266</v>
      </c>
    </row>
    <row r="205" s="101" customFormat="1" ht="15.75">
      <c r="A205" s="97" t="s">
        <v>267</v>
      </c>
    </row>
    <row r="206" s="101" customFormat="1" ht="15.75">
      <c r="A206" s="97" t="s">
        <v>268</v>
      </c>
    </row>
    <row r="207" s="101" customFormat="1" ht="15.75">
      <c r="A207" s="97" t="s">
        <v>269</v>
      </c>
    </row>
    <row r="208" s="101" customFormat="1" ht="15.75">
      <c r="A208" s="100" t="s">
        <v>270</v>
      </c>
    </row>
    <row r="209" s="101" customFormat="1" ht="6.75" customHeight="1"/>
    <row r="210" s="101" customFormat="1" ht="15.75">
      <c r="A210" s="97" t="s">
        <v>1016</v>
      </c>
    </row>
    <row r="211" s="101" customFormat="1" ht="15.75">
      <c r="A211" s="97" t="s">
        <v>1017</v>
      </c>
    </row>
    <row r="212" s="101" customFormat="1" ht="15.75">
      <c r="A212" s="97" t="s">
        <v>1018</v>
      </c>
    </row>
    <row r="213" s="101" customFormat="1" ht="15.75">
      <c r="A213" s="97" t="s">
        <v>1039</v>
      </c>
    </row>
    <row r="214" s="101" customFormat="1" ht="15.75">
      <c r="A214" s="100"/>
    </row>
    <row r="215" s="101" customFormat="1" ht="15.75">
      <c r="A215" s="97" t="s">
        <v>271</v>
      </c>
    </row>
    <row r="216" s="101" customFormat="1" ht="15.75">
      <c r="A216" s="97" t="s">
        <v>272</v>
      </c>
    </row>
    <row r="217" s="101" customFormat="1" ht="15.75">
      <c r="A217" s="97" t="s">
        <v>273</v>
      </c>
    </row>
    <row r="218" s="101" customFormat="1" ht="15.75">
      <c r="A218" s="97" t="s">
        <v>274</v>
      </c>
    </row>
    <row r="219" s="101" customFormat="1" ht="15.75">
      <c r="A219" s="100" t="s">
        <v>275</v>
      </c>
    </row>
    <row r="220" s="101" customFormat="1" ht="15"/>
    <row r="221" s="101" customFormat="1" ht="15.75">
      <c r="A221" s="97" t="s">
        <v>276</v>
      </c>
    </row>
    <row r="222" ht="15.75">
      <c r="A222" s="97" t="s">
        <v>277</v>
      </c>
    </row>
    <row r="223" ht="15.75">
      <c r="A223" s="97" t="s">
        <v>278</v>
      </c>
    </row>
    <row r="224" ht="15.75">
      <c r="A224" s="97" t="s">
        <v>279</v>
      </c>
    </row>
    <row r="225" ht="15.75">
      <c r="A225" s="97" t="s">
        <v>280</v>
      </c>
    </row>
    <row r="226" ht="15.75">
      <c r="A226" s="97"/>
    </row>
    <row r="227" ht="18.75">
      <c r="A227" s="102" t="s">
        <v>1094</v>
      </c>
    </row>
    <row r="228" ht="15.75">
      <c r="A228" s="97" t="s">
        <v>281</v>
      </c>
    </row>
    <row r="229" ht="15.75">
      <c r="A229" s="97" t="s">
        <v>282</v>
      </c>
    </row>
    <row r="230" ht="15.75">
      <c r="A230" s="97" t="s">
        <v>283</v>
      </c>
    </row>
    <row r="231" ht="15.75">
      <c r="A231" s="97"/>
    </row>
    <row r="232" ht="18.75">
      <c r="A232" s="102" t="s">
        <v>284</v>
      </c>
    </row>
    <row r="233" ht="15.75">
      <c r="A233" s="97" t="s">
        <v>285</v>
      </c>
    </row>
    <row r="234" ht="15.75">
      <c r="A234" s="100" t="s">
        <v>286</v>
      </c>
    </row>
    <row r="235" ht="15.75">
      <c r="A235" s="97"/>
    </row>
    <row r="236" ht="18.75">
      <c r="A236" s="102" t="s">
        <v>1095</v>
      </c>
    </row>
    <row r="237" ht="15.75">
      <c r="A237" s="97" t="s">
        <v>287</v>
      </c>
    </row>
    <row r="238" ht="15.75">
      <c r="A238" s="97" t="s">
        <v>288</v>
      </c>
    </row>
    <row r="239" ht="15.75">
      <c r="A239" s="97" t="s">
        <v>289</v>
      </c>
    </row>
    <row r="240" ht="15.75">
      <c r="A240" s="97" t="s">
        <v>290</v>
      </c>
    </row>
    <row r="241" ht="15.75">
      <c r="A241" s="97" t="s">
        <v>291</v>
      </c>
    </row>
    <row r="242" ht="15.75">
      <c r="A242" s="97" t="s">
        <v>292</v>
      </c>
    </row>
    <row r="243" ht="15.75">
      <c r="A243" s="97" t="s">
        <v>293</v>
      </c>
    </row>
    <row r="244" ht="15.75">
      <c r="A244" s="100" t="s">
        <v>1133</v>
      </c>
    </row>
    <row r="245" spans="1:5" ht="15.75">
      <c r="A245" s="97"/>
      <c r="E245" s="878">
        <v>11</v>
      </c>
    </row>
    <row r="246" ht="15.75">
      <c r="A246" s="97"/>
    </row>
    <row r="247" ht="15.75">
      <c r="A247" s="97"/>
    </row>
    <row r="248" ht="15.75">
      <c r="A248" s="97"/>
    </row>
    <row r="249" ht="15.75">
      <c r="A249" s="97"/>
    </row>
    <row r="250" ht="24.75" customHeight="1">
      <c r="A250" s="102" t="s">
        <v>1096</v>
      </c>
    </row>
    <row r="251" ht="15.75">
      <c r="A251" s="97" t="s">
        <v>294</v>
      </c>
    </row>
    <row r="252" ht="15.75">
      <c r="A252" s="100" t="s">
        <v>295</v>
      </c>
    </row>
    <row r="253" ht="15.75">
      <c r="A253" s="97" t="s">
        <v>1107</v>
      </c>
    </row>
    <row r="254" ht="15.75">
      <c r="A254" s="97" t="s">
        <v>1108</v>
      </c>
    </row>
    <row r="255" ht="15.75">
      <c r="A255" s="100" t="s">
        <v>1109</v>
      </c>
    </row>
    <row r="256" ht="15.75">
      <c r="A256" s="97" t="s">
        <v>296</v>
      </c>
    </row>
    <row r="257" ht="15.75">
      <c r="A257" s="97" t="s">
        <v>297</v>
      </c>
    </row>
    <row r="258" ht="15.75">
      <c r="A258" s="97" t="s">
        <v>298</v>
      </c>
    </row>
    <row r="259" ht="15.75">
      <c r="A259" s="100" t="s">
        <v>299</v>
      </c>
    </row>
    <row r="260" ht="15.75">
      <c r="A260" s="97"/>
    </row>
    <row r="261" spans="1:2" ht="18.75">
      <c r="A261" s="103" t="s">
        <v>1026</v>
      </c>
      <c r="B261" s="102"/>
    </row>
    <row r="262" ht="15.75">
      <c r="A262" s="97" t="s">
        <v>300</v>
      </c>
    </row>
    <row r="263" ht="15.75">
      <c r="A263" s="100" t="s">
        <v>301</v>
      </c>
    </row>
    <row r="264" spans="1:2" ht="18.75">
      <c r="A264" s="97"/>
      <c r="B264" s="102"/>
    </row>
    <row r="265" spans="1:2" ht="18.75">
      <c r="A265" s="102" t="s">
        <v>1027</v>
      </c>
      <c r="B265" s="95"/>
    </row>
    <row r="266" ht="15.75">
      <c r="A266" s="97" t="s">
        <v>1129</v>
      </c>
    </row>
    <row r="267" ht="15.75">
      <c r="A267" s="97" t="s">
        <v>1130</v>
      </c>
    </row>
    <row r="268" ht="15.75">
      <c r="A268" s="100" t="s">
        <v>302</v>
      </c>
    </row>
    <row r="269" ht="15.75">
      <c r="A269" s="97" t="s">
        <v>303</v>
      </c>
    </row>
    <row r="270" ht="15.75">
      <c r="A270" s="97" t="s">
        <v>304</v>
      </c>
    </row>
    <row r="271" ht="15.75">
      <c r="A271" s="97" t="s">
        <v>1131</v>
      </c>
    </row>
    <row r="272" ht="15.75">
      <c r="A272" s="97" t="s">
        <v>305</v>
      </c>
    </row>
    <row r="273" ht="15.75">
      <c r="A273" s="97" t="s">
        <v>306</v>
      </c>
    </row>
    <row r="274" ht="15.75">
      <c r="A274" s="97" t="s">
        <v>307</v>
      </c>
    </row>
    <row r="275" ht="15.75">
      <c r="A275" s="97" t="s">
        <v>308</v>
      </c>
    </row>
    <row r="276" ht="15.75">
      <c r="A276" s="100" t="s">
        <v>309</v>
      </c>
    </row>
    <row r="277" ht="15.75">
      <c r="A277" s="97" t="s">
        <v>1132</v>
      </c>
    </row>
    <row r="278" ht="15.75">
      <c r="A278" s="97"/>
    </row>
    <row r="279" ht="15.75">
      <c r="A279" s="97"/>
    </row>
    <row r="280" spans="1:2" ht="18.75">
      <c r="A280" s="102" t="s">
        <v>1028</v>
      </c>
      <c r="B280" s="95"/>
    </row>
    <row r="281" ht="15.75">
      <c r="A281" s="97" t="s">
        <v>310</v>
      </c>
    </row>
    <row r="282" ht="15.75">
      <c r="A282" s="97" t="s">
        <v>311</v>
      </c>
    </row>
    <row r="283" ht="15.75">
      <c r="A283" s="100" t="s">
        <v>312</v>
      </c>
    </row>
    <row r="284" ht="15.75">
      <c r="A284" s="97"/>
    </row>
    <row r="285" spans="1:2" ht="18.75">
      <c r="A285" s="102" t="s">
        <v>1029</v>
      </c>
      <c r="B285" s="95"/>
    </row>
    <row r="286" ht="15.75">
      <c r="A286" s="97" t="s">
        <v>313</v>
      </c>
    </row>
    <row r="287" ht="15.75">
      <c r="A287" s="97" t="s">
        <v>314</v>
      </c>
    </row>
    <row r="288" ht="15.75">
      <c r="A288" s="100" t="s">
        <v>315</v>
      </c>
    </row>
    <row r="289" ht="15.75">
      <c r="A289" s="97" t="s">
        <v>316</v>
      </c>
    </row>
    <row r="290" ht="15.75">
      <c r="A290" s="97" t="s">
        <v>317</v>
      </c>
    </row>
    <row r="291" ht="15.75">
      <c r="A291" s="97" t="s">
        <v>318</v>
      </c>
    </row>
    <row r="292" ht="15.75">
      <c r="A292" s="97"/>
    </row>
    <row r="293" spans="1:5" ht="15.75">
      <c r="A293" s="97"/>
      <c r="E293" s="878">
        <v>12</v>
      </c>
    </row>
    <row r="294" ht="15.75">
      <c r="A294" s="97"/>
    </row>
    <row r="295" ht="24" customHeight="1" thickBot="1">
      <c r="A295" s="97"/>
    </row>
    <row r="296" spans="1:4" ht="30.75" thickBot="1">
      <c r="A296" s="97"/>
      <c r="B296" s="104" t="s">
        <v>319</v>
      </c>
      <c r="C296" s="105" t="s">
        <v>320</v>
      </c>
      <c r="D296" s="106" t="s">
        <v>321</v>
      </c>
    </row>
    <row r="297" spans="1:4" ht="16.5" thickBot="1">
      <c r="A297" s="97"/>
      <c r="B297" s="107" t="s">
        <v>19</v>
      </c>
      <c r="C297" s="108" t="s">
        <v>322</v>
      </c>
      <c r="D297" s="109">
        <v>0.15</v>
      </c>
    </row>
    <row r="298" spans="1:4" ht="16.5" thickBot="1">
      <c r="A298" s="97"/>
      <c r="B298" s="107" t="s">
        <v>323</v>
      </c>
      <c r="C298" s="108" t="s">
        <v>324</v>
      </c>
      <c r="D298" s="109">
        <v>0.5</v>
      </c>
    </row>
    <row r="299" spans="1:4" ht="16.5" thickBot="1">
      <c r="A299" s="97"/>
      <c r="B299" s="107" t="s">
        <v>325</v>
      </c>
      <c r="C299" s="108" t="s">
        <v>324</v>
      </c>
      <c r="D299" s="109">
        <v>0.5</v>
      </c>
    </row>
    <row r="300" ht="7.5" customHeight="1">
      <c r="A300" s="97"/>
    </row>
    <row r="301" ht="18.75">
      <c r="A301" s="102" t="s">
        <v>327</v>
      </c>
    </row>
    <row r="302" ht="15.75">
      <c r="A302" s="100" t="s">
        <v>326</v>
      </c>
    </row>
    <row r="303" spans="2:5" s="112" customFormat="1" ht="10.5" customHeight="1">
      <c r="B303" s="5"/>
      <c r="C303" s="50">
        <v>2020</v>
      </c>
      <c r="D303" s="50">
        <v>2019</v>
      </c>
      <c r="E303" s="123"/>
    </row>
    <row r="304" spans="2:5" s="112" customFormat="1" ht="15">
      <c r="B304" s="29" t="s">
        <v>0</v>
      </c>
      <c r="C304" s="1">
        <v>20000000</v>
      </c>
      <c r="D304" s="1">
        <v>20000000</v>
      </c>
      <c r="E304" s="10"/>
    </row>
    <row r="305" spans="2:5" s="112" customFormat="1" ht="15">
      <c r="B305" s="29" t="s">
        <v>1</v>
      </c>
      <c r="C305" s="1">
        <v>18500000</v>
      </c>
      <c r="D305" s="1">
        <v>14500000</v>
      </c>
      <c r="E305" s="10"/>
    </row>
    <row r="306" spans="2:5" s="112" customFormat="1" ht="15">
      <c r="B306" s="29" t="s">
        <v>2</v>
      </c>
      <c r="C306" s="1">
        <v>0</v>
      </c>
      <c r="D306" s="1">
        <v>300000</v>
      </c>
      <c r="E306" s="10"/>
    </row>
    <row r="307" spans="2:5" s="112" customFormat="1" ht="15">
      <c r="B307" s="29" t="s">
        <v>3</v>
      </c>
      <c r="C307" s="1">
        <v>500000</v>
      </c>
      <c r="D307" s="1">
        <v>500000</v>
      </c>
      <c r="E307" s="10"/>
    </row>
    <row r="308" spans="2:5" s="112" customFormat="1" ht="15">
      <c r="B308" s="29" t="s">
        <v>1030</v>
      </c>
      <c r="C308" s="1">
        <v>500000</v>
      </c>
      <c r="D308" s="1">
        <v>500000</v>
      </c>
      <c r="E308" s="10"/>
    </row>
    <row r="309" spans="2:5" s="112" customFormat="1" ht="15">
      <c r="B309" s="29" t="s">
        <v>328</v>
      </c>
      <c r="C309" s="1">
        <v>600000</v>
      </c>
      <c r="D309" s="1">
        <v>600000</v>
      </c>
      <c r="E309" s="10"/>
    </row>
    <row r="310" spans="2:5" s="113" customFormat="1" ht="15.75" thickBot="1">
      <c r="B310" s="29" t="s">
        <v>329</v>
      </c>
      <c r="C310" s="41">
        <f>25300000+23432664+20971650</f>
        <v>69704314</v>
      </c>
      <c r="D310" s="41">
        <v>45600000</v>
      </c>
      <c r="E310" s="86"/>
    </row>
    <row r="311" spans="2:5" s="112" customFormat="1" ht="15.75" thickBot="1">
      <c r="B311" s="42" t="s">
        <v>4</v>
      </c>
      <c r="C311" s="45">
        <f>SUM(C304:C310)</f>
        <v>109804314</v>
      </c>
      <c r="D311" s="45">
        <v>82000000</v>
      </c>
      <c r="E311" s="11"/>
    </row>
    <row r="312" spans="2:5" s="112" customFormat="1" ht="6.75" customHeight="1">
      <c r="B312" s="29"/>
      <c r="C312" s="44"/>
      <c r="D312" s="117"/>
      <c r="E312" s="905"/>
    </row>
    <row r="313" spans="2:5" s="112" customFormat="1" ht="15">
      <c r="B313" s="29" t="s">
        <v>330</v>
      </c>
      <c r="C313" s="46">
        <v>406859222</v>
      </c>
      <c r="D313" s="46">
        <v>519475715</v>
      </c>
      <c r="E313" s="905"/>
    </row>
    <row r="314" spans="2:5" s="112" customFormat="1" ht="15">
      <c r="B314" s="29" t="s">
        <v>5</v>
      </c>
      <c r="C314" s="46">
        <v>6202706</v>
      </c>
      <c r="D314" s="1">
        <v>6312706</v>
      </c>
      <c r="E314" s="10"/>
    </row>
    <row r="315" spans="2:5" s="112" customFormat="1" ht="15">
      <c r="B315" s="29" t="s">
        <v>1074</v>
      </c>
      <c r="C315" s="46">
        <v>2720765433</v>
      </c>
      <c r="D315" s="85">
        <v>3357636499</v>
      </c>
      <c r="E315" s="10"/>
    </row>
    <row r="316" spans="2:5" s="112" customFormat="1" ht="15">
      <c r="B316" s="29" t="s">
        <v>331</v>
      </c>
      <c r="C316" s="46">
        <v>252358218</v>
      </c>
      <c r="D316" s="1">
        <v>942907326</v>
      </c>
      <c r="E316" s="10"/>
    </row>
    <row r="317" spans="2:5" s="112" customFormat="1" ht="15">
      <c r="B317" s="29" t="s">
        <v>6</v>
      </c>
      <c r="C317" s="46">
        <v>50678374</v>
      </c>
      <c r="D317" s="1">
        <v>10588285</v>
      </c>
      <c r="E317" s="10"/>
    </row>
    <row r="318" spans="2:5" s="112" customFormat="1" ht="15">
      <c r="B318" s="29" t="s">
        <v>7</v>
      </c>
      <c r="C318" s="46">
        <v>11024947285</v>
      </c>
      <c r="D318" s="1">
        <v>47372127</v>
      </c>
      <c r="E318" s="10"/>
    </row>
    <row r="319" spans="2:5" s="112" customFormat="1" ht="15">
      <c r="B319" s="29" t="s">
        <v>1055</v>
      </c>
      <c r="C319" s="46">
        <v>317160498</v>
      </c>
      <c r="D319" s="1">
        <v>504891193</v>
      </c>
      <c r="E319" s="10"/>
    </row>
    <row r="320" spans="2:5" s="112" customFormat="1" ht="15">
      <c r="B320" s="29" t="s">
        <v>10</v>
      </c>
      <c r="C320" s="46">
        <v>9050640</v>
      </c>
      <c r="D320" s="1">
        <v>9215640</v>
      </c>
      <c r="E320" s="10"/>
    </row>
    <row r="321" spans="2:5" s="112" customFormat="1" ht="15">
      <c r="B321" s="29" t="s">
        <v>1073</v>
      </c>
      <c r="C321" s="46">
        <v>2007843</v>
      </c>
      <c r="D321" s="1">
        <v>2219547</v>
      </c>
      <c r="E321" s="10"/>
    </row>
    <row r="322" spans="2:5" s="112" customFormat="1" ht="15">
      <c r="B322" s="29" t="s">
        <v>332</v>
      </c>
      <c r="C322" s="46">
        <v>842398551</v>
      </c>
      <c r="D322" s="46">
        <v>2777828568</v>
      </c>
      <c r="E322" s="10"/>
    </row>
    <row r="323" spans="2:5" s="112" customFormat="1" ht="15">
      <c r="B323" s="29" t="s">
        <v>333</v>
      </c>
      <c r="C323" s="46">
        <v>216436658</v>
      </c>
      <c r="D323" s="1">
        <v>177615103</v>
      </c>
      <c r="E323" s="10"/>
    </row>
    <row r="324" spans="2:5" s="112" customFormat="1" ht="15">
      <c r="B324" s="29" t="s">
        <v>1056</v>
      </c>
      <c r="C324" s="46">
        <v>19165724</v>
      </c>
      <c r="D324" s="1">
        <v>391978377</v>
      </c>
      <c r="E324" s="10"/>
    </row>
    <row r="325" spans="2:5" s="112" customFormat="1" ht="15">
      <c r="B325" s="29" t="s">
        <v>1075</v>
      </c>
      <c r="C325" s="46">
        <v>4000000</v>
      </c>
      <c r="D325" s="1">
        <v>980308603</v>
      </c>
      <c r="E325" s="790"/>
    </row>
    <row r="326" spans="2:5" s="112" customFormat="1" ht="15">
      <c r="B326" s="29" t="s">
        <v>8</v>
      </c>
      <c r="C326" s="46">
        <v>117892834</v>
      </c>
      <c r="D326" s="1">
        <v>24415464</v>
      </c>
      <c r="E326" s="10"/>
    </row>
    <row r="327" spans="2:5" s="112" customFormat="1" ht="15">
      <c r="B327" s="29" t="s">
        <v>11</v>
      </c>
      <c r="C327" s="46">
        <v>6629637</v>
      </c>
      <c r="D327" s="1">
        <v>28543452</v>
      </c>
      <c r="E327" s="10"/>
    </row>
    <row r="328" spans="2:5" s="113" customFormat="1" ht="15.75" thickBot="1">
      <c r="B328" s="29" t="s">
        <v>9</v>
      </c>
      <c r="C328" s="46">
        <v>1148639898</v>
      </c>
      <c r="D328" s="46">
        <v>12672294905</v>
      </c>
      <c r="E328" s="10"/>
    </row>
    <row r="329" spans="2:5" s="112" customFormat="1" ht="15.75" thickBot="1">
      <c r="B329" s="42" t="s">
        <v>12</v>
      </c>
      <c r="C329" s="118">
        <f>SUM(C313:C328)</f>
        <v>17145193521</v>
      </c>
      <c r="D329" s="51">
        <v>22453603510</v>
      </c>
      <c r="E329" s="11"/>
    </row>
    <row r="330" spans="2:5" s="112" customFormat="1" ht="6.75" customHeight="1">
      <c r="B330" s="3"/>
      <c r="C330" s="119"/>
      <c r="D330" s="91"/>
      <c r="E330" s="88"/>
    </row>
    <row r="331" spans="2:5" s="112" customFormat="1" ht="15">
      <c r="B331" s="29" t="s">
        <v>1076</v>
      </c>
      <c r="C331" s="64">
        <v>414509454</v>
      </c>
      <c r="D331" s="790">
        <v>417404139</v>
      </c>
      <c r="E331" s="10"/>
    </row>
    <row r="332" spans="2:5" s="112" customFormat="1" ht="15">
      <c r="B332" s="29" t="s">
        <v>1077</v>
      </c>
      <c r="C332" s="64">
        <v>335735385</v>
      </c>
      <c r="D332" s="790">
        <v>482151341</v>
      </c>
      <c r="E332" s="790"/>
    </row>
    <row r="333" spans="2:5" s="112" customFormat="1" ht="15.75" thickBot="1">
      <c r="B333" s="29" t="s">
        <v>1078</v>
      </c>
      <c r="C333" s="64">
        <v>0</v>
      </c>
      <c r="D333" s="790">
        <v>0</v>
      </c>
      <c r="E333" s="790"/>
    </row>
    <row r="334" spans="2:5" s="112" customFormat="1" ht="15.75" thickBot="1">
      <c r="B334" s="42" t="s">
        <v>13</v>
      </c>
      <c r="C334" s="118">
        <f>SUM(C331:C333)</f>
        <v>750244839</v>
      </c>
      <c r="D334" s="51">
        <v>899555480</v>
      </c>
      <c r="E334" s="11"/>
    </row>
    <row r="335" spans="2:5" s="113" customFormat="1" ht="5.25" customHeight="1" thickBot="1">
      <c r="B335" s="42"/>
      <c r="C335" s="121"/>
      <c r="D335" s="48"/>
      <c r="E335" s="9"/>
    </row>
    <row r="336" spans="2:5" s="112" customFormat="1" ht="15.75" thickBot="1">
      <c r="B336" s="42" t="s">
        <v>14</v>
      </c>
      <c r="C336" s="122">
        <f>C311+C329+C334</f>
        <v>18005242674</v>
      </c>
      <c r="D336" s="54">
        <v>23435158990</v>
      </c>
      <c r="E336" s="11"/>
    </row>
    <row r="337" spans="2:4" s="113" customFormat="1" ht="16.5" thickTop="1">
      <c r="B337" s="114"/>
      <c r="C337" s="115"/>
      <c r="D337" s="115"/>
    </row>
    <row r="341" ht="15">
      <c r="E341" s="878">
        <v>13</v>
      </c>
    </row>
    <row r="347" ht="22.5" customHeight="1"/>
    <row r="349" spans="1:4" s="58" customFormat="1" ht="24" customHeight="1">
      <c r="A349" s="102" t="s">
        <v>336</v>
      </c>
      <c r="B349" s="125"/>
      <c r="C349" s="125"/>
      <c r="D349" s="125"/>
    </row>
    <row r="350" spans="1:4" s="58" customFormat="1" ht="13.5" customHeight="1">
      <c r="A350" s="97" t="s">
        <v>334</v>
      </c>
      <c r="B350" s="124"/>
      <c r="C350" s="124"/>
      <c r="D350" s="124"/>
    </row>
    <row r="351" spans="1:4" s="58" customFormat="1" ht="17.25" customHeight="1">
      <c r="A351" s="100" t="s">
        <v>335</v>
      </c>
      <c r="B351" s="124"/>
      <c r="C351" s="124"/>
      <c r="D351" s="124"/>
    </row>
    <row r="352" spans="2:5" ht="15">
      <c r="B352" s="5" t="s">
        <v>15</v>
      </c>
      <c r="C352" s="6"/>
      <c r="D352" s="6"/>
      <c r="E352" s="904"/>
    </row>
    <row r="353" spans="2:5" ht="15.75" thickBot="1">
      <c r="B353" s="5"/>
      <c r="C353" s="8">
        <v>2020</v>
      </c>
      <c r="D353" s="8">
        <v>2019</v>
      </c>
      <c r="E353" s="904"/>
    </row>
    <row r="354" spans="2:5" ht="15">
      <c r="B354" s="5"/>
      <c r="C354" s="2"/>
      <c r="D354" s="2"/>
      <c r="E354" s="9"/>
    </row>
    <row r="355" spans="2:5" ht="15">
      <c r="B355" s="7" t="s">
        <v>16</v>
      </c>
      <c r="C355" s="1">
        <v>2331037067</v>
      </c>
      <c r="D355" s="1">
        <v>1574666558</v>
      </c>
      <c r="E355" s="10"/>
    </row>
    <row r="356" spans="2:5" ht="15">
      <c r="B356" s="7" t="s">
        <v>17</v>
      </c>
      <c r="C356" s="1">
        <v>2692448398</v>
      </c>
      <c r="D356" s="1">
        <v>2101079083</v>
      </c>
      <c r="E356" s="10"/>
    </row>
    <row r="357" spans="2:5" ht="15">
      <c r="B357" s="7" t="s">
        <v>18</v>
      </c>
      <c r="C357" s="1">
        <v>89178565</v>
      </c>
      <c r="D357" s="1">
        <v>86087250</v>
      </c>
      <c r="E357" s="10"/>
    </row>
    <row r="358" spans="2:5" ht="15">
      <c r="B358" s="7" t="s">
        <v>19</v>
      </c>
      <c r="C358" s="1">
        <v>3497429565</v>
      </c>
      <c r="D358" s="1">
        <v>3776974945</v>
      </c>
      <c r="E358" s="10"/>
    </row>
    <row r="359" spans="2:5" s="4" customFormat="1" ht="21" customHeight="1" thickBot="1">
      <c r="B359" s="5" t="s">
        <v>20</v>
      </c>
      <c r="C359" s="13">
        <f>SUM(C355:C358)</f>
        <v>8610093595</v>
      </c>
      <c r="D359" s="13">
        <f>SUM(D355:D358)</f>
        <v>7538807836</v>
      </c>
      <c r="E359" s="11"/>
    </row>
    <row r="360" ht="15" customHeight="1" thickTop="1">
      <c r="E360" s="12"/>
    </row>
    <row r="363" spans="1:4" ht="18.75">
      <c r="A363" s="102" t="s">
        <v>337</v>
      </c>
      <c r="B363" s="126"/>
      <c r="C363" s="57"/>
      <c r="D363" s="57"/>
    </row>
    <row r="364" spans="1:4" s="271" customFormat="1" ht="14.25" customHeight="1">
      <c r="A364" s="145" t="s">
        <v>338</v>
      </c>
      <c r="B364" s="304"/>
      <c r="C364" s="57"/>
      <c r="D364" s="57"/>
    </row>
    <row r="365" spans="1:4" ht="14.25" customHeight="1">
      <c r="A365" s="100" t="s">
        <v>339</v>
      </c>
      <c r="B365" s="126"/>
      <c r="C365" s="57"/>
      <c r="D365" s="57"/>
    </row>
    <row r="366" spans="1:4" ht="14.25" customHeight="1">
      <c r="A366" s="100"/>
      <c r="B366" s="126"/>
      <c r="C366" s="57"/>
      <c r="D366" s="57"/>
    </row>
    <row r="367" spans="2:5" ht="24.75" customHeight="1" thickBot="1">
      <c r="B367" s="14"/>
      <c r="C367" s="15">
        <v>2020</v>
      </c>
      <c r="D367" s="16">
        <v>2019</v>
      </c>
      <c r="E367" s="22"/>
    </row>
    <row r="368" spans="2:5" ht="15">
      <c r="B368" s="17"/>
      <c r="C368" s="25"/>
      <c r="D368" s="18"/>
      <c r="E368" s="23"/>
    </row>
    <row r="369" spans="2:5" ht="15">
      <c r="B369" s="17" t="s">
        <v>21</v>
      </c>
      <c r="C369" s="19">
        <v>3254388933</v>
      </c>
      <c r="D369" s="19">
        <v>3877993553</v>
      </c>
      <c r="E369" s="24"/>
    </row>
    <row r="370" spans="2:5" ht="15.75" thickBot="1">
      <c r="B370" s="17" t="s">
        <v>22</v>
      </c>
      <c r="C370" s="19">
        <v>7466961957</v>
      </c>
      <c r="D370" s="19">
        <v>3348771458</v>
      </c>
      <c r="E370" s="24"/>
    </row>
    <row r="371" spans="2:5" ht="15">
      <c r="B371" s="20"/>
      <c r="C371" s="912">
        <f>SUM(C369:C370)</f>
        <v>10721350890</v>
      </c>
      <c r="D371" s="914">
        <f>SUM(D369:D370)</f>
        <v>7226765011</v>
      </c>
      <c r="E371" s="937"/>
    </row>
    <row r="372" spans="2:5" ht="15.75" thickBot="1">
      <c r="B372" s="20" t="s">
        <v>23</v>
      </c>
      <c r="C372" s="913"/>
      <c r="D372" s="915"/>
      <c r="E372" s="937"/>
    </row>
    <row r="373" ht="9" customHeight="1" thickTop="1"/>
    <row r="374" spans="2:4" ht="30.75" customHeight="1">
      <c r="B374" s="20" t="s">
        <v>24</v>
      </c>
      <c r="C374" s="21">
        <v>-3254040183</v>
      </c>
      <c r="D374" s="21">
        <v>-3254040183</v>
      </c>
    </row>
    <row r="375" spans="2:4" ht="30.75" customHeight="1">
      <c r="B375" s="20"/>
      <c r="C375" s="21"/>
      <c r="D375" s="21"/>
    </row>
    <row r="376" spans="2:4" ht="15" customHeight="1">
      <c r="B376" s="20"/>
      <c r="C376" s="21"/>
      <c r="D376" s="21"/>
    </row>
    <row r="377" ht="18.75">
      <c r="A377" s="102" t="s">
        <v>340</v>
      </c>
    </row>
    <row r="378" ht="15" customHeight="1">
      <c r="A378" s="97" t="s">
        <v>341</v>
      </c>
    </row>
    <row r="379" ht="15.75">
      <c r="A379" s="97" t="s">
        <v>342</v>
      </c>
    </row>
    <row r="380" ht="15.75">
      <c r="A380" s="97"/>
    </row>
    <row r="381" spans="2:4" ht="15.75" thickBot="1">
      <c r="B381" s="26"/>
      <c r="C381" s="27">
        <v>2020</v>
      </c>
      <c r="D381" s="28">
        <v>2019</v>
      </c>
    </row>
    <row r="382" spans="2:4" ht="15">
      <c r="B382" s="26" t="s">
        <v>1024</v>
      </c>
      <c r="C382" s="771">
        <v>0</v>
      </c>
      <c r="D382" s="771">
        <v>0</v>
      </c>
    </row>
    <row r="383" spans="2:4" ht="15">
      <c r="B383" s="26" t="s">
        <v>343</v>
      </c>
      <c r="C383" s="35">
        <v>4132764</v>
      </c>
      <c r="D383" s="35">
        <v>3863143</v>
      </c>
    </row>
    <row r="384" spans="2:4" ht="15">
      <c r="B384" s="26" t="s">
        <v>25</v>
      </c>
      <c r="C384" s="36">
        <v>0</v>
      </c>
      <c r="D384" s="36">
        <v>25863636</v>
      </c>
    </row>
    <row r="385" spans="2:4" ht="15">
      <c r="B385" s="26" t="s">
        <v>26</v>
      </c>
      <c r="C385" s="36">
        <v>0</v>
      </c>
      <c r="D385" s="36">
        <v>0</v>
      </c>
    </row>
    <row r="386" spans="2:4" ht="15">
      <c r="B386" s="26" t="s">
        <v>27</v>
      </c>
      <c r="C386" s="36">
        <v>64961616</v>
      </c>
      <c r="D386" s="36">
        <v>60732960</v>
      </c>
    </row>
    <row r="387" spans="2:4" ht="15">
      <c r="B387" s="26" t="s">
        <v>28</v>
      </c>
      <c r="C387" s="36">
        <v>411357232</v>
      </c>
      <c r="D387" s="36">
        <v>96537143</v>
      </c>
    </row>
    <row r="388" spans="2:4" ht="15.75" thickBot="1">
      <c r="B388" s="31" t="s">
        <v>29</v>
      </c>
      <c r="C388" s="37">
        <f>SUM(C382:C387)</f>
        <v>480451612</v>
      </c>
      <c r="D388" s="38">
        <f>SUM(D382:D387)</f>
        <v>186996882</v>
      </c>
    </row>
    <row r="389" ht="15.75" thickTop="1"/>
    <row r="391" ht="15">
      <c r="E391" s="878">
        <v>14</v>
      </c>
    </row>
    <row r="392" ht="18.75">
      <c r="A392" s="102"/>
    </row>
    <row r="393" ht="15.75">
      <c r="A393" s="100"/>
    </row>
    <row r="394" ht="15.75">
      <c r="B394" s="39"/>
    </row>
    <row r="395" ht="15.75">
      <c r="B395" s="39"/>
    </row>
    <row r="396" spans="1:2" ht="18.75">
      <c r="A396" s="102" t="s">
        <v>344</v>
      </c>
      <c r="B396" s="39"/>
    </row>
    <row r="397" spans="1:2" ht="18.75">
      <c r="A397" s="102"/>
      <c r="B397" s="39"/>
    </row>
    <row r="398" spans="1:2" ht="15.75">
      <c r="A398" s="100" t="s">
        <v>345</v>
      </c>
      <c r="B398" s="39"/>
    </row>
    <row r="399" ht="15.75">
      <c r="B399" s="39"/>
    </row>
    <row r="400" spans="2:5" s="12" customFormat="1" ht="15.75" thickBot="1">
      <c r="B400" s="29"/>
      <c r="C400" s="8">
        <v>2020</v>
      </c>
      <c r="D400" s="129">
        <v>2019</v>
      </c>
      <c r="E400" s="94"/>
    </row>
    <row r="401" spans="2:5" s="12" customFormat="1" ht="15.75" thickBot="1">
      <c r="B401" s="40" t="s">
        <v>30</v>
      </c>
      <c r="C401" s="85"/>
      <c r="D401" s="116"/>
      <c r="E401" s="86"/>
    </row>
    <row r="402" spans="2:5" s="12" customFormat="1" ht="15">
      <c r="B402" s="29" t="s">
        <v>15</v>
      </c>
      <c r="C402" s="1"/>
      <c r="D402" s="130"/>
      <c r="E402" s="905"/>
    </row>
    <row r="403" spans="2:5" s="12" customFormat="1" ht="15">
      <c r="B403" s="29" t="s">
        <v>358</v>
      </c>
      <c r="C403" s="130">
        <v>5681338324</v>
      </c>
      <c r="D403" s="130">
        <v>3586346681</v>
      </c>
      <c r="E403" s="905"/>
    </row>
    <row r="404" spans="2:5" s="12" customFormat="1" ht="15.75" thickBot="1">
      <c r="B404" s="42" t="s">
        <v>31</v>
      </c>
      <c r="C404" s="61">
        <f>SUM(C403)</f>
        <v>5681338324</v>
      </c>
      <c r="D404" s="61">
        <f>D403</f>
        <v>3586346681</v>
      </c>
      <c r="E404" s="11"/>
    </row>
    <row r="405" spans="2:5" s="12" customFormat="1" ht="15">
      <c r="B405" s="42"/>
      <c r="C405" s="2"/>
      <c r="D405" s="933"/>
      <c r="E405" s="934"/>
    </row>
    <row r="406" spans="2:5" s="12" customFormat="1" ht="15.75" thickBot="1">
      <c r="B406" s="43" t="s">
        <v>360</v>
      </c>
      <c r="C406" s="2"/>
      <c r="D406" s="933"/>
      <c r="E406" s="934"/>
    </row>
    <row r="407" spans="2:5" s="12" customFormat="1" ht="15">
      <c r="B407" s="29"/>
      <c r="C407" s="85"/>
      <c r="D407" s="85"/>
      <c r="E407" s="86"/>
    </row>
    <row r="408" spans="2:5" s="12" customFormat="1" ht="15">
      <c r="B408" s="29" t="s">
        <v>353</v>
      </c>
      <c r="C408" s="1">
        <f>51974562+2224310</f>
        <v>54198872</v>
      </c>
      <c r="D408" s="1">
        <f>52176512+4896039</f>
        <v>57072551</v>
      </c>
      <c r="E408" s="10"/>
    </row>
    <row r="409" spans="2:5" s="12" customFormat="1" ht="15">
      <c r="B409" s="131" t="s">
        <v>354</v>
      </c>
      <c r="C409" s="1">
        <f>233748080+2542614+27275+2021516+351312</f>
        <v>238690797</v>
      </c>
      <c r="D409" s="1">
        <f>230104220+2318756+36003+1935206+237996</f>
        <v>234632181</v>
      </c>
      <c r="E409" s="10"/>
    </row>
    <row r="410" spans="2:5" s="12" customFormat="1" ht="15">
      <c r="B410" s="29" t="s">
        <v>355</v>
      </c>
      <c r="C410" s="1">
        <v>113891726</v>
      </c>
      <c r="D410" s="1">
        <v>122830954</v>
      </c>
      <c r="E410" s="10"/>
    </row>
    <row r="411" spans="2:5" s="12" customFormat="1" ht="15">
      <c r="B411" s="29" t="s">
        <v>1019</v>
      </c>
      <c r="C411" s="1">
        <v>208856968</v>
      </c>
      <c r="D411" s="1">
        <v>240142279</v>
      </c>
      <c r="E411" s="10"/>
    </row>
    <row r="412" spans="2:5" s="12" customFormat="1" ht="15">
      <c r="B412" s="29" t="s">
        <v>356</v>
      </c>
      <c r="C412" s="1">
        <v>107969258</v>
      </c>
      <c r="D412" s="1">
        <v>153899705</v>
      </c>
      <c r="E412" s="10"/>
    </row>
    <row r="413" spans="2:5" s="12" customFormat="1" ht="15.75" thickBot="1">
      <c r="B413" s="29" t="s">
        <v>357</v>
      </c>
      <c r="C413" s="41">
        <v>0</v>
      </c>
      <c r="D413" s="41">
        <v>0</v>
      </c>
      <c r="E413" s="10"/>
    </row>
    <row r="414" spans="2:5" s="12" customFormat="1" ht="15.75" thickBot="1">
      <c r="B414" s="42" t="s">
        <v>32</v>
      </c>
      <c r="C414" s="32">
        <f>SUM(C408:C413)</f>
        <v>723607621</v>
      </c>
      <c r="D414" s="32">
        <f>SUM(D408:D413)</f>
        <v>808577670</v>
      </c>
      <c r="E414" s="11"/>
    </row>
    <row r="415" spans="2:5" s="12" customFormat="1" ht="15">
      <c r="B415" s="42"/>
      <c r="C415" s="89"/>
      <c r="D415" s="945"/>
      <c r="E415" s="939"/>
    </row>
    <row r="416" spans="2:5" s="12" customFormat="1" ht="29.25" customHeight="1" thickBot="1">
      <c r="B416" s="40" t="s">
        <v>33</v>
      </c>
      <c r="C416" s="90"/>
      <c r="D416" s="939"/>
      <c r="E416" s="939"/>
    </row>
    <row r="417" spans="2:5" s="12" customFormat="1" ht="15">
      <c r="B417" s="29" t="s">
        <v>346</v>
      </c>
      <c r="C417" s="10"/>
      <c r="D417" s="130"/>
      <c r="E417" s="905"/>
    </row>
    <row r="418" spans="2:5" s="12" customFormat="1" ht="15">
      <c r="B418" s="29" t="s">
        <v>34</v>
      </c>
      <c r="C418" s="1">
        <f>14804262973+2198998</f>
        <v>14806461971</v>
      </c>
      <c r="D418" s="1">
        <f>14713008668+2198998</f>
        <v>14715207666</v>
      </c>
      <c r="E418" s="905"/>
    </row>
    <row r="419" spans="2:5" s="12" customFormat="1" ht="15">
      <c r="B419" s="29" t="s">
        <v>35</v>
      </c>
      <c r="C419" s="1">
        <v>64130783</v>
      </c>
      <c r="D419" s="1">
        <v>64130783</v>
      </c>
      <c r="E419" s="10"/>
    </row>
    <row r="420" spans="2:5" s="12" customFormat="1" ht="13.5" customHeight="1">
      <c r="B420" s="29" t="s">
        <v>36</v>
      </c>
      <c r="C420" s="1">
        <v>2973898750</v>
      </c>
      <c r="D420" s="1">
        <v>2934162387</v>
      </c>
      <c r="E420" s="10"/>
    </row>
    <row r="421" spans="2:5" s="12" customFormat="1" ht="15.75" thickBot="1">
      <c r="B421" s="29" t="s">
        <v>37</v>
      </c>
      <c r="C421" s="41">
        <v>30600000</v>
      </c>
      <c r="D421" s="41">
        <v>30600000</v>
      </c>
      <c r="E421" s="10"/>
    </row>
    <row r="422" spans="2:5" s="12" customFormat="1" ht="20.25" customHeight="1" thickBot="1">
      <c r="B422" s="42" t="s">
        <v>38</v>
      </c>
      <c r="C422" s="33">
        <f>SUM(C418:C421)</f>
        <v>17875091504</v>
      </c>
      <c r="D422" s="132">
        <f>SUM(D418:D421)</f>
        <v>17744100836</v>
      </c>
      <c r="E422" s="11"/>
    </row>
    <row r="423" spans="2:5" s="12" customFormat="1" ht="15">
      <c r="B423" s="42"/>
      <c r="C423" s="44"/>
      <c r="D423" s="943"/>
      <c r="E423" s="938"/>
    </row>
    <row r="424" spans="2:5" s="12" customFormat="1" ht="15.75" thickBot="1">
      <c r="B424" s="40" t="s">
        <v>347</v>
      </c>
      <c r="C424" s="85"/>
      <c r="D424" s="944"/>
      <c r="E424" s="938"/>
    </row>
    <row r="425" spans="2:5" s="12" customFormat="1" ht="15">
      <c r="B425" s="29" t="s">
        <v>15</v>
      </c>
      <c r="C425" s="1"/>
      <c r="D425" s="130"/>
      <c r="E425" s="905"/>
    </row>
    <row r="426" spans="2:5" s="12" customFormat="1" ht="15">
      <c r="B426" s="29" t="s">
        <v>348</v>
      </c>
      <c r="C426" s="1">
        <v>797791830</v>
      </c>
      <c r="D426" s="1">
        <v>756526845</v>
      </c>
      <c r="E426" s="905"/>
    </row>
    <row r="427" spans="2:5" s="12" customFormat="1" ht="15">
      <c r="B427" s="29" t="s">
        <v>1080</v>
      </c>
      <c r="C427" s="790">
        <v>0</v>
      </c>
      <c r="D427" s="833">
        <v>0</v>
      </c>
      <c r="E427" s="905"/>
    </row>
    <row r="428" spans="2:5" s="12" customFormat="1" ht="15.75" thickBot="1">
      <c r="B428" s="29" t="s">
        <v>1081</v>
      </c>
      <c r="C428" s="41">
        <v>0</v>
      </c>
      <c r="D428" s="41">
        <v>0</v>
      </c>
      <c r="E428" s="790"/>
    </row>
    <row r="429" spans="2:5" s="12" customFormat="1" ht="15.75" thickBot="1">
      <c r="B429" s="42" t="s">
        <v>349</v>
      </c>
      <c r="C429" s="45">
        <f>SUM(C426:C427)</f>
        <v>797791830</v>
      </c>
      <c r="D429" s="45">
        <f>SUM(D426:D428)</f>
        <v>756526845</v>
      </c>
      <c r="E429" s="11"/>
    </row>
    <row r="430" spans="2:5" ht="15">
      <c r="B430" s="42"/>
      <c r="C430" s="52"/>
      <c r="D430" s="89"/>
      <c r="E430" s="934"/>
    </row>
    <row r="431" spans="1:5" ht="15.75" customHeight="1" thickBot="1">
      <c r="A431" s="34"/>
      <c r="B431" s="43" t="s">
        <v>350</v>
      </c>
      <c r="C431" s="42"/>
      <c r="D431" s="93"/>
      <c r="E431" s="934"/>
    </row>
    <row r="432" spans="2:5" ht="15">
      <c r="B432" s="29" t="s">
        <v>351</v>
      </c>
      <c r="C432" s="1">
        <f>235386115+4963370</f>
        <v>240349485</v>
      </c>
      <c r="D432" s="1">
        <v>295941351</v>
      </c>
      <c r="E432" s="10"/>
    </row>
    <row r="433" spans="2:5" ht="15.75" thickBot="1">
      <c r="B433" s="42" t="s">
        <v>359</v>
      </c>
      <c r="C433" s="61">
        <f>SUM(C432)</f>
        <v>240349485</v>
      </c>
      <c r="D433" s="61">
        <f>SUM(D432)</f>
        <v>295941351</v>
      </c>
      <c r="E433" s="11"/>
    </row>
    <row r="434" spans="2:5" ht="15">
      <c r="B434" s="42"/>
      <c r="C434" s="935">
        <f>C404+C414+C422+C429+C433</f>
        <v>25318178764</v>
      </c>
      <c r="D434" s="935">
        <f>D404+D414+D422+D429+D433</f>
        <v>23191493383</v>
      </c>
      <c r="E434" s="942"/>
    </row>
    <row r="435" spans="2:5" ht="15.75" thickBot="1">
      <c r="B435" s="42" t="s">
        <v>352</v>
      </c>
      <c r="C435" s="936"/>
      <c r="D435" s="936"/>
      <c r="E435" s="942"/>
    </row>
    <row r="436" spans="2:5" ht="15.75" thickTop="1">
      <c r="B436" s="42"/>
      <c r="C436" s="11"/>
      <c r="D436" s="11"/>
      <c r="E436" s="12"/>
    </row>
    <row r="437" spans="2:4" s="12" customFormat="1" ht="15">
      <c r="B437" s="59"/>
      <c r="C437" s="11"/>
      <c r="D437" s="11"/>
    </row>
    <row r="438" spans="2:5" s="12" customFormat="1" ht="15">
      <c r="B438" s="59"/>
      <c r="C438" s="11"/>
      <c r="D438" s="11"/>
      <c r="E438" s="877">
        <v>15</v>
      </c>
    </row>
    <row r="439" spans="2:4" s="12" customFormat="1" ht="15">
      <c r="B439" s="59"/>
      <c r="C439" s="11"/>
      <c r="D439" s="11"/>
    </row>
    <row r="440" spans="2:4" s="12" customFormat="1" ht="15">
      <c r="B440" s="59"/>
      <c r="C440" s="11"/>
      <c r="D440" s="11"/>
    </row>
    <row r="441" spans="2:4" s="12" customFormat="1" ht="15">
      <c r="B441" s="59"/>
      <c r="C441" s="11"/>
      <c r="D441" s="11"/>
    </row>
    <row r="442" spans="2:4" s="12" customFormat="1" ht="15">
      <c r="B442" s="59"/>
      <c r="C442" s="9"/>
      <c r="D442" s="9"/>
    </row>
    <row r="443" spans="2:4" s="12" customFormat="1" ht="15">
      <c r="B443" s="59"/>
      <c r="C443" s="10"/>
      <c r="D443" s="10"/>
    </row>
    <row r="444" spans="1:4" s="12" customFormat="1" ht="18.75">
      <c r="A444" s="102" t="s">
        <v>361</v>
      </c>
      <c r="B444" s="95"/>
      <c r="C444" s="11"/>
      <c r="D444" s="11"/>
    </row>
    <row r="445" spans="2:4" s="12" customFormat="1" ht="15">
      <c r="B445" s="59"/>
      <c r="C445" s="86"/>
      <c r="D445" s="86"/>
    </row>
    <row r="446" spans="2:4" s="12" customFormat="1" ht="33">
      <c r="B446" s="133" t="s">
        <v>1031</v>
      </c>
      <c r="C446" s="86"/>
      <c r="D446" s="86"/>
    </row>
    <row r="447" spans="2:4" s="12" customFormat="1" ht="15.75" thickBot="1">
      <c r="B447" s="29"/>
      <c r="C447" s="28">
        <v>2020</v>
      </c>
      <c r="D447" s="28">
        <v>2019</v>
      </c>
    </row>
    <row r="448" spans="2:4" s="12" customFormat="1" ht="15.75" thickBot="1">
      <c r="B448" s="40" t="s">
        <v>1032</v>
      </c>
      <c r="C448" s="85"/>
      <c r="D448" s="85"/>
    </row>
    <row r="449" spans="2:4" s="12" customFormat="1" ht="12" customHeight="1">
      <c r="B449" s="29" t="s">
        <v>39</v>
      </c>
      <c r="C449" s="141">
        <v>0</v>
      </c>
      <c r="D449" s="141">
        <v>44566211</v>
      </c>
    </row>
    <row r="450" spans="2:4" s="12" customFormat="1" ht="23.25" customHeight="1" thickBot="1">
      <c r="B450" s="42" t="s">
        <v>40</v>
      </c>
      <c r="C450" s="11">
        <f>SUM(C449)</f>
        <v>0</v>
      </c>
      <c r="D450" s="768">
        <f>SUM(D449)</f>
        <v>44566211</v>
      </c>
    </row>
    <row r="451" spans="2:4" s="12" customFormat="1" ht="23.25" customHeight="1" thickBot="1">
      <c r="B451" s="43" t="s">
        <v>1033</v>
      </c>
      <c r="C451" s="47"/>
      <c r="D451" s="47"/>
    </row>
    <row r="452" spans="2:4" s="12" customFormat="1" ht="15">
      <c r="B452" s="42" t="s">
        <v>41</v>
      </c>
      <c r="C452" s="141">
        <v>1507229643</v>
      </c>
      <c r="D452" s="1">
        <v>240712325</v>
      </c>
    </row>
    <row r="453" spans="2:4" s="12" customFormat="1" ht="15">
      <c r="B453" s="42" t="s">
        <v>42</v>
      </c>
      <c r="C453" s="141">
        <v>0</v>
      </c>
      <c r="D453" s="141">
        <v>0</v>
      </c>
    </row>
    <row r="454" spans="2:4" s="12" customFormat="1" ht="15.75" thickBot="1">
      <c r="B454" s="42" t="s">
        <v>43</v>
      </c>
      <c r="C454" s="32">
        <f>SUM(C452:C453)</f>
        <v>1507229643</v>
      </c>
      <c r="D454" s="32">
        <f>SUM(D452:D453)</f>
        <v>240712325</v>
      </c>
    </row>
    <row r="455" spans="2:4" s="12" customFormat="1" ht="8.25" customHeight="1">
      <c r="B455" s="42"/>
      <c r="C455" s="135"/>
      <c r="D455" s="135"/>
    </row>
    <row r="456" spans="2:4" s="12" customFormat="1" ht="23.25" customHeight="1" thickBot="1">
      <c r="B456" s="138" t="s">
        <v>1034</v>
      </c>
      <c r="C456" s="54">
        <f>C450+C454</f>
        <v>1507229643</v>
      </c>
      <c r="D456" s="767">
        <f>D450+D454</f>
        <v>285278536</v>
      </c>
    </row>
    <row r="457" spans="2:4" s="12" customFormat="1" ht="7.5" customHeight="1" thickTop="1">
      <c r="B457" s="138"/>
      <c r="C457" s="139"/>
      <c r="D457" s="139"/>
    </row>
    <row r="458" spans="2:4" s="12" customFormat="1" ht="16.5">
      <c r="B458" s="133" t="s">
        <v>1035</v>
      </c>
      <c r="C458" s="134"/>
      <c r="D458" s="134"/>
    </row>
    <row r="459" spans="2:4" s="12" customFormat="1" ht="4.5" customHeight="1">
      <c r="B459" s="133"/>
      <c r="C459" s="134"/>
      <c r="D459" s="134"/>
    </row>
    <row r="460" spans="2:4" s="12" customFormat="1" ht="15.75" thickBot="1">
      <c r="B460" s="43" t="s">
        <v>1036</v>
      </c>
      <c r="C460" s="134"/>
      <c r="D460" s="134"/>
    </row>
    <row r="461" spans="2:4" s="12" customFormat="1" ht="15">
      <c r="B461" s="42" t="s">
        <v>41</v>
      </c>
      <c r="C461" s="1">
        <v>3079929934</v>
      </c>
      <c r="D461" s="1">
        <v>0</v>
      </c>
    </row>
    <row r="462" spans="2:4" s="12" customFormat="1" ht="15">
      <c r="B462" s="42" t="s">
        <v>42</v>
      </c>
      <c r="C462" s="141">
        <v>0</v>
      </c>
      <c r="D462" s="141">
        <v>0</v>
      </c>
    </row>
    <row r="463" spans="2:4" s="12" customFormat="1" ht="15">
      <c r="B463" s="42" t="s">
        <v>44</v>
      </c>
      <c r="C463" s="32">
        <f>SUM(C461:C462)</f>
        <v>3079929934</v>
      </c>
      <c r="D463" s="32">
        <f>SUM(D461:D462)</f>
        <v>0</v>
      </c>
    </row>
    <row r="464" spans="2:4" s="12" customFormat="1" ht="15.75" thickBot="1">
      <c r="B464" s="43" t="s">
        <v>363</v>
      </c>
      <c r="C464" s="86"/>
      <c r="D464" s="86"/>
    </row>
    <row r="465" spans="2:4" s="12" customFormat="1" ht="15">
      <c r="B465" s="29" t="s">
        <v>39</v>
      </c>
      <c r="C465" s="141">
        <v>0</v>
      </c>
      <c r="D465" s="141">
        <v>0</v>
      </c>
    </row>
    <row r="466" spans="2:4" s="12" customFormat="1" ht="15.75" thickBot="1">
      <c r="B466" s="42" t="s">
        <v>44</v>
      </c>
      <c r="C466" s="45">
        <f>SUM(C465)</f>
        <v>0</v>
      </c>
      <c r="D466" s="45">
        <f>SUM(D465)</f>
        <v>0</v>
      </c>
    </row>
    <row r="467" spans="2:4" s="12" customFormat="1" ht="5.25" customHeight="1">
      <c r="B467" s="42" t="s">
        <v>45</v>
      </c>
      <c r="C467" s="137"/>
      <c r="D467" s="140"/>
    </row>
    <row r="468" spans="2:4" s="12" customFormat="1" ht="17.25" thickBot="1">
      <c r="B468" s="136" t="s">
        <v>362</v>
      </c>
      <c r="C468" s="54">
        <f>C463+C466</f>
        <v>3079929934</v>
      </c>
      <c r="D468" s="767">
        <f>D463+D466</f>
        <v>0</v>
      </c>
    </row>
    <row r="469" spans="2:4" s="12" customFormat="1" ht="4.5" customHeight="1" thickTop="1">
      <c r="B469" s="133"/>
      <c r="C469" s="9"/>
      <c r="D469" s="9"/>
    </row>
    <row r="470" spans="2:4" s="12" customFormat="1" ht="17.25">
      <c r="B470" s="142" t="s">
        <v>1037</v>
      </c>
      <c r="C470" s="87"/>
      <c r="D470" s="87"/>
    </row>
    <row r="471" spans="2:4" s="12" customFormat="1" ht="4.5" customHeight="1">
      <c r="B471" s="133"/>
      <c r="C471" s="87"/>
      <c r="D471" s="87"/>
    </row>
    <row r="472" spans="2:4" s="12" customFormat="1" ht="15.75" thickBot="1">
      <c r="B472" s="40" t="s">
        <v>364</v>
      </c>
      <c r="C472" s="85"/>
      <c r="D472" s="85"/>
    </row>
    <row r="473" spans="2:4" s="12" customFormat="1" ht="15">
      <c r="B473" s="29" t="s">
        <v>39</v>
      </c>
      <c r="C473" s="141">
        <v>0</v>
      </c>
      <c r="D473" s="141">
        <v>65753425</v>
      </c>
    </row>
    <row r="474" spans="2:4" s="12" customFormat="1" ht="15.75" thickBot="1">
      <c r="B474" s="42" t="s">
        <v>40</v>
      </c>
      <c r="C474" s="61">
        <f>SUM(C473)</f>
        <v>0</v>
      </c>
      <c r="D474" s="768">
        <f>SUM(D473)</f>
        <v>65753425</v>
      </c>
    </row>
    <row r="475" spans="2:4" s="12" customFormat="1" ht="20.25" customHeight="1">
      <c r="B475" s="893" t="s">
        <v>1038</v>
      </c>
      <c r="C475" s="893"/>
      <c r="D475" s="47"/>
    </row>
    <row r="476" spans="2:4" s="12" customFormat="1" ht="15">
      <c r="B476" s="42" t="s">
        <v>46</v>
      </c>
      <c r="C476" s="1">
        <v>1520821924</v>
      </c>
      <c r="D476" s="1">
        <v>257273978</v>
      </c>
    </row>
    <row r="477" spans="2:4" s="12" customFormat="1" ht="15">
      <c r="B477" s="42" t="s">
        <v>47</v>
      </c>
      <c r="C477" s="141">
        <v>0</v>
      </c>
      <c r="D477" s="141">
        <v>0</v>
      </c>
    </row>
    <row r="478" spans="2:4" s="12" customFormat="1" ht="15.75" thickBot="1">
      <c r="B478" s="42" t="s">
        <v>43</v>
      </c>
      <c r="C478" s="61">
        <f>SUM(C476:C477)</f>
        <v>1520821924</v>
      </c>
      <c r="D478" s="61">
        <f>SUM(D476:D477)</f>
        <v>257273978</v>
      </c>
    </row>
    <row r="479" spans="2:4" s="12" customFormat="1" ht="9" customHeight="1">
      <c r="B479" s="42"/>
      <c r="C479" s="32"/>
      <c r="D479" s="32"/>
    </row>
    <row r="480" spans="2:4" s="12" customFormat="1" ht="15.75" thickBot="1">
      <c r="B480" s="50" t="s">
        <v>365</v>
      </c>
      <c r="C480" s="54">
        <f>C474+C478</f>
        <v>1520821924</v>
      </c>
      <c r="D480" s="767">
        <f>D474+D478</f>
        <v>323027403</v>
      </c>
    </row>
    <row r="481" spans="2:4" s="12" customFormat="1" ht="7.5" customHeight="1" thickTop="1">
      <c r="B481" s="50"/>
      <c r="C481" s="11"/>
      <c r="D481" s="11"/>
    </row>
    <row r="482" spans="2:4" s="12" customFormat="1" ht="17.25">
      <c r="B482" s="142" t="s">
        <v>367</v>
      </c>
      <c r="C482" s="134"/>
      <c r="D482" s="134"/>
    </row>
    <row r="483" spans="2:4" s="12" customFormat="1" ht="6" customHeight="1">
      <c r="B483" s="142"/>
      <c r="C483" s="134"/>
      <c r="D483" s="134"/>
    </row>
    <row r="484" spans="2:4" s="12" customFormat="1" ht="15.75" thickBot="1">
      <c r="B484" s="43" t="s">
        <v>366</v>
      </c>
      <c r="C484" s="134"/>
      <c r="D484" s="134"/>
    </row>
    <row r="485" spans="2:4" s="12" customFormat="1" ht="15">
      <c r="B485" s="42" t="s">
        <v>46</v>
      </c>
      <c r="C485" s="1">
        <v>3391931507</v>
      </c>
      <c r="D485" s="1">
        <v>0</v>
      </c>
    </row>
    <row r="486" spans="2:4" s="12" customFormat="1" ht="15">
      <c r="B486" s="42" t="s">
        <v>47</v>
      </c>
      <c r="C486" s="141">
        <v>0</v>
      </c>
      <c r="D486" s="141">
        <v>0</v>
      </c>
    </row>
    <row r="487" spans="2:4" s="12" customFormat="1" ht="15.75" thickBot="1">
      <c r="B487" s="42" t="s">
        <v>44</v>
      </c>
      <c r="C487" s="32">
        <f>SUM(C485:C486)</f>
        <v>3391931507</v>
      </c>
      <c r="D487" s="32">
        <f>SUM(D485:D486)</f>
        <v>0</v>
      </c>
    </row>
    <row r="488" spans="2:4" s="12" customFormat="1" ht="5.25" customHeight="1">
      <c r="B488" s="42"/>
      <c r="C488" s="44"/>
      <c r="D488" s="943"/>
    </row>
    <row r="489" spans="2:4" s="12" customFormat="1" ht="15.75" thickBot="1">
      <c r="B489" s="43" t="s">
        <v>368</v>
      </c>
      <c r="C489" s="86"/>
      <c r="D489" s="938"/>
    </row>
    <row r="490" spans="2:4" s="12" customFormat="1" ht="15">
      <c r="B490" s="29" t="s">
        <v>39</v>
      </c>
      <c r="C490" s="141">
        <v>0</v>
      </c>
      <c r="D490" s="141">
        <v>0</v>
      </c>
    </row>
    <row r="491" spans="2:4" s="12" customFormat="1" ht="15.75" thickBot="1">
      <c r="B491" s="42" t="s">
        <v>44</v>
      </c>
      <c r="C491" s="45">
        <f>SUM(C490)</f>
        <v>0</v>
      </c>
      <c r="D491" s="45">
        <f>SUM(D490)</f>
        <v>0</v>
      </c>
    </row>
    <row r="492" spans="2:4" s="12" customFormat="1" ht="15" customHeight="1">
      <c r="B492" s="42" t="s">
        <v>45</v>
      </c>
      <c r="C492" s="137"/>
      <c r="D492" s="140"/>
    </row>
    <row r="493" spans="2:4" s="12" customFormat="1" ht="17.25" thickBot="1">
      <c r="B493" s="42" t="s">
        <v>369</v>
      </c>
      <c r="C493" s="144">
        <f>C487+C491</f>
        <v>3391931507</v>
      </c>
      <c r="D493" s="144">
        <f>D487+D491</f>
        <v>0</v>
      </c>
    </row>
    <row r="494" spans="2:4" s="12" customFormat="1" ht="15.75" thickTop="1">
      <c r="B494" s="49"/>
      <c r="C494" s="9"/>
      <c r="D494" s="9"/>
    </row>
    <row r="495" spans="2:5" s="12" customFormat="1" ht="15">
      <c r="B495" s="59"/>
      <c r="C495" s="801"/>
      <c r="D495" s="801"/>
      <c r="E495" s="877">
        <v>16</v>
      </c>
    </row>
    <row r="496" spans="2:4" s="12" customFormat="1" ht="15">
      <c r="B496" s="59"/>
      <c r="C496" s="801"/>
      <c r="D496" s="801"/>
    </row>
    <row r="497" spans="2:4" s="12" customFormat="1" ht="15">
      <c r="B497" s="59"/>
      <c r="C497" s="801"/>
      <c r="D497" s="801"/>
    </row>
    <row r="498" spans="1:4" s="12" customFormat="1" ht="18.75">
      <c r="A498" s="810" t="s">
        <v>370</v>
      </c>
      <c r="B498" s="810"/>
      <c r="C498" s="801"/>
      <c r="D498" s="801"/>
    </row>
    <row r="499" spans="1:4" s="12" customFormat="1" ht="15.75">
      <c r="A499" s="811" t="s">
        <v>345</v>
      </c>
      <c r="B499" s="59"/>
      <c r="C499" s="801"/>
      <c r="D499" s="801"/>
    </row>
    <row r="500" spans="2:4" s="12" customFormat="1" ht="10.5" customHeight="1">
      <c r="B500" s="59"/>
      <c r="C500" s="801"/>
      <c r="D500" s="801"/>
    </row>
    <row r="501" spans="2:5" ht="15.75" thickBot="1">
      <c r="B501" s="42" t="s">
        <v>48</v>
      </c>
      <c r="C501" s="28">
        <v>2020</v>
      </c>
      <c r="D501" s="28">
        <v>2019</v>
      </c>
      <c r="E501" s="94"/>
    </row>
    <row r="502" spans="2:5" s="12" customFormat="1" ht="15">
      <c r="B502" s="29" t="s">
        <v>15</v>
      </c>
      <c r="C502" s="29"/>
      <c r="D502" s="29"/>
      <c r="E502" s="62"/>
    </row>
    <row r="503" spans="2:5" s="12" customFormat="1" ht="15">
      <c r="B503" s="29" t="s">
        <v>49</v>
      </c>
      <c r="C503" s="1">
        <f>42936330+10393538</f>
        <v>53329868</v>
      </c>
      <c r="D503" s="1">
        <f>33274405+9683307</f>
        <v>42957712</v>
      </c>
      <c r="E503" s="10"/>
    </row>
    <row r="504" spans="2:5" s="12" customFormat="1" ht="15">
      <c r="B504" s="29" t="s">
        <v>50</v>
      </c>
      <c r="C504" s="1">
        <f>45721734+4090909+2451796+39477043+29087240</f>
        <v>120828722</v>
      </c>
      <c r="D504" s="1">
        <f>50173878+4090909+7742235+25275174+17910406</f>
        <v>105192602</v>
      </c>
      <c r="E504" s="10"/>
    </row>
    <row r="505" spans="2:5" s="12" customFormat="1" ht="15">
      <c r="B505" s="29" t="s">
        <v>51</v>
      </c>
      <c r="C505" s="1">
        <v>261013142</v>
      </c>
      <c r="D505" s="1">
        <v>160674288</v>
      </c>
      <c r="E505" s="10"/>
    </row>
    <row r="506" spans="2:5" s="12" customFormat="1" ht="15">
      <c r="B506" s="29" t="s">
        <v>52</v>
      </c>
      <c r="C506" s="1">
        <f>10513392+2694524+16761711</f>
        <v>29969627</v>
      </c>
      <c r="D506" s="1">
        <f>6935355+3257839+6798089</f>
        <v>16991283</v>
      </c>
      <c r="E506" s="10"/>
    </row>
    <row r="507" spans="2:6" s="12" customFormat="1" ht="15">
      <c r="B507" s="29" t="s">
        <v>53</v>
      </c>
      <c r="C507" s="130">
        <v>134574679</v>
      </c>
      <c r="D507" s="130">
        <v>64101347</v>
      </c>
      <c r="E507" s="10"/>
      <c r="F507" s="270"/>
    </row>
    <row r="508" spans="2:5" s="12" customFormat="1" ht="15">
      <c r="B508" s="29" t="s">
        <v>1020</v>
      </c>
      <c r="C508" s="130">
        <v>116733948</v>
      </c>
      <c r="D508" s="130">
        <v>112375072</v>
      </c>
      <c r="E508" s="766"/>
    </row>
    <row r="509" spans="2:5" s="12" customFormat="1" ht="15">
      <c r="B509" s="29" t="s">
        <v>1021</v>
      </c>
      <c r="C509" s="130">
        <v>34411056</v>
      </c>
      <c r="D509" s="130">
        <v>42753550</v>
      </c>
      <c r="E509" s="766"/>
    </row>
    <row r="510" spans="2:5" s="12" customFormat="1" ht="15.75" thickBot="1">
      <c r="B510" s="42" t="s">
        <v>54</v>
      </c>
      <c r="C510" s="13">
        <f>SUM(C503:C509)</f>
        <v>750861042</v>
      </c>
      <c r="D510" s="13">
        <f>SUM(D503:D509)</f>
        <v>545045854</v>
      </c>
      <c r="E510" s="11"/>
    </row>
    <row r="511" spans="2:5" s="12" customFormat="1" ht="15.75" thickTop="1">
      <c r="B511" s="59"/>
      <c r="C511" s="11"/>
      <c r="D511" s="11"/>
      <c r="E511" s="11"/>
    </row>
    <row r="512" s="12" customFormat="1" ht="18.75">
      <c r="A512" s="102" t="s">
        <v>371</v>
      </c>
    </row>
    <row r="513" s="12" customFormat="1" ht="16.5">
      <c r="A513" s="145" t="s">
        <v>372</v>
      </c>
    </row>
    <row r="514" s="270" customFormat="1" ht="16.5">
      <c r="A514" s="145" t="s">
        <v>373</v>
      </c>
    </row>
    <row r="515" s="270" customFormat="1" ht="16.5">
      <c r="A515" s="145" t="s">
        <v>374</v>
      </c>
    </row>
    <row r="516" s="270" customFormat="1" ht="16.5">
      <c r="A516" s="229" t="s">
        <v>375</v>
      </c>
    </row>
    <row r="517" s="270" customFormat="1" ht="16.5">
      <c r="A517" s="145" t="s">
        <v>376</v>
      </c>
    </row>
    <row r="518" s="270" customFormat="1" ht="16.5">
      <c r="A518" s="145" t="s">
        <v>377</v>
      </c>
    </row>
    <row r="519" s="270" customFormat="1" ht="16.5">
      <c r="A519" s="145" t="s">
        <v>378</v>
      </c>
    </row>
    <row r="520" s="270" customFormat="1" ht="16.5">
      <c r="A520" s="145" t="s">
        <v>379</v>
      </c>
    </row>
    <row r="521" s="270" customFormat="1" ht="16.5">
      <c r="A521" s="145" t="s">
        <v>380</v>
      </c>
    </row>
    <row r="522" s="270" customFormat="1" ht="16.5">
      <c r="A522" s="145" t="s">
        <v>381</v>
      </c>
    </row>
    <row r="523" s="270" customFormat="1" ht="16.5">
      <c r="A523" s="145" t="s">
        <v>382</v>
      </c>
    </row>
    <row r="524" s="270" customFormat="1" ht="16.5">
      <c r="A524" s="145" t="s">
        <v>383</v>
      </c>
    </row>
    <row r="525" s="270" customFormat="1" ht="16.5">
      <c r="A525" s="303" t="s">
        <v>384</v>
      </c>
    </row>
    <row r="526" s="270" customFormat="1" ht="16.5">
      <c r="A526" s="145" t="s">
        <v>385</v>
      </c>
    </row>
    <row r="527" s="270" customFormat="1" ht="16.5">
      <c r="A527" s="145" t="s">
        <v>386</v>
      </c>
    </row>
    <row r="528" s="270" customFormat="1" ht="16.5">
      <c r="A528" s="145" t="s">
        <v>387</v>
      </c>
    </row>
    <row r="529" s="270" customFormat="1" ht="16.5">
      <c r="A529" s="145" t="s">
        <v>388</v>
      </c>
    </row>
    <row r="530" s="270" customFormat="1" ht="16.5">
      <c r="A530" s="229" t="s">
        <v>389</v>
      </c>
    </row>
    <row r="531" s="270" customFormat="1" ht="16.5">
      <c r="A531" s="145" t="s">
        <v>390</v>
      </c>
    </row>
    <row r="532" s="270" customFormat="1" ht="16.5">
      <c r="A532" s="229" t="s">
        <v>391</v>
      </c>
    </row>
    <row r="533" s="270" customFormat="1" ht="16.5">
      <c r="A533" s="145" t="s">
        <v>392</v>
      </c>
    </row>
    <row r="534" s="270" customFormat="1" ht="16.5">
      <c r="A534" s="145" t="s">
        <v>393</v>
      </c>
    </row>
    <row r="535" s="270" customFormat="1" ht="16.5">
      <c r="A535" s="145" t="s">
        <v>394</v>
      </c>
    </row>
    <row r="536" s="270" customFormat="1" ht="16.5">
      <c r="A536" s="145" t="s">
        <v>395</v>
      </c>
    </row>
    <row r="537" s="270" customFormat="1" ht="16.5">
      <c r="A537" s="229" t="s">
        <v>396</v>
      </c>
    </row>
    <row r="538" s="270" customFormat="1" ht="16.5">
      <c r="A538" s="145" t="s">
        <v>397</v>
      </c>
    </row>
    <row r="539" s="270" customFormat="1" ht="16.5">
      <c r="A539" s="145" t="s">
        <v>398</v>
      </c>
    </row>
    <row r="540" s="270" customFormat="1" ht="16.5">
      <c r="A540" s="145" t="s">
        <v>399</v>
      </c>
    </row>
    <row r="541" s="270" customFormat="1" ht="16.5">
      <c r="A541" s="145" t="s">
        <v>400</v>
      </c>
    </row>
    <row r="542" s="270" customFormat="1" ht="16.5">
      <c r="A542" s="229" t="s">
        <v>401</v>
      </c>
    </row>
    <row r="543" s="12" customFormat="1" ht="15">
      <c r="E543" s="877">
        <v>17</v>
      </c>
    </row>
    <row r="544" s="12" customFormat="1" ht="15"/>
    <row r="545" s="12" customFormat="1" ht="15"/>
    <row r="546" spans="2:4" s="12" customFormat="1" ht="15">
      <c r="B546" s="146"/>
      <c r="C546" s="147"/>
      <c r="D546" s="148"/>
    </row>
    <row r="547" spans="2:4" s="12" customFormat="1" ht="15">
      <c r="B547" s="149"/>
      <c r="C547" s="150">
        <v>2020</v>
      </c>
      <c r="D547" s="150">
        <v>2019</v>
      </c>
    </row>
    <row r="548" spans="2:4" s="12" customFormat="1" ht="15">
      <c r="B548" s="149"/>
      <c r="C548" s="151"/>
      <c r="D548" s="151"/>
    </row>
    <row r="549" spans="2:4" s="12" customFormat="1" ht="27">
      <c r="B549" s="29" t="s">
        <v>55</v>
      </c>
      <c r="C549" s="1">
        <v>1714090246</v>
      </c>
      <c r="D549" s="1">
        <v>1627948289</v>
      </c>
    </row>
    <row r="550" spans="2:4" s="12" customFormat="1" ht="15.75" thickBot="1">
      <c r="B550" s="152" t="s">
        <v>56</v>
      </c>
      <c r="C550" s="41">
        <v>-663289604</v>
      </c>
      <c r="D550" s="41">
        <v>-385202838</v>
      </c>
    </row>
    <row r="551" spans="2:4" s="12" customFormat="1" ht="15.75" thickBot="1">
      <c r="B551" s="43" t="s">
        <v>57</v>
      </c>
      <c r="C551" s="45">
        <f>SUM(C549:C550)</f>
        <v>1050800642</v>
      </c>
      <c r="D551" s="45">
        <f>SUM(D549:D550)</f>
        <v>1242745451</v>
      </c>
    </row>
    <row r="552" spans="2:4" s="12" customFormat="1" ht="15">
      <c r="B552" s="29" t="s">
        <v>15</v>
      </c>
      <c r="C552" s="2"/>
      <c r="D552" s="2"/>
    </row>
    <row r="553" spans="2:4" s="12" customFormat="1" ht="15">
      <c r="B553" s="29" t="s">
        <v>58</v>
      </c>
      <c r="C553" s="1">
        <f>2200707798+25766569767+1744008291</f>
        <v>29711285856</v>
      </c>
      <c r="D553" s="1">
        <f>3907060802+22983924459+1488769777</f>
        <v>28379755038</v>
      </c>
    </row>
    <row r="554" spans="2:4" s="12" customFormat="1" ht="15.75" thickBot="1">
      <c r="B554" s="152" t="s">
        <v>59</v>
      </c>
      <c r="C554" s="41">
        <v>-25766569767</v>
      </c>
      <c r="D554" s="41">
        <v>-22983924459</v>
      </c>
    </row>
    <row r="555" spans="2:4" s="12" customFormat="1" ht="15.75" thickBot="1">
      <c r="B555" s="43" t="s">
        <v>60</v>
      </c>
      <c r="C555" s="45">
        <f>SUM(C553:C554)</f>
        <v>3944716089</v>
      </c>
      <c r="D555" s="45">
        <f>SUM(D553:D554)</f>
        <v>5395830579</v>
      </c>
    </row>
    <row r="556" spans="2:4" s="12" customFormat="1" ht="15">
      <c r="B556" s="29"/>
      <c r="C556" s="29"/>
      <c r="D556" s="29"/>
    </row>
    <row r="557" spans="2:4" s="12" customFormat="1" ht="15">
      <c r="B557" s="29" t="s">
        <v>61</v>
      </c>
      <c r="C557" s="1">
        <v>11166215423</v>
      </c>
      <c r="D557" s="1">
        <v>9447971719</v>
      </c>
    </row>
    <row r="558" spans="2:4" s="12" customFormat="1" ht="15.75" thickBot="1">
      <c r="B558" s="152" t="s">
        <v>62</v>
      </c>
      <c r="C558" s="41">
        <v>-5855224170</v>
      </c>
      <c r="D558" s="41">
        <v>-4336016346</v>
      </c>
    </row>
    <row r="559" spans="2:4" s="12" customFormat="1" ht="15.75" thickBot="1">
      <c r="B559" s="43" t="s">
        <v>63</v>
      </c>
      <c r="C559" s="45">
        <f>SUM(C557:C558)</f>
        <v>5310991253</v>
      </c>
      <c r="D559" s="45">
        <f>SUM(D557:D558)</f>
        <v>5111955373</v>
      </c>
    </row>
    <row r="560" spans="2:4" ht="7.5" customHeight="1">
      <c r="B560" s="42"/>
      <c r="C560" s="33"/>
      <c r="D560" s="132"/>
    </row>
    <row r="561" spans="2:4" ht="15.75" thickBot="1">
      <c r="B561" s="153" t="s">
        <v>64</v>
      </c>
      <c r="C561" s="54">
        <f>C551+C555+C559</f>
        <v>10306507984</v>
      </c>
      <c r="D561" s="767">
        <f>D551+D555+D559</f>
        <v>11750531403</v>
      </c>
    </row>
    <row r="562" spans="1:4" s="58" customFormat="1" ht="15" customHeight="1" thickTop="1">
      <c r="A562" s="55"/>
      <c r="B562" s="56"/>
      <c r="C562" s="57"/>
      <c r="D562" s="57"/>
    </row>
    <row r="563" spans="1:4" s="58" customFormat="1" ht="15" customHeight="1">
      <c r="A563" s="55"/>
      <c r="B563" s="56"/>
      <c r="C563" s="57"/>
      <c r="D563" s="57"/>
    </row>
    <row r="564" spans="1:5" s="58" customFormat="1" ht="15" customHeight="1">
      <c r="A564" s="302" t="s">
        <v>1114</v>
      </c>
      <c r="B564" s="154"/>
      <c r="C564" s="154"/>
      <c r="D564" s="154"/>
      <c r="E564" s="154"/>
    </row>
    <row r="565" spans="1:5" s="58" customFormat="1" ht="15" customHeight="1">
      <c r="A565" s="302"/>
      <c r="B565" s="154"/>
      <c r="C565" s="154"/>
      <c r="D565" s="154"/>
      <c r="E565" s="154"/>
    </row>
    <row r="566" spans="1:4" s="58" customFormat="1" ht="15" customHeight="1" thickBot="1">
      <c r="A566" s="55"/>
      <c r="B566" s="56"/>
      <c r="C566" s="57"/>
      <c r="D566" s="57"/>
    </row>
    <row r="567" spans="1:5" s="58" customFormat="1" ht="15" customHeight="1">
      <c r="A567" s="918" t="s">
        <v>402</v>
      </c>
      <c r="B567" s="919"/>
      <c r="C567" s="156"/>
      <c r="D567" s="156"/>
      <c r="E567" s="157"/>
    </row>
    <row r="568" spans="1:5" s="58" customFormat="1" ht="15" customHeight="1">
      <c r="A568" s="920"/>
      <c r="B568" s="921"/>
      <c r="C568" s="916" t="s">
        <v>403</v>
      </c>
      <c r="D568" s="940" t="s">
        <v>404</v>
      </c>
      <c r="E568" s="941"/>
    </row>
    <row r="569" spans="1:5" s="58" customFormat="1" ht="30" customHeight="1" thickBot="1">
      <c r="A569" s="922"/>
      <c r="B569" s="923"/>
      <c r="C569" s="917"/>
      <c r="D569" s="155" t="s">
        <v>405</v>
      </c>
      <c r="E569" s="182" t="s">
        <v>418</v>
      </c>
    </row>
    <row r="570" spans="1:5" s="58" customFormat="1" ht="15" customHeight="1">
      <c r="A570" s="158" t="s">
        <v>406</v>
      </c>
      <c r="B570" s="159"/>
      <c r="C570" s="187">
        <v>6613631362</v>
      </c>
      <c r="D570" s="159"/>
      <c r="E570" s="160"/>
    </row>
    <row r="571" spans="1:5" s="58" customFormat="1" ht="15" customHeight="1">
      <c r="A571" s="161" t="s">
        <v>407</v>
      </c>
      <c r="B571" s="162"/>
      <c r="C571" s="183">
        <v>235982018</v>
      </c>
      <c r="D571" s="184">
        <v>0</v>
      </c>
      <c r="E571" s="188">
        <v>0</v>
      </c>
    </row>
    <row r="572" spans="1:5" s="58" customFormat="1" ht="15" customHeight="1">
      <c r="A572" s="161" t="s">
        <v>408</v>
      </c>
      <c r="B572" s="162"/>
      <c r="C572" s="183">
        <v>1760480215</v>
      </c>
      <c r="D572" s="184">
        <v>269556575</v>
      </c>
      <c r="E572" s="188">
        <v>0.15</v>
      </c>
    </row>
    <row r="573" spans="1:5" s="58" customFormat="1" ht="15" customHeight="1">
      <c r="A573" s="161" t="s">
        <v>409</v>
      </c>
      <c r="B573" s="162"/>
      <c r="C573" s="183">
        <v>5748509256</v>
      </c>
      <c r="D573" s="184">
        <v>5748509256</v>
      </c>
      <c r="E573" s="188">
        <v>1</v>
      </c>
    </row>
    <row r="574" spans="1:5" s="58" customFormat="1" ht="15" customHeight="1">
      <c r="A574" s="163" t="s">
        <v>410</v>
      </c>
      <c r="B574" s="164"/>
      <c r="C574" s="185">
        <f>SUM(C571:C573)</f>
        <v>7744971489</v>
      </c>
      <c r="D574" s="186">
        <f>SUM(D571:D573)</f>
        <v>6018065831</v>
      </c>
      <c r="E574" s="189">
        <v>0.78</v>
      </c>
    </row>
    <row r="575" spans="1:5" s="58" customFormat="1" ht="15" customHeight="1">
      <c r="A575" s="165"/>
      <c r="B575" s="166"/>
      <c r="C575" s="166"/>
      <c r="D575" s="166"/>
      <c r="E575" s="167"/>
    </row>
    <row r="576" spans="1:5" s="58" customFormat="1" ht="15" customHeight="1">
      <c r="A576" s="177" t="s">
        <v>1135</v>
      </c>
      <c r="B576" s="164"/>
      <c r="C576" s="164"/>
      <c r="D576" s="793"/>
      <c r="E576" s="793">
        <f>C570+C574</f>
        <v>14358602851</v>
      </c>
    </row>
    <row r="577" spans="1:5" s="58" customFormat="1" ht="15" customHeight="1">
      <c r="A577" s="177" t="s">
        <v>1134</v>
      </c>
      <c r="B577" s="164"/>
      <c r="C577" s="164"/>
      <c r="D577" s="793"/>
      <c r="E577" s="793">
        <f>D574</f>
        <v>6018065831</v>
      </c>
    </row>
    <row r="578" spans="1:5" s="58" customFormat="1" ht="15" customHeight="1" thickBot="1">
      <c r="A578" s="178" t="s">
        <v>1136</v>
      </c>
      <c r="B578" s="168"/>
      <c r="C578" s="168"/>
      <c r="D578" s="794"/>
      <c r="E578" s="794">
        <f>E576-E577</f>
        <v>8340537020</v>
      </c>
    </row>
    <row r="579" spans="1:5" s="58" customFormat="1" ht="15" customHeight="1" thickBot="1">
      <c r="A579" s="169"/>
      <c r="B579" s="169"/>
      <c r="C579" s="169"/>
      <c r="D579" s="169"/>
      <c r="E579" s="169"/>
    </row>
    <row r="580" spans="1:5" s="58" customFormat="1" ht="15" customHeight="1">
      <c r="A580" s="179" t="s">
        <v>411</v>
      </c>
      <c r="B580" s="180"/>
      <c r="C580" s="180"/>
      <c r="D580" s="180"/>
      <c r="E580" s="181"/>
    </row>
    <row r="581" spans="1:5" s="58" customFormat="1" ht="15" customHeight="1" thickBot="1">
      <c r="A581" s="170" t="s">
        <v>412</v>
      </c>
      <c r="B581" s="171"/>
      <c r="C581" s="171"/>
      <c r="D581" s="171"/>
      <c r="E581" s="172"/>
    </row>
    <row r="582" spans="1:5" s="58" customFormat="1" ht="15" customHeight="1">
      <c r="A582" s="173" t="s">
        <v>407</v>
      </c>
      <c r="B582" s="174"/>
      <c r="C582" s="924" t="s">
        <v>413</v>
      </c>
      <c r="D582" s="925"/>
      <c r="E582" s="926"/>
    </row>
    <row r="583" spans="1:5" s="58" customFormat="1" ht="15" customHeight="1">
      <c r="A583" s="161" t="s">
        <v>414</v>
      </c>
      <c r="B583" s="162"/>
      <c r="C583" s="927" t="s">
        <v>415</v>
      </c>
      <c r="D583" s="928"/>
      <c r="E583" s="929"/>
    </row>
    <row r="584" spans="1:5" s="58" customFormat="1" ht="15" customHeight="1" thickBot="1">
      <c r="A584" s="175" t="s">
        <v>416</v>
      </c>
      <c r="B584" s="176"/>
      <c r="C584" s="930" t="s">
        <v>417</v>
      </c>
      <c r="D584" s="931"/>
      <c r="E584" s="932"/>
    </row>
    <row r="587" ht="18.75">
      <c r="A587" s="102" t="s">
        <v>419</v>
      </c>
    </row>
    <row r="588" ht="15.75">
      <c r="A588" s="97" t="s">
        <v>1082</v>
      </c>
    </row>
    <row r="589" ht="15.75">
      <c r="A589" s="97" t="s">
        <v>1115</v>
      </c>
    </row>
    <row r="592" ht="15">
      <c r="E592" s="878">
        <v>18</v>
      </c>
    </row>
    <row r="597" spans="2:5" s="12" customFormat="1" ht="15.75" thickBot="1">
      <c r="B597" s="29"/>
      <c r="C597" s="28">
        <v>2020</v>
      </c>
      <c r="D597" s="28">
        <v>2019</v>
      </c>
      <c r="E597" s="94"/>
    </row>
    <row r="598" spans="2:5" s="12" customFormat="1" ht="15">
      <c r="B598" s="29" t="s">
        <v>1138</v>
      </c>
      <c r="C598" s="1">
        <v>126997626</v>
      </c>
      <c r="D598" s="1">
        <v>0</v>
      </c>
      <c r="E598" s="86"/>
    </row>
    <row r="599" spans="2:5" s="12" customFormat="1" ht="15">
      <c r="B599" s="29" t="s">
        <v>65</v>
      </c>
      <c r="C599" s="1">
        <v>26958870</v>
      </c>
      <c r="D599" s="1">
        <v>0</v>
      </c>
      <c r="E599" s="10"/>
    </row>
    <row r="600" spans="2:5" s="12" customFormat="1" ht="15">
      <c r="B600" s="29" t="s">
        <v>420</v>
      </c>
      <c r="C600" s="1">
        <v>394908524</v>
      </c>
      <c r="D600" s="1">
        <v>367732306</v>
      </c>
      <c r="E600" s="10"/>
    </row>
    <row r="601" spans="2:5" s="12" customFormat="1" ht="15">
      <c r="B601" s="29" t="s">
        <v>1139</v>
      </c>
      <c r="C601" s="46">
        <v>47203220</v>
      </c>
      <c r="D601" s="835">
        <v>0</v>
      </c>
      <c r="E601" s="86"/>
    </row>
    <row r="602" spans="2:5" s="12" customFormat="1" ht="15">
      <c r="B602" s="29" t="s">
        <v>1057</v>
      </c>
      <c r="C602" s="85">
        <v>0</v>
      </c>
      <c r="D602" s="835">
        <v>0</v>
      </c>
      <c r="E602" s="86"/>
    </row>
    <row r="603" spans="2:5" s="12" customFormat="1" ht="15.75" customHeight="1">
      <c r="B603" s="29" t="s">
        <v>1137</v>
      </c>
      <c r="C603" s="46">
        <v>57105484</v>
      </c>
      <c r="D603" s="835">
        <v>0</v>
      </c>
      <c r="E603" s="86"/>
    </row>
    <row r="604" spans="2:5" ht="15.75" thickBot="1">
      <c r="B604" s="42" t="s">
        <v>66</v>
      </c>
      <c r="C604" s="13">
        <f>SUM(C598:C603)</f>
        <v>653173724</v>
      </c>
      <c r="D604" s="13">
        <f>SUM(D598:D603)</f>
        <v>367732306</v>
      </c>
      <c r="E604" s="11"/>
    </row>
    <row r="605" spans="2:5" ht="15.75" thickTop="1">
      <c r="B605" s="42"/>
      <c r="C605" s="11"/>
      <c r="D605" s="2"/>
      <c r="E605" s="11"/>
    </row>
    <row r="606" spans="2:5" ht="15">
      <c r="B606" s="799"/>
      <c r="C606" s="801"/>
      <c r="D606" s="800"/>
      <c r="E606" s="801"/>
    </row>
    <row r="607" spans="1:4" s="58" customFormat="1" ht="28.5" customHeight="1">
      <c r="A607" s="102" t="s">
        <v>421</v>
      </c>
      <c r="B607" s="56"/>
      <c r="C607" s="57"/>
      <c r="D607" s="57"/>
    </row>
    <row r="608" spans="1:4" s="58" customFormat="1" ht="15" customHeight="1">
      <c r="A608" s="97" t="s">
        <v>422</v>
      </c>
      <c r="B608" s="56"/>
      <c r="C608" s="57"/>
      <c r="D608" s="57"/>
    </row>
    <row r="609" spans="1:4" s="58" customFormat="1" ht="15" customHeight="1">
      <c r="A609" s="97" t="s">
        <v>1116</v>
      </c>
      <c r="B609" s="56"/>
      <c r="C609" s="57"/>
      <c r="D609" s="57"/>
    </row>
    <row r="610" spans="1:4" s="58" customFormat="1" ht="15" customHeight="1">
      <c r="A610" s="100" t="s">
        <v>335</v>
      </c>
      <c r="B610" s="56"/>
      <c r="C610" s="57"/>
      <c r="D610" s="57"/>
    </row>
    <row r="611" spans="1:4" s="58" customFormat="1" ht="14.25" customHeight="1">
      <c r="A611" s="39"/>
      <c r="B611" s="56"/>
      <c r="C611" s="57"/>
      <c r="D611" s="57"/>
    </row>
    <row r="612" spans="1:4" s="58" customFormat="1" ht="15" customHeight="1">
      <c r="A612" s="39"/>
      <c r="B612" s="192" t="s">
        <v>1083</v>
      </c>
      <c r="C612" s="57"/>
      <c r="D612" s="57"/>
    </row>
    <row r="613" spans="2:5" s="12" customFormat="1" ht="15">
      <c r="B613" s="84"/>
      <c r="C613" s="123">
        <v>2020</v>
      </c>
      <c r="D613" s="123">
        <v>2019</v>
      </c>
      <c r="E613" s="904"/>
    </row>
    <row r="614" spans="2:6" s="12" customFormat="1" ht="15">
      <c r="B614" s="7" t="s">
        <v>67</v>
      </c>
      <c r="C614" s="127">
        <v>0</v>
      </c>
      <c r="D614" s="127">
        <v>2222222228</v>
      </c>
      <c r="E614" s="904"/>
      <c r="F614" s="60"/>
    </row>
    <row r="615" spans="2:6" s="12" customFormat="1" ht="15">
      <c r="B615" s="7" t="s">
        <v>423</v>
      </c>
      <c r="C615" s="63">
        <v>0</v>
      </c>
      <c r="D615" s="46">
        <v>0</v>
      </c>
      <c r="E615" s="86"/>
      <c r="F615" s="10"/>
    </row>
    <row r="616" spans="2:6" s="12" customFormat="1" ht="15" customHeight="1" thickBot="1">
      <c r="B616" s="42" t="s">
        <v>424</v>
      </c>
      <c r="C616" s="196">
        <f>SUM(C614:C615)</f>
        <v>0</v>
      </c>
      <c r="D616" s="196">
        <f>SUM(D614:D615)</f>
        <v>2222222228</v>
      </c>
      <c r="E616" s="769"/>
      <c r="F616" s="60"/>
    </row>
    <row r="617" spans="2:6" s="12" customFormat="1" ht="14.25" customHeight="1">
      <c r="B617" s="62"/>
      <c r="C617" s="63"/>
      <c r="D617" s="64"/>
      <c r="E617" s="86"/>
      <c r="F617" s="10"/>
    </row>
    <row r="618" spans="2:6" s="12" customFormat="1" ht="15">
      <c r="B618" s="191" t="s">
        <v>425</v>
      </c>
      <c r="C618" s="63"/>
      <c r="D618" s="64"/>
      <c r="E618" s="86"/>
      <c r="F618" s="10"/>
    </row>
    <row r="619" spans="2:6" s="12" customFormat="1" ht="15">
      <c r="B619" s="7" t="s">
        <v>426</v>
      </c>
      <c r="C619" s="63">
        <v>105539499</v>
      </c>
      <c r="D619" s="63">
        <v>152133308</v>
      </c>
      <c r="E619" s="86"/>
      <c r="F619" s="10"/>
    </row>
    <row r="620" spans="2:6" s="12" customFormat="1" ht="15">
      <c r="B620" s="7" t="s">
        <v>427</v>
      </c>
      <c r="C620" s="63">
        <v>0</v>
      </c>
      <c r="D620" s="63">
        <v>171840879</v>
      </c>
      <c r="E620" s="86"/>
      <c r="F620" s="10"/>
    </row>
    <row r="621" spans="2:5" s="12" customFormat="1" ht="15" customHeight="1">
      <c r="B621" s="29" t="s">
        <v>428</v>
      </c>
      <c r="C621" s="63">
        <v>0</v>
      </c>
      <c r="D621" s="63">
        <v>0</v>
      </c>
      <c r="E621" s="938"/>
    </row>
    <row r="622" spans="2:5" s="12" customFormat="1" ht="15.75" thickBot="1">
      <c r="B622" s="5" t="s">
        <v>429</v>
      </c>
      <c r="C622" s="196">
        <f>SUM(C619:C621)</f>
        <v>105539499</v>
      </c>
      <c r="D622" s="196">
        <f>SUM(D619:D621)</f>
        <v>323974187</v>
      </c>
      <c r="E622" s="938"/>
    </row>
    <row r="623" spans="2:5" s="12" customFormat="1" ht="9" customHeight="1">
      <c r="B623" s="62"/>
      <c r="C623" s="63"/>
      <c r="D623" s="10"/>
      <c r="E623" s="938"/>
    </row>
    <row r="624" spans="2:5" s="12" customFormat="1" ht="16.5" customHeight="1">
      <c r="B624" s="191" t="s">
        <v>430</v>
      </c>
      <c r="C624" s="63"/>
      <c r="D624" s="11"/>
      <c r="E624" s="9"/>
    </row>
    <row r="625" spans="2:5" s="12" customFormat="1" ht="13.5" customHeight="1">
      <c r="B625" s="7"/>
      <c r="C625" s="63"/>
      <c r="D625" s="11"/>
      <c r="E625" s="9"/>
    </row>
    <row r="626" spans="2:5" s="12" customFormat="1" ht="16.5" customHeight="1">
      <c r="B626" s="7" t="s">
        <v>431</v>
      </c>
      <c r="C626" s="63">
        <v>0</v>
      </c>
      <c r="D626" s="46">
        <v>0</v>
      </c>
      <c r="E626" s="86"/>
    </row>
    <row r="627" spans="2:4" s="12" customFormat="1" ht="15">
      <c r="B627" s="7" t="s">
        <v>432</v>
      </c>
      <c r="C627" s="193">
        <v>0</v>
      </c>
      <c r="D627" s="46">
        <v>0</v>
      </c>
    </row>
    <row r="628" spans="2:4" s="12" customFormat="1" ht="15">
      <c r="B628" s="7" t="s">
        <v>1022</v>
      </c>
      <c r="C628" s="63">
        <v>0</v>
      </c>
      <c r="D628" s="46">
        <v>0</v>
      </c>
    </row>
    <row r="629" spans="2:4" s="12" customFormat="1" ht="15">
      <c r="B629" s="7" t="s">
        <v>436</v>
      </c>
      <c r="C629" s="63">
        <v>0</v>
      </c>
      <c r="D629" s="46">
        <v>0</v>
      </c>
    </row>
    <row r="630" spans="2:4" s="12" customFormat="1" ht="15">
      <c r="B630" s="7" t="s">
        <v>433</v>
      </c>
      <c r="C630" s="63">
        <v>0</v>
      </c>
      <c r="D630" s="64">
        <v>0</v>
      </c>
    </row>
    <row r="631" spans="2:4" s="12" customFormat="1" ht="15.75" thickBot="1">
      <c r="B631" s="5" t="s">
        <v>434</v>
      </c>
      <c r="C631" s="196">
        <f>SUM(C626:C630)</f>
        <v>0</v>
      </c>
      <c r="D631" s="196">
        <f>SUM(D626:D630)</f>
        <v>0</v>
      </c>
    </row>
    <row r="632" spans="2:4" s="12" customFormat="1" ht="15">
      <c r="B632" s="5"/>
      <c r="C632" s="63"/>
      <c r="D632" s="195"/>
    </row>
    <row r="633" spans="2:4" s="12" customFormat="1" ht="27" customHeight="1" thickBot="1">
      <c r="B633" s="5" t="s">
        <v>435</v>
      </c>
      <c r="C633" s="194">
        <f>C616+C622+C631</f>
        <v>105539499</v>
      </c>
      <c r="D633" s="194">
        <f>D616+D622+D631</f>
        <v>2546196415</v>
      </c>
    </row>
    <row r="634" spans="2:4" s="12" customFormat="1" ht="15" customHeight="1" thickTop="1">
      <c r="B634" s="59"/>
      <c r="C634" s="190"/>
      <c r="D634" s="11"/>
    </row>
    <row r="635" spans="2:4" s="12" customFormat="1" ht="15.75">
      <c r="B635" s="192" t="s">
        <v>1084</v>
      </c>
      <c r="C635" s="190"/>
      <c r="D635" s="11"/>
    </row>
    <row r="636" spans="2:4" s="270" customFormat="1" ht="15">
      <c r="B636" s="266" t="s">
        <v>1085</v>
      </c>
      <c r="C636" s="63">
        <v>0</v>
      </c>
      <c r="D636" s="63">
        <v>0</v>
      </c>
    </row>
    <row r="637" spans="2:4" s="795" customFormat="1" ht="16.5" thickBot="1">
      <c r="B637" s="192" t="s">
        <v>1086</v>
      </c>
      <c r="C637" s="194">
        <v>0</v>
      </c>
      <c r="D637" s="13">
        <f>D636</f>
        <v>0</v>
      </c>
    </row>
    <row r="638" spans="2:4" s="795" customFormat="1" ht="16.5" thickTop="1">
      <c r="B638" s="192"/>
      <c r="C638" s="190"/>
      <c r="D638" s="791"/>
    </row>
    <row r="639" spans="2:4" s="795" customFormat="1" ht="15.75">
      <c r="B639" s="192"/>
      <c r="C639" s="190"/>
      <c r="D639" s="834"/>
    </row>
    <row r="640" spans="2:4" s="795" customFormat="1" ht="15.75">
      <c r="B640" s="192"/>
      <c r="C640" s="190"/>
      <c r="D640" s="834"/>
    </row>
    <row r="641" spans="2:4" s="795" customFormat="1" ht="15.75">
      <c r="B641" s="192"/>
      <c r="C641" s="190"/>
      <c r="D641" s="834"/>
    </row>
    <row r="642" spans="2:5" s="795" customFormat="1" ht="15.75">
      <c r="B642" s="192"/>
      <c r="C642" s="190"/>
      <c r="D642" s="834"/>
      <c r="E642" s="877">
        <v>19</v>
      </c>
    </row>
    <row r="643" spans="2:4" s="795" customFormat="1" ht="15.75">
      <c r="B643" s="192"/>
      <c r="C643" s="190"/>
      <c r="D643" s="834"/>
    </row>
    <row r="644" spans="2:4" s="795" customFormat="1" ht="15.75">
      <c r="B644" s="192"/>
      <c r="C644" s="190"/>
      <c r="D644" s="834"/>
    </row>
    <row r="645" spans="2:4" s="795" customFormat="1" ht="15.75">
      <c r="B645" s="192"/>
      <c r="C645" s="190"/>
      <c r="D645" s="834"/>
    </row>
    <row r="646" spans="2:4" s="795" customFormat="1" ht="15">
      <c r="B646" s="192"/>
      <c r="C646" s="190"/>
      <c r="D646" s="834"/>
    </row>
    <row r="647" spans="2:4" s="795" customFormat="1" ht="24" customHeight="1">
      <c r="B647" s="192"/>
      <c r="C647" s="190"/>
      <c r="D647" s="834"/>
    </row>
    <row r="648" spans="1:4" s="12" customFormat="1" ht="18.75">
      <c r="A648" s="111" t="s">
        <v>437</v>
      </c>
      <c r="B648" s="59"/>
      <c r="C648" s="190"/>
      <c r="D648" s="11"/>
    </row>
    <row r="649" spans="1:4" s="12" customFormat="1" ht="15.75">
      <c r="A649" s="97" t="s">
        <v>438</v>
      </c>
      <c r="B649" s="59"/>
      <c r="C649" s="190"/>
      <c r="D649" s="11"/>
    </row>
    <row r="650" spans="1:4" s="12" customFormat="1" ht="16.5">
      <c r="A650" s="145" t="s">
        <v>1117</v>
      </c>
      <c r="B650" s="59"/>
      <c r="C650" s="190"/>
      <c r="D650" s="11"/>
    </row>
    <row r="651" spans="1:4" s="12" customFormat="1" ht="15.75">
      <c r="A651" s="97" t="s">
        <v>439</v>
      </c>
      <c r="B651" s="59"/>
      <c r="C651" s="190"/>
      <c r="D651" s="11"/>
    </row>
    <row r="652" spans="1:4" s="12" customFormat="1" ht="15.75">
      <c r="A652" s="97"/>
      <c r="B652" s="59"/>
      <c r="C652" s="190"/>
      <c r="D652" s="834"/>
    </row>
    <row r="653" spans="1:4" s="12" customFormat="1" ht="15.75">
      <c r="A653" s="97"/>
      <c r="B653" s="59"/>
      <c r="C653" s="190"/>
      <c r="D653" s="834"/>
    </row>
    <row r="654" spans="2:4" s="12" customFormat="1" ht="15">
      <c r="B654" s="59"/>
      <c r="C654" s="190"/>
      <c r="D654" s="11"/>
    </row>
    <row r="655" spans="2:5" s="12" customFormat="1" ht="15.75" thickBot="1">
      <c r="B655" s="31"/>
      <c r="C655" s="28">
        <v>2020</v>
      </c>
      <c r="D655" s="28">
        <v>2019</v>
      </c>
      <c r="E655" s="65"/>
    </row>
    <row r="656" spans="2:5" s="12" customFormat="1" ht="15">
      <c r="B656" s="26" t="s">
        <v>426</v>
      </c>
      <c r="C656" s="1">
        <v>7439513</v>
      </c>
      <c r="D656" s="1">
        <v>2432990002</v>
      </c>
      <c r="E656" s="66"/>
    </row>
    <row r="657" spans="2:5" s="12" customFormat="1" ht="15">
      <c r="B657" s="26" t="s">
        <v>68</v>
      </c>
      <c r="C657" s="1">
        <v>0</v>
      </c>
      <c r="D657" s="1">
        <v>918425000</v>
      </c>
      <c r="E657" s="66"/>
    </row>
    <row r="658" spans="2:5" s="12" customFormat="1" ht="15">
      <c r="B658" s="26" t="s">
        <v>427</v>
      </c>
      <c r="C658" s="1">
        <v>65551736</v>
      </c>
      <c r="D658" s="1">
        <v>116254011</v>
      </c>
      <c r="E658" s="66"/>
    </row>
    <row r="659" spans="2:5" s="12" customFormat="1" ht="15">
      <c r="B659" s="26" t="s">
        <v>69</v>
      </c>
      <c r="C659" s="1">
        <v>2290038823</v>
      </c>
      <c r="D659" s="1">
        <v>116068821</v>
      </c>
      <c r="E659" s="66"/>
    </row>
    <row r="660" spans="2:5" s="12" customFormat="1" ht="15">
      <c r="B660" s="26" t="s">
        <v>1087</v>
      </c>
      <c r="C660" s="1">
        <v>0</v>
      </c>
      <c r="D660" s="1">
        <v>785645000</v>
      </c>
      <c r="E660" s="66"/>
    </row>
    <row r="661" spans="2:5" s="12" customFormat="1" ht="15">
      <c r="B661" s="26" t="s">
        <v>1140</v>
      </c>
      <c r="C661" s="46">
        <v>1005909000</v>
      </c>
      <c r="D661" s="85">
        <v>0</v>
      </c>
      <c r="E661" s="66"/>
    </row>
    <row r="662" spans="2:5" s="12" customFormat="1" ht="15">
      <c r="B662" s="26" t="s">
        <v>70</v>
      </c>
      <c r="C662" s="792">
        <v>0</v>
      </c>
      <c r="D662" s="46">
        <v>0</v>
      </c>
      <c r="E662" s="66"/>
    </row>
    <row r="663" spans="2:5" s="12" customFormat="1" ht="30.75" thickBot="1">
      <c r="B663" s="765" t="s">
        <v>1025</v>
      </c>
      <c r="C663" s="143">
        <f>SUM(C656:C661)</f>
        <v>3368939072</v>
      </c>
      <c r="D663" s="143">
        <f>SUM(D656:D662)</f>
        <v>4369382834</v>
      </c>
      <c r="E663" s="68"/>
    </row>
    <row r="664" spans="2:5" s="12" customFormat="1" ht="15.75" thickTop="1">
      <c r="B664" s="197"/>
      <c r="C664" s="9"/>
      <c r="D664" s="9"/>
      <c r="E664" s="9"/>
    </row>
    <row r="665" spans="2:4" s="12" customFormat="1" ht="15">
      <c r="B665" s="59"/>
      <c r="C665" s="190"/>
      <c r="D665" s="801"/>
    </row>
    <row r="666" s="112" customFormat="1" ht="13.5" customHeight="1">
      <c r="A666" s="102" t="s">
        <v>445</v>
      </c>
    </row>
    <row r="667" s="112" customFormat="1" ht="21" customHeight="1">
      <c r="A667" s="145" t="s">
        <v>440</v>
      </c>
    </row>
    <row r="668" spans="1:4" s="112" customFormat="1" ht="15" customHeight="1">
      <c r="A668" s="100" t="s">
        <v>1118</v>
      </c>
      <c r="B668" s="199"/>
      <c r="C668" s="200"/>
      <c r="D668" s="200"/>
    </row>
    <row r="669" s="112" customFormat="1" ht="12.75" customHeight="1"/>
    <row r="670" spans="2:4" s="112" customFormat="1" ht="15">
      <c r="B670" s="69" t="s">
        <v>71</v>
      </c>
      <c r="C670" s="69">
        <v>2020</v>
      </c>
      <c r="D670" s="69">
        <v>2019</v>
      </c>
    </row>
    <row r="671" spans="2:4" s="112" customFormat="1" ht="15">
      <c r="B671" s="26" t="s">
        <v>1023</v>
      </c>
      <c r="C671" s="36">
        <v>0</v>
      </c>
      <c r="D671" s="36">
        <v>0</v>
      </c>
    </row>
    <row r="672" spans="2:4" s="112" customFormat="1" ht="15">
      <c r="B672" s="26" t="s">
        <v>1058</v>
      </c>
      <c r="C672" s="36">
        <v>0</v>
      </c>
      <c r="D672" s="36">
        <v>1233870000</v>
      </c>
    </row>
    <row r="673" spans="2:4" s="112" customFormat="1" ht="15">
      <c r="B673" s="26" t="s">
        <v>72</v>
      </c>
      <c r="C673" s="36">
        <v>3347497000</v>
      </c>
      <c r="D673" s="36">
        <v>12127477356</v>
      </c>
    </row>
    <row r="674" spans="2:4" s="112" customFormat="1" ht="15">
      <c r="B674" s="26" t="s">
        <v>1088</v>
      </c>
      <c r="C674" s="36">
        <v>5077639000</v>
      </c>
      <c r="D674" s="36">
        <v>0</v>
      </c>
    </row>
    <row r="675" spans="2:4" s="112" customFormat="1" ht="15">
      <c r="B675" s="26" t="s">
        <v>441</v>
      </c>
      <c r="C675" s="36">
        <v>0</v>
      </c>
      <c r="D675" s="36">
        <v>0</v>
      </c>
    </row>
    <row r="676" spans="2:4" s="112" customFormat="1" ht="15">
      <c r="B676" s="26" t="s">
        <v>442</v>
      </c>
      <c r="C676" s="36">
        <v>0</v>
      </c>
      <c r="D676" s="36">
        <v>0</v>
      </c>
    </row>
    <row r="677" spans="2:4" s="112" customFormat="1" ht="15">
      <c r="B677" s="26" t="s">
        <v>74</v>
      </c>
      <c r="C677" s="36">
        <v>0</v>
      </c>
      <c r="D677" s="36">
        <v>0</v>
      </c>
    </row>
    <row r="678" spans="2:4" s="112" customFormat="1" ht="15">
      <c r="B678" s="26" t="s">
        <v>73</v>
      </c>
      <c r="C678" s="36">
        <v>2905480271</v>
      </c>
      <c r="D678" s="36">
        <v>2245815830</v>
      </c>
    </row>
    <row r="679" spans="2:4" s="112" customFormat="1" ht="15">
      <c r="B679" s="26" t="s">
        <v>443</v>
      </c>
      <c r="C679" s="36">
        <v>0</v>
      </c>
      <c r="D679" s="36">
        <v>98420</v>
      </c>
    </row>
    <row r="680" spans="2:4" s="112" customFormat="1" ht="15">
      <c r="B680" s="26" t="s">
        <v>16</v>
      </c>
      <c r="C680" s="36">
        <v>317100</v>
      </c>
      <c r="D680" s="36">
        <v>880600</v>
      </c>
    </row>
    <row r="681" spans="2:4" s="112" customFormat="1" ht="15">
      <c r="B681" s="26" t="s">
        <v>444</v>
      </c>
      <c r="C681" s="36">
        <v>0</v>
      </c>
      <c r="D681" s="36">
        <v>0</v>
      </c>
    </row>
    <row r="682" spans="2:4" ht="15.75" thickBot="1">
      <c r="B682" s="31" t="s">
        <v>75</v>
      </c>
      <c r="C682" s="37">
        <f>SUM(C671:C681)</f>
        <v>11330933371</v>
      </c>
      <c r="D682" s="203">
        <f>SUM(D671:D681)</f>
        <v>15608142206</v>
      </c>
    </row>
    <row r="683" spans="2:4" ht="15.75" thickTop="1">
      <c r="B683" s="31"/>
      <c r="C683" s="68"/>
      <c r="D683" s="68"/>
    </row>
    <row r="684" spans="1:4" s="58" customFormat="1" ht="15.75" customHeight="1">
      <c r="A684" s="102" t="s">
        <v>446</v>
      </c>
      <c r="B684" s="56"/>
      <c r="C684" s="57"/>
      <c r="D684" s="57"/>
    </row>
    <row r="685" spans="1:4" s="58" customFormat="1" ht="15.75" customHeight="1">
      <c r="A685" s="102"/>
      <c r="B685" s="56"/>
      <c r="C685" s="57"/>
      <c r="D685" s="57"/>
    </row>
    <row r="686" spans="1:6" s="226" customFormat="1" ht="16.5">
      <c r="A686" s="145" t="s">
        <v>1141</v>
      </c>
      <c r="B686" s="227"/>
      <c r="C686" s="227"/>
      <c r="D686" s="227"/>
      <c r="E686" s="227"/>
      <c r="F686" s="228"/>
    </row>
    <row r="687" spans="1:6" s="226" customFormat="1" ht="16.5">
      <c r="A687" s="145" t="s">
        <v>1142</v>
      </c>
      <c r="B687" s="227"/>
      <c r="C687" s="227"/>
      <c r="D687" s="227"/>
      <c r="E687" s="227"/>
      <c r="F687" s="228"/>
    </row>
    <row r="688" spans="1:6" s="226" customFormat="1" ht="16.5">
      <c r="A688" s="229" t="s">
        <v>1119</v>
      </c>
      <c r="B688" s="227"/>
      <c r="C688" s="227"/>
      <c r="D688" s="227"/>
      <c r="E688" s="227"/>
      <c r="F688" s="228"/>
    </row>
    <row r="689" spans="1:6" s="226" customFormat="1" ht="16.5">
      <c r="A689" s="229"/>
      <c r="B689" s="227"/>
      <c r="C689" s="227"/>
      <c r="D689" s="227"/>
      <c r="E689" s="227"/>
      <c r="F689" s="228"/>
    </row>
    <row r="690" spans="1:6" s="226" customFormat="1" ht="16.5">
      <c r="A690" s="229"/>
      <c r="B690" s="227"/>
      <c r="C690" s="227"/>
      <c r="D690" s="227"/>
      <c r="E690" s="227"/>
      <c r="F690" s="228"/>
    </row>
    <row r="691" spans="1:6" s="226" customFormat="1" ht="16.5">
      <c r="A691" s="229"/>
      <c r="B691" s="227"/>
      <c r="C691" s="227"/>
      <c r="D691" s="227"/>
      <c r="E691" s="230">
        <v>20</v>
      </c>
      <c r="F691" s="228"/>
    </row>
    <row r="692" spans="1:6" s="226" customFormat="1" ht="16.5">
      <c r="A692" s="229"/>
      <c r="B692" s="227"/>
      <c r="C692" s="227"/>
      <c r="D692" s="227"/>
      <c r="E692" s="227"/>
      <c r="F692" s="228"/>
    </row>
    <row r="693" spans="1:6" s="226" customFormat="1" ht="16.5">
      <c r="A693" s="229"/>
      <c r="B693" s="227"/>
      <c r="C693" s="227"/>
      <c r="D693" s="227"/>
      <c r="E693" s="227"/>
      <c r="F693" s="228"/>
    </row>
    <row r="694" spans="1:6" s="226" customFormat="1" ht="16.5">
      <c r="A694" s="229"/>
      <c r="B694" s="227"/>
      <c r="C694" s="227"/>
      <c r="D694" s="227"/>
      <c r="E694" s="227"/>
      <c r="F694" s="228"/>
    </row>
    <row r="695" spans="1:6" s="226" customFormat="1" ht="16.5">
      <c r="A695" s="229"/>
      <c r="B695" s="227"/>
      <c r="C695" s="227"/>
      <c r="D695" s="227"/>
      <c r="E695" s="227"/>
      <c r="F695" s="228"/>
    </row>
    <row r="696" spans="1:6" s="226" customFormat="1" ht="16.5">
      <c r="A696" s="229"/>
      <c r="B696" s="227"/>
      <c r="C696" s="227"/>
      <c r="D696" s="227"/>
      <c r="E696" s="227"/>
      <c r="F696" s="228"/>
    </row>
    <row r="697" spans="1:6" s="226" customFormat="1" ht="16.5">
      <c r="A697" s="229"/>
      <c r="B697" s="227"/>
      <c r="C697" s="227"/>
      <c r="D697" s="227"/>
      <c r="E697" s="227"/>
      <c r="F697" s="228"/>
    </row>
    <row r="698" spans="1:6" s="226" customFormat="1" ht="17.25" thickBot="1">
      <c r="A698" s="229"/>
      <c r="B698" s="227"/>
      <c r="C698" s="227"/>
      <c r="D698" s="230">
        <v>2020</v>
      </c>
      <c r="E698" s="230">
        <v>2019</v>
      </c>
      <c r="F698" s="228"/>
    </row>
    <row r="699" spans="1:6" s="112" customFormat="1" ht="15.75" thickBot="1">
      <c r="A699" s="206" t="s">
        <v>76</v>
      </c>
      <c r="B699" s="207" t="s">
        <v>77</v>
      </c>
      <c r="C699" s="208" t="s">
        <v>78</v>
      </c>
      <c r="D699" s="208" t="s">
        <v>79</v>
      </c>
      <c r="E699" s="209" t="s">
        <v>79</v>
      </c>
      <c r="F699" s="204"/>
    </row>
    <row r="700" spans="1:6" s="112" customFormat="1" ht="15.75" thickBot="1">
      <c r="A700" s="898" t="s">
        <v>1120</v>
      </c>
      <c r="B700" s="899"/>
      <c r="C700" s="899"/>
      <c r="D700" s="899"/>
      <c r="E700" s="900"/>
      <c r="F700" s="204"/>
    </row>
    <row r="701" spans="1:6" s="112" customFormat="1" ht="15">
      <c r="A701" s="210" t="s">
        <v>88</v>
      </c>
      <c r="B701" s="211">
        <v>0</v>
      </c>
      <c r="C701" s="212">
        <v>0</v>
      </c>
      <c r="D701" s="772">
        <v>0</v>
      </c>
      <c r="E701" s="213">
        <v>1000000000</v>
      </c>
      <c r="F701" s="205"/>
    </row>
    <row r="702" spans="1:6" s="112" customFormat="1" ht="15">
      <c r="A702" s="214" t="s">
        <v>89</v>
      </c>
      <c r="B702" s="215">
        <v>0</v>
      </c>
      <c r="C702" s="216">
        <v>0</v>
      </c>
      <c r="D702" s="773">
        <v>0</v>
      </c>
      <c r="E702" s="217">
        <v>1000000000</v>
      </c>
      <c r="F702" s="205"/>
    </row>
    <row r="703" spans="1:6" s="112" customFormat="1" ht="15">
      <c r="A703" s="214" t="s">
        <v>90</v>
      </c>
      <c r="B703" s="215">
        <v>0</v>
      </c>
      <c r="C703" s="216">
        <v>0</v>
      </c>
      <c r="D703" s="773">
        <v>0</v>
      </c>
      <c r="E703" s="217">
        <v>1000000000</v>
      </c>
      <c r="F703" s="205"/>
    </row>
    <row r="704" spans="1:6" s="112" customFormat="1" ht="15.75" thickBot="1">
      <c r="A704" s="839" t="s">
        <v>91</v>
      </c>
      <c r="B704" s="840">
        <v>0</v>
      </c>
      <c r="C704" s="841">
        <v>0</v>
      </c>
      <c r="D704" s="842">
        <v>0</v>
      </c>
      <c r="E704" s="843">
        <v>1000000000</v>
      </c>
      <c r="F704" s="205"/>
    </row>
    <row r="705" spans="1:6" s="112" customFormat="1" ht="15.75" thickBot="1">
      <c r="A705" s="844"/>
      <c r="B705" s="845"/>
      <c r="C705" s="846"/>
      <c r="D705" s="847">
        <v>2020</v>
      </c>
      <c r="E705" s="848">
        <v>2019</v>
      </c>
      <c r="F705" s="205"/>
    </row>
    <row r="706" spans="1:6" s="112" customFormat="1" ht="15.75" thickBot="1">
      <c r="A706" s="898" t="s">
        <v>1121</v>
      </c>
      <c r="B706" s="899"/>
      <c r="C706" s="899"/>
      <c r="D706" s="899"/>
      <c r="E706" s="900"/>
      <c r="F706" s="205"/>
    </row>
    <row r="707" spans="1:6" s="112" customFormat="1" ht="15">
      <c r="A707" s="214" t="s">
        <v>1122</v>
      </c>
      <c r="B707" s="215">
        <v>1000000000</v>
      </c>
      <c r="C707" s="216">
        <v>0</v>
      </c>
      <c r="D707" s="773">
        <f aca="true" t="shared" si="0" ref="D707:D716">B707+C707</f>
        <v>1000000000</v>
      </c>
      <c r="E707" s="218">
        <v>0</v>
      </c>
      <c r="F707" s="205"/>
    </row>
    <row r="708" spans="1:6" s="112" customFormat="1" ht="15">
      <c r="A708" s="214" t="s">
        <v>92</v>
      </c>
      <c r="B708" s="215">
        <v>0</v>
      </c>
      <c r="C708" s="838">
        <v>1000000000</v>
      </c>
      <c r="D708" s="773">
        <f t="shared" si="0"/>
        <v>1000000000</v>
      </c>
      <c r="E708" s="218">
        <v>0</v>
      </c>
      <c r="F708" s="205"/>
    </row>
    <row r="709" spans="1:6" s="112" customFormat="1" ht="15">
      <c r="A709" s="214" t="s">
        <v>80</v>
      </c>
      <c r="B709" s="215">
        <v>0</v>
      </c>
      <c r="C709" s="838">
        <v>1000000000</v>
      </c>
      <c r="D709" s="773">
        <f t="shared" si="0"/>
        <v>1000000000</v>
      </c>
      <c r="E709" s="218">
        <v>0</v>
      </c>
      <c r="F709" s="205"/>
    </row>
    <row r="710" spans="1:6" s="112" customFormat="1" ht="15">
      <c r="A710" s="214" t="s">
        <v>81</v>
      </c>
      <c r="B710" s="215">
        <v>0</v>
      </c>
      <c r="C710" s="219">
        <v>2000000000</v>
      </c>
      <c r="D710" s="773">
        <f t="shared" si="0"/>
        <v>2000000000</v>
      </c>
      <c r="E710" s="218">
        <v>0</v>
      </c>
      <c r="F710" s="205"/>
    </row>
    <row r="711" spans="1:6" s="112" customFormat="1" ht="15">
      <c r="A711" s="214" t="s">
        <v>82</v>
      </c>
      <c r="B711" s="225">
        <v>0</v>
      </c>
      <c r="C711" s="219">
        <v>2000000000</v>
      </c>
      <c r="D711" s="773">
        <f t="shared" si="0"/>
        <v>2000000000</v>
      </c>
      <c r="E711" s="218">
        <v>0</v>
      </c>
      <c r="F711" s="204"/>
    </row>
    <row r="712" spans="1:6" s="112" customFormat="1" ht="15">
      <c r="A712" s="214" t="s">
        <v>83</v>
      </c>
      <c r="B712" s="225">
        <v>0</v>
      </c>
      <c r="C712" s="219">
        <v>2000000000</v>
      </c>
      <c r="D712" s="773">
        <f t="shared" si="0"/>
        <v>2000000000</v>
      </c>
      <c r="E712" s="218">
        <v>0</v>
      </c>
      <c r="F712" s="204"/>
    </row>
    <row r="713" spans="1:6" s="112" customFormat="1" ht="15">
      <c r="A713" s="214" t="s">
        <v>84</v>
      </c>
      <c r="B713" s="225">
        <v>0</v>
      </c>
      <c r="C713" s="219">
        <v>2000000000</v>
      </c>
      <c r="D713" s="773">
        <f t="shared" si="0"/>
        <v>2000000000</v>
      </c>
      <c r="E713" s="218">
        <v>0</v>
      </c>
      <c r="F713" s="204"/>
    </row>
    <row r="714" spans="1:6" s="112" customFormat="1" ht="15">
      <c r="A714" s="214" t="s">
        <v>85</v>
      </c>
      <c r="B714" s="225">
        <v>0</v>
      </c>
      <c r="C714" s="219">
        <v>2000000000</v>
      </c>
      <c r="D714" s="773">
        <f t="shared" si="0"/>
        <v>2000000000</v>
      </c>
      <c r="E714" s="218">
        <v>0</v>
      </c>
      <c r="F714" s="204"/>
    </row>
    <row r="715" spans="1:6" s="112" customFormat="1" ht="15">
      <c r="A715" s="214" t="s">
        <v>86</v>
      </c>
      <c r="B715" s="225">
        <v>0</v>
      </c>
      <c r="C715" s="225">
        <v>2000000000</v>
      </c>
      <c r="D715" s="773">
        <f t="shared" si="0"/>
        <v>2000000000</v>
      </c>
      <c r="E715" s="218">
        <v>0</v>
      </c>
      <c r="F715" s="204"/>
    </row>
    <row r="716" spans="1:6" s="112" customFormat="1" ht="15">
      <c r="A716" s="214" t="s">
        <v>87</v>
      </c>
      <c r="B716" s="225">
        <v>0</v>
      </c>
      <c r="C716" s="225">
        <v>0</v>
      </c>
      <c r="D716" s="773">
        <f t="shared" si="0"/>
        <v>0</v>
      </c>
      <c r="E716" s="218">
        <v>0</v>
      </c>
      <c r="F716" s="204"/>
    </row>
    <row r="717" spans="1:5" s="112" customFormat="1" ht="13.5" customHeight="1" thickBot="1">
      <c r="A717" s="220" t="s">
        <v>79</v>
      </c>
      <c r="B717" s="221">
        <f>SUM(B701:B716)</f>
        <v>1000000000</v>
      </c>
      <c r="C717" s="222">
        <f>SUM(C701:C716)</f>
        <v>14000000000</v>
      </c>
      <c r="D717" s="223">
        <f>SUM(D707:D716)</f>
        <v>15000000000</v>
      </c>
      <c r="E717" s="224">
        <f>SUM(E701:E716)</f>
        <v>4000002019</v>
      </c>
    </row>
    <row r="718" s="112" customFormat="1" ht="13.5" customHeight="1"/>
    <row r="719" s="112" customFormat="1" ht="13.5" customHeight="1"/>
    <row r="720" s="112" customFormat="1" ht="13.5" customHeight="1"/>
    <row r="721" s="112" customFormat="1" ht="13.5" customHeight="1"/>
    <row r="722" s="112" customFormat="1" ht="18.75">
      <c r="A722" s="231" t="s">
        <v>448</v>
      </c>
    </row>
    <row r="723" s="226" customFormat="1" ht="16.5">
      <c r="A723" s="235" t="s">
        <v>449</v>
      </c>
    </row>
    <row r="724" s="112" customFormat="1" ht="15.75">
      <c r="A724" s="234" t="s">
        <v>450</v>
      </c>
    </row>
    <row r="725" s="112" customFormat="1" ht="15.75">
      <c r="A725" s="234" t="s">
        <v>1089</v>
      </c>
    </row>
    <row r="727" spans="2:4" ht="15.75" thickBot="1">
      <c r="B727" s="236" t="s">
        <v>447</v>
      </c>
      <c r="C727" s="237">
        <v>2020</v>
      </c>
      <c r="D727" s="237">
        <v>2019</v>
      </c>
    </row>
    <row r="728" spans="2:4" ht="15">
      <c r="B728" s="238"/>
      <c r="C728" s="246"/>
      <c r="D728" s="246"/>
    </row>
    <row r="729" spans="2:4" ht="15">
      <c r="B729" s="239" t="s">
        <v>93</v>
      </c>
      <c r="C729" s="240">
        <v>15186280</v>
      </c>
      <c r="D729" s="240">
        <v>13685927</v>
      </c>
    </row>
    <row r="730" spans="2:4" ht="15">
      <c r="B730" s="239" t="s">
        <v>451</v>
      </c>
      <c r="C730" s="240"/>
      <c r="D730" s="240"/>
    </row>
    <row r="731" spans="2:4" ht="15">
      <c r="B731" s="239" t="s">
        <v>94</v>
      </c>
      <c r="C731" s="240">
        <v>647558982</v>
      </c>
      <c r="D731" s="240">
        <f>535520819+100001</f>
        <v>535620820</v>
      </c>
    </row>
    <row r="732" spans="2:4" s="12" customFormat="1" ht="15">
      <c r="B732" s="239" t="s">
        <v>95</v>
      </c>
      <c r="C732" s="240">
        <v>219605221</v>
      </c>
      <c r="D732" s="240">
        <v>218911030</v>
      </c>
    </row>
    <row r="733" spans="2:4" s="12" customFormat="1" ht="15">
      <c r="B733" s="239" t="s">
        <v>96</v>
      </c>
      <c r="C733" s="242">
        <v>77625288</v>
      </c>
      <c r="D733" s="242">
        <v>330948434</v>
      </c>
    </row>
    <row r="734" spans="2:4" s="12" customFormat="1" ht="15">
      <c r="B734" s="238" t="s">
        <v>452</v>
      </c>
      <c r="C734" s="243">
        <f>SUM(C729:C733)</f>
        <v>959975771</v>
      </c>
      <c r="D734" s="243">
        <f>SUM(D729:D733)</f>
        <v>1099166211</v>
      </c>
    </row>
    <row r="735" spans="2:4" s="12" customFormat="1" ht="15">
      <c r="B735" s="238" t="s">
        <v>453</v>
      </c>
      <c r="C735" s="244"/>
      <c r="D735" s="244"/>
    </row>
    <row r="736" spans="2:4" s="12" customFormat="1" ht="15">
      <c r="B736" s="239" t="s">
        <v>454</v>
      </c>
      <c r="C736" s="242"/>
      <c r="D736" s="242"/>
    </row>
    <row r="737" spans="2:4" s="12" customFormat="1" ht="15.75" thickBot="1">
      <c r="B737" s="241" t="s">
        <v>455</v>
      </c>
      <c r="C737" s="245">
        <v>1853791642</v>
      </c>
      <c r="D737" s="245">
        <v>1716629332</v>
      </c>
    </row>
    <row r="738" spans="2:4" s="12" customFormat="1" ht="15.75" thickBot="1">
      <c r="B738" s="241" t="s">
        <v>79</v>
      </c>
      <c r="C738" s="245">
        <f>C734+C737</f>
        <v>2813767413</v>
      </c>
      <c r="D738" s="245">
        <f>D737+D734</f>
        <v>2815795543</v>
      </c>
    </row>
    <row r="739" spans="2:4" s="12" customFormat="1" ht="15">
      <c r="B739" s="232"/>
      <c r="C739" s="128"/>
      <c r="D739" s="128"/>
    </row>
    <row r="740" spans="2:4" s="12" customFormat="1" ht="15">
      <c r="B740" s="232"/>
      <c r="C740" s="128"/>
      <c r="D740" s="128"/>
    </row>
    <row r="741" spans="2:5" s="12" customFormat="1" ht="15">
      <c r="B741" s="232"/>
      <c r="C741" s="128"/>
      <c r="D741" s="128"/>
      <c r="E741" s="877">
        <v>21</v>
      </c>
    </row>
    <row r="742" spans="2:4" s="12" customFormat="1" ht="15">
      <c r="B742" s="232"/>
      <c r="C742" s="128"/>
      <c r="D742" s="128"/>
    </row>
    <row r="743" spans="2:4" s="12" customFormat="1" ht="15">
      <c r="B743" s="232"/>
      <c r="C743" s="128"/>
      <c r="D743" s="128"/>
    </row>
    <row r="744" spans="2:4" s="12" customFormat="1" ht="15">
      <c r="B744" s="232"/>
      <c r="C744" s="128"/>
      <c r="D744" s="128"/>
    </row>
    <row r="745" spans="2:4" s="12" customFormat="1" ht="15">
      <c r="B745" s="232"/>
      <c r="C745" s="128"/>
      <c r="D745" s="128"/>
    </row>
    <row r="746" spans="2:4" s="12" customFormat="1" ht="15">
      <c r="B746" s="232"/>
      <c r="C746" s="128"/>
      <c r="D746" s="128"/>
    </row>
    <row r="747" spans="2:4" s="12" customFormat="1" ht="15">
      <c r="B747" s="232"/>
      <c r="C747" s="128"/>
      <c r="D747" s="128"/>
    </row>
    <row r="748" spans="2:4" s="12" customFormat="1" ht="15">
      <c r="B748" s="232"/>
      <c r="C748" s="128"/>
      <c r="D748" s="128"/>
    </row>
    <row r="749" spans="1:4" s="12" customFormat="1" ht="18.75">
      <c r="A749" s="102" t="s">
        <v>456</v>
      </c>
      <c r="B749" s="233"/>
      <c r="C749" s="202"/>
      <c r="D749" s="202"/>
    </row>
    <row r="750" spans="1:4" s="12" customFormat="1" ht="16.5">
      <c r="A750" s="145" t="s">
        <v>457</v>
      </c>
      <c r="B750" s="233"/>
      <c r="C750" s="202"/>
      <c r="D750" s="202"/>
    </row>
    <row r="751" spans="1:4" s="12" customFormat="1" ht="15.75">
      <c r="A751" s="97" t="s">
        <v>458</v>
      </c>
      <c r="B751" s="233"/>
      <c r="C751" s="202"/>
      <c r="D751" s="202"/>
    </row>
    <row r="752" spans="1:4" s="12" customFormat="1" ht="15" customHeight="1">
      <c r="A752" s="100" t="s">
        <v>1123</v>
      </c>
      <c r="B752" s="233"/>
      <c r="C752" s="202"/>
      <c r="D752" s="202"/>
    </row>
    <row r="754" spans="2:4" s="12" customFormat="1" ht="15.75" thickBot="1">
      <c r="B754" s="69" t="s">
        <v>97</v>
      </c>
      <c r="C754" s="83">
        <v>2020</v>
      </c>
      <c r="D754" s="83">
        <v>2019</v>
      </c>
    </row>
    <row r="755" spans="2:4" s="12" customFormat="1" ht="15">
      <c r="B755" s="26" t="s">
        <v>459</v>
      </c>
      <c r="C755" s="198">
        <v>0</v>
      </c>
      <c r="D755" s="198">
        <v>0</v>
      </c>
    </row>
    <row r="756" spans="2:4" s="12" customFormat="1" ht="15">
      <c r="B756" s="26" t="s">
        <v>99</v>
      </c>
      <c r="C756" s="247">
        <v>15150414650</v>
      </c>
      <c r="D756" s="247">
        <v>10220024650</v>
      </c>
    </row>
    <row r="757" spans="2:4" s="12" customFormat="1" ht="15">
      <c r="B757" s="26" t="s">
        <v>100</v>
      </c>
      <c r="C757" s="247">
        <v>33798876022</v>
      </c>
      <c r="D757" s="247">
        <v>33431198407</v>
      </c>
    </row>
    <row r="758" spans="2:4" s="12" customFormat="1" ht="15">
      <c r="B758" s="26" t="s">
        <v>101</v>
      </c>
      <c r="C758" s="247">
        <v>364000000</v>
      </c>
      <c r="D758" s="247">
        <v>364000000</v>
      </c>
    </row>
    <row r="759" spans="2:4" s="12" customFormat="1" ht="15">
      <c r="B759" s="26" t="s">
        <v>102</v>
      </c>
      <c r="C759" s="247">
        <v>6083811840</v>
      </c>
      <c r="D759" s="247">
        <v>5726934320</v>
      </c>
    </row>
    <row r="760" spans="2:4" s="12" customFormat="1" ht="15">
      <c r="B760" s="26" t="s">
        <v>103</v>
      </c>
      <c r="C760" s="247">
        <v>3033000000</v>
      </c>
      <c r="D760" s="247">
        <v>3033000000</v>
      </c>
    </row>
    <row r="761" spans="2:4" s="12" customFormat="1" ht="15">
      <c r="B761" s="26" t="s">
        <v>460</v>
      </c>
      <c r="C761" s="247">
        <v>2045691000</v>
      </c>
      <c r="D761" s="247">
        <v>1494524250</v>
      </c>
    </row>
    <row r="762" spans="2:4" s="12" customFormat="1" ht="15.75" thickBot="1">
      <c r="B762" s="71" t="s">
        <v>98</v>
      </c>
      <c r="C762" s="248">
        <v>1199641801</v>
      </c>
      <c r="D762" s="248">
        <v>14084188050</v>
      </c>
    </row>
    <row r="763" spans="2:4" s="12" customFormat="1" ht="15.75" thickBot="1">
      <c r="B763" s="67" t="s">
        <v>461</v>
      </c>
      <c r="C763" s="249">
        <f>SUM(C755:C762)</f>
        <v>61675435313</v>
      </c>
      <c r="D763" s="249">
        <f>SUM(D755:D762)</f>
        <v>68353869677</v>
      </c>
    </row>
    <row r="764" spans="2:4" s="12" customFormat="1" ht="15">
      <c r="B764" s="233"/>
      <c r="C764" s="68"/>
      <c r="D764" s="68"/>
    </row>
    <row r="765" spans="2:4" s="12" customFormat="1" ht="15">
      <c r="B765" s="233"/>
      <c r="C765" s="68"/>
      <c r="D765" s="68"/>
    </row>
    <row r="766" spans="1:4" s="12" customFormat="1" ht="18.75">
      <c r="A766" s="102" t="s">
        <v>462</v>
      </c>
      <c r="B766" s="233"/>
      <c r="C766" s="68"/>
      <c r="D766" s="68"/>
    </row>
    <row r="767" s="12" customFormat="1" ht="14.25" customHeight="1">
      <c r="A767" s="145" t="s">
        <v>463</v>
      </c>
    </row>
    <row r="768" s="12" customFormat="1" ht="16.5">
      <c r="A768" s="145" t="s">
        <v>464</v>
      </c>
    </row>
    <row r="769" s="12" customFormat="1" ht="9" customHeight="1"/>
    <row r="770" spans="2:4" s="12" customFormat="1" ht="15">
      <c r="B770" s="896" t="s">
        <v>105</v>
      </c>
      <c r="C770" s="896">
        <v>2020</v>
      </c>
      <c r="D770" s="896">
        <v>20119</v>
      </c>
    </row>
    <row r="771" spans="2:4" s="12" customFormat="1" ht="15.75" thickBot="1">
      <c r="B771" s="896"/>
      <c r="C771" s="897"/>
      <c r="D771" s="897"/>
    </row>
    <row r="772" spans="2:4" s="12" customFormat="1" ht="15">
      <c r="B772" s="7" t="s">
        <v>465</v>
      </c>
      <c r="C772" s="46">
        <v>0</v>
      </c>
      <c r="D772" s="46">
        <v>0</v>
      </c>
    </row>
    <row r="773" spans="2:4" s="12" customFormat="1" ht="15">
      <c r="B773" s="7" t="s">
        <v>466</v>
      </c>
      <c r="C773" s="46">
        <v>0</v>
      </c>
      <c r="D773" s="46">
        <v>0</v>
      </c>
    </row>
    <row r="774" spans="2:4" s="12" customFormat="1" ht="15">
      <c r="B774" s="7" t="s">
        <v>106</v>
      </c>
      <c r="C774" s="46">
        <v>1260000000</v>
      </c>
      <c r="D774" s="46">
        <v>0</v>
      </c>
    </row>
    <row r="775" spans="2:4" s="12" customFormat="1" ht="15">
      <c r="B775" s="7" t="s">
        <v>107</v>
      </c>
      <c r="C775" s="46">
        <v>0</v>
      </c>
      <c r="D775" s="46">
        <v>0</v>
      </c>
    </row>
    <row r="776" spans="2:4" s="12" customFormat="1" ht="15">
      <c r="B776" s="7" t="s">
        <v>1143</v>
      </c>
      <c r="C776" s="46">
        <v>3900000000</v>
      </c>
      <c r="D776" s="46">
        <v>7140000000</v>
      </c>
    </row>
    <row r="777" spans="2:4" s="12" customFormat="1" ht="15">
      <c r="B777" s="7" t="s">
        <v>467</v>
      </c>
      <c r="C777" s="46">
        <v>1120000030</v>
      </c>
      <c r="D777" s="46">
        <v>0</v>
      </c>
    </row>
    <row r="778" spans="2:4" s="12" customFormat="1" ht="15">
      <c r="B778" s="7" t="s">
        <v>423</v>
      </c>
      <c r="C778" s="46">
        <v>0</v>
      </c>
      <c r="D778" s="46">
        <v>0</v>
      </c>
    </row>
    <row r="779" spans="2:4" s="12" customFormat="1" ht="15.75" thickBot="1">
      <c r="B779" s="7" t="s">
        <v>1144</v>
      </c>
      <c r="C779" s="120">
        <v>1260000030</v>
      </c>
      <c r="D779" s="120">
        <v>0</v>
      </c>
    </row>
    <row r="780" spans="2:4" s="12" customFormat="1" ht="30.75" thickBot="1">
      <c r="B780" s="5" t="s">
        <v>104</v>
      </c>
      <c r="C780" s="53">
        <f>SUM(C772:C779)</f>
        <v>7540000060</v>
      </c>
      <c r="D780" s="53">
        <f>SUM(D772:D779)</f>
        <v>7140000000</v>
      </c>
    </row>
    <row r="781" s="12" customFormat="1" ht="15.75" thickTop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>
      <c r="E792" s="878">
        <v>22</v>
      </c>
    </row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>
      <c r="A799" s="250" t="s">
        <v>468</v>
      </c>
    </row>
    <row r="800" ht="14.25" customHeight="1">
      <c r="A800" s="235" t="s">
        <v>469</v>
      </c>
    </row>
    <row r="801" ht="14.25" customHeight="1">
      <c r="A801" s="234" t="s">
        <v>470</v>
      </c>
    </row>
    <row r="802" ht="14.25" customHeight="1">
      <c r="A802" s="252" t="s">
        <v>1124</v>
      </c>
    </row>
    <row r="803" spans="2:6" s="12" customFormat="1" ht="12" customHeight="1">
      <c r="B803" s="837" t="s">
        <v>121</v>
      </c>
      <c r="C803" s="849" t="s">
        <v>108</v>
      </c>
      <c r="D803" s="837">
        <v>2020</v>
      </c>
      <c r="E803" s="50">
        <v>2019</v>
      </c>
      <c r="F803" s="836"/>
    </row>
    <row r="804" spans="2:6" s="12" customFormat="1" ht="15">
      <c r="B804" s="26" t="s">
        <v>109</v>
      </c>
      <c r="C804" s="72" t="s">
        <v>110</v>
      </c>
      <c r="D804" s="30">
        <v>50000000</v>
      </c>
      <c r="E804" s="1">
        <v>50000000</v>
      </c>
      <c r="F804" s="92"/>
    </row>
    <row r="805" spans="2:6" s="12" customFormat="1" ht="15">
      <c r="B805" s="26" t="s">
        <v>111</v>
      </c>
      <c r="C805" s="72" t="s">
        <v>110</v>
      </c>
      <c r="D805" s="30">
        <v>1535192600</v>
      </c>
      <c r="E805" s="253">
        <v>1535192600</v>
      </c>
      <c r="F805" s="92"/>
    </row>
    <row r="806" spans="2:6" s="12" customFormat="1" ht="15">
      <c r="B806" s="26" t="s">
        <v>112</v>
      </c>
      <c r="C806" s="796" t="s">
        <v>113</v>
      </c>
      <c r="D806" s="30">
        <v>700000000</v>
      </c>
      <c r="E806" s="1">
        <v>700000000</v>
      </c>
      <c r="F806" s="92"/>
    </row>
    <row r="807" spans="2:6" s="12" customFormat="1" ht="15">
      <c r="B807" s="26" t="s">
        <v>114</v>
      </c>
      <c r="C807" s="72" t="s">
        <v>110</v>
      </c>
      <c r="D807" s="30">
        <v>735000000</v>
      </c>
      <c r="E807" s="1">
        <v>735000000</v>
      </c>
      <c r="F807" s="92"/>
    </row>
    <row r="808" spans="2:6" s="12" customFormat="1" ht="15">
      <c r="B808" s="26" t="s">
        <v>115</v>
      </c>
      <c r="C808" s="72" t="s">
        <v>110</v>
      </c>
      <c r="D808" s="30">
        <v>88000000</v>
      </c>
      <c r="E808" s="1">
        <v>88000000</v>
      </c>
      <c r="F808" s="894"/>
    </row>
    <row r="809" spans="2:6" s="12" customFormat="1" ht="15">
      <c r="B809" s="26" t="s">
        <v>116</v>
      </c>
      <c r="C809" s="72" t="s">
        <v>110</v>
      </c>
      <c r="D809" s="30">
        <v>600000000</v>
      </c>
      <c r="E809" s="1">
        <v>600000000</v>
      </c>
      <c r="F809" s="894"/>
    </row>
    <row r="810" spans="2:6" s="12" customFormat="1" ht="15">
      <c r="B810" s="26" t="s">
        <v>471</v>
      </c>
      <c r="C810" s="72" t="s">
        <v>110</v>
      </c>
      <c r="D810" s="30">
        <v>522067962</v>
      </c>
      <c r="E810" s="1">
        <v>522067962</v>
      </c>
      <c r="F810" s="894"/>
    </row>
    <row r="811" spans="2:6" s="12" customFormat="1" ht="15">
      <c r="B811" s="26" t="s">
        <v>117</v>
      </c>
      <c r="C811" s="72" t="s">
        <v>110</v>
      </c>
      <c r="D811" s="30">
        <v>901640000</v>
      </c>
      <c r="E811" s="1">
        <v>901640000</v>
      </c>
      <c r="F811" s="894"/>
    </row>
    <row r="812" spans="2:6" s="12" customFormat="1" ht="15">
      <c r="B812" s="26" t="s">
        <v>118</v>
      </c>
      <c r="C812" s="72" t="s">
        <v>110</v>
      </c>
      <c r="D812" s="30">
        <v>1919500000</v>
      </c>
      <c r="E812" s="253">
        <v>1919500000</v>
      </c>
      <c r="F812" s="894"/>
    </row>
    <row r="813" spans="2:6" s="12" customFormat="1" ht="15">
      <c r="B813" s="26" t="s">
        <v>119</v>
      </c>
      <c r="C813" s="72" t="s">
        <v>110</v>
      </c>
      <c r="D813" s="30">
        <v>805000000</v>
      </c>
      <c r="E813" s="1">
        <v>805000000</v>
      </c>
      <c r="F813" s="894"/>
    </row>
    <row r="814" spans="2:6" s="12" customFormat="1" ht="15">
      <c r="B814" s="26" t="s">
        <v>472</v>
      </c>
      <c r="C814" s="72" t="s">
        <v>110</v>
      </c>
      <c r="D814" s="30">
        <v>575000000</v>
      </c>
      <c r="E814" s="1">
        <v>575000000</v>
      </c>
      <c r="F814" s="894"/>
    </row>
    <row r="815" spans="2:6" s="12" customFormat="1" ht="15.75" thickBot="1">
      <c r="B815" s="26" t="s">
        <v>120</v>
      </c>
      <c r="C815" s="72" t="s">
        <v>110</v>
      </c>
      <c r="D815" s="70">
        <v>440000000</v>
      </c>
      <c r="E815" s="41">
        <v>440000000</v>
      </c>
      <c r="F815" s="894"/>
    </row>
    <row r="816" spans="2:6" s="12" customFormat="1" ht="15">
      <c r="B816" s="31"/>
      <c r="C816" s="31"/>
      <c r="D816" s="254"/>
      <c r="E816" s="42"/>
      <c r="F816" s="895"/>
    </row>
    <row r="817" spans="2:6" s="12" customFormat="1" ht="15.75" thickBot="1">
      <c r="B817" s="31" t="s">
        <v>473</v>
      </c>
      <c r="C817" s="31"/>
      <c r="D817" s="201">
        <v>9211400562</v>
      </c>
      <c r="E817" s="255">
        <v>9211400562</v>
      </c>
      <c r="F817" s="895"/>
    </row>
    <row r="818" spans="2:5" s="12" customFormat="1" ht="6.75" customHeight="1" thickTop="1">
      <c r="B818" s="233"/>
      <c r="C818" s="251"/>
      <c r="D818" s="68"/>
      <c r="E818" s="68"/>
    </row>
    <row r="819" s="12" customFormat="1" ht="15" customHeight="1">
      <c r="A819" s="110" t="s">
        <v>474</v>
      </c>
    </row>
    <row r="820" s="267" customFormat="1" ht="13.5">
      <c r="A820" s="266" t="s">
        <v>475</v>
      </c>
    </row>
    <row r="821" s="267" customFormat="1" ht="13.5">
      <c r="A821" s="266" t="s">
        <v>476</v>
      </c>
    </row>
    <row r="822" s="267" customFormat="1" ht="13.5">
      <c r="A822" s="266" t="s">
        <v>477</v>
      </c>
    </row>
    <row r="823" s="267" customFormat="1" ht="13.5">
      <c r="A823" s="266" t="s">
        <v>478</v>
      </c>
    </row>
    <row r="824" s="267" customFormat="1" ht="13.5">
      <c r="A824" s="266" t="s">
        <v>479</v>
      </c>
    </row>
    <row r="825" s="267" customFormat="1" ht="13.5">
      <c r="A825" s="266" t="s">
        <v>480</v>
      </c>
    </row>
    <row r="826" s="267" customFormat="1" ht="13.5">
      <c r="A826" s="266" t="s">
        <v>481</v>
      </c>
    </row>
    <row r="827" s="267" customFormat="1" ht="13.5">
      <c r="A827" s="266" t="s">
        <v>482</v>
      </c>
    </row>
    <row r="828" s="267" customFormat="1" ht="13.5">
      <c r="A828" s="266" t="s">
        <v>483</v>
      </c>
    </row>
    <row r="829" s="267" customFormat="1" ht="13.5">
      <c r="A829" s="268" t="s">
        <v>484</v>
      </c>
    </row>
    <row r="830" s="267" customFormat="1" ht="13.5">
      <c r="A830" s="266" t="s">
        <v>485</v>
      </c>
    </row>
    <row r="831" s="267" customFormat="1" ht="13.5">
      <c r="A831" s="266" t="s">
        <v>486</v>
      </c>
    </row>
    <row r="832" s="12" customFormat="1" ht="16.5">
      <c r="A832" s="229" t="s">
        <v>487</v>
      </c>
    </row>
    <row r="833" s="12" customFormat="1" ht="9" customHeight="1" thickBot="1">
      <c r="A833" s="229"/>
    </row>
    <row r="834" spans="2:5" s="12" customFormat="1" ht="30.75" thickBot="1">
      <c r="B834" s="256" t="s">
        <v>488</v>
      </c>
      <c r="C834" s="257" t="s">
        <v>489</v>
      </c>
      <c r="D834" s="257" t="s">
        <v>490</v>
      </c>
      <c r="E834" s="770" t="s">
        <v>491</v>
      </c>
    </row>
    <row r="835" spans="2:5" s="12" customFormat="1" ht="27.75" thickBot="1">
      <c r="B835" s="258" t="s">
        <v>492</v>
      </c>
      <c r="C835" s="261">
        <v>9931000000</v>
      </c>
      <c r="D835" s="261">
        <v>352599475</v>
      </c>
      <c r="E835" s="263">
        <f>C835-D835</f>
        <v>9578400525</v>
      </c>
    </row>
    <row r="836" spans="2:5" s="12" customFormat="1" ht="36.75" customHeight="1" thickBot="1">
      <c r="B836" s="258" t="s">
        <v>496</v>
      </c>
      <c r="C836" s="261">
        <v>2285764000</v>
      </c>
      <c r="D836" s="261">
        <v>893731284</v>
      </c>
      <c r="E836" s="263">
        <f>C836-D836</f>
        <v>1392032716</v>
      </c>
    </row>
    <row r="837" spans="2:5" s="12" customFormat="1" ht="41.25" thickBot="1">
      <c r="B837" s="258" t="s">
        <v>493</v>
      </c>
      <c r="C837" s="264">
        <v>15564000000</v>
      </c>
      <c r="D837" s="264">
        <v>3931675192</v>
      </c>
      <c r="E837" s="265">
        <f>C837-D837</f>
        <v>11632324808</v>
      </c>
    </row>
    <row r="838" spans="2:5" s="12" customFormat="1" ht="27.75" thickBot="1">
      <c r="B838" s="258" t="s">
        <v>1145</v>
      </c>
      <c r="C838" s="264">
        <v>1138000000</v>
      </c>
      <c r="D838" s="264">
        <v>413035019</v>
      </c>
      <c r="E838" s="265">
        <f>C838-D838</f>
        <v>724964981</v>
      </c>
    </row>
    <row r="839" spans="2:5" s="12" customFormat="1" ht="41.25" thickBot="1">
      <c r="B839" s="258" t="s">
        <v>1059</v>
      </c>
      <c r="C839" s="264">
        <v>630000000</v>
      </c>
      <c r="D839" s="264">
        <v>95000000</v>
      </c>
      <c r="E839" s="265">
        <f>C839-D839</f>
        <v>535000000</v>
      </c>
    </row>
    <row r="840" spans="2:5" s="12" customFormat="1" ht="15.75" thickBot="1">
      <c r="B840" s="259" t="s">
        <v>494</v>
      </c>
      <c r="C840" s="262">
        <f>SUM(C835:C839)</f>
        <v>29548764000</v>
      </c>
      <c r="D840" s="262">
        <f>SUM(D835:D837)</f>
        <v>5178005951</v>
      </c>
      <c r="E840" s="260" t="s">
        <v>495</v>
      </c>
    </row>
    <row r="841" s="12" customFormat="1" ht="15">
      <c r="E841" s="877">
        <v>23</v>
      </c>
    </row>
    <row r="842" s="12" customFormat="1" ht="15"/>
    <row r="843" s="12" customFormat="1" ht="24" customHeight="1"/>
    <row r="844" s="12" customFormat="1" ht="26.25" customHeight="1"/>
    <row r="845" s="267" customFormat="1" ht="13.5">
      <c r="A845" s="266" t="s">
        <v>497</v>
      </c>
    </row>
    <row r="846" s="269" customFormat="1" ht="15">
      <c r="A846" s="266" t="s">
        <v>501</v>
      </c>
    </row>
    <row r="847" s="269" customFormat="1" ht="15">
      <c r="A847" s="192" t="s">
        <v>502</v>
      </c>
    </row>
    <row r="848" s="269" customFormat="1" ht="13.5">
      <c r="A848" s="266" t="s">
        <v>498</v>
      </c>
    </row>
    <row r="849" s="269" customFormat="1" ht="13.5">
      <c r="A849" s="266" t="s">
        <v>499</v>
      </c>
    </row>
    <row r="850" s="269" customFormat="1" ht="13.5">
      <c r="A850" s="268" t="s">
        <v>500</v>
      </c>
    </row>
    <row r="851" s="269" customFormat="1" ht="12.75"/>
    <row r="852" ht="18.75">
      <c r="A852" s="250" t="s">
        <v>503</v>
      </c>
    </row>
    <row r="853" s="271" customFormat="1" ht="16.5">
      <c r="A853" s="145" t="s">
        <v>504</v>
      </c>
    </row>
    <row r="854" s="271" customFormat="1" ht="16.5">
      <c r="A854" s="145" t="s">
        <v>1090</v>
      </c>
    </row>
    <row r="855" s="271" customFormat="1" ht="16.5">
      <c r="A855" s="229" t="s">
        <v>1125</v>
      </c>
    </row>
    <row r="856" s="271" customFormat="1" ht="16.5">
      <c r="A856" s="145" t="s">
        <v>505</v>
      </c>
    </row>
    <row r="857" s="271" customFormat="1" ht="16.5">
      <c r="A857" s="229" t="s">
        <v>506</v>
      </c>
    </row>
    <row r="858" ht="15.75" thickBot="1"/>
    <row r="859" spans="2:5" ht="29.25" thickBot="1">
      <c r="B859" s="73" t="s">
        <v>121</v>
      </c>
      <c r="C859" s="272" t="s">
        <v>509</v>
      </c>
      <c r="D859" s="272" t="s">
        <v>510</v>
      </c>
      <c r="E859" s="272" t="s">
        <v>1126</v>
      </c>
    </row>
    <row r="860" spans="2:5" ht="15">
      <c r="B860" s="74" t="s">
        <v>122</v>
      </c>
      <c r="C860" s="75">
        <v>73595490</v>
      </c>
      <c r="D860" s="75">
        <v>73595490</v>
      </c>
      <c r="E860" s="276" t="s">
        <v>507</v>
      </c>
    </row>
    <row r="861" spans="2:5" ht="15">
      <c r="B861" s="74" t="s">
        <v>123</v>
      </c>
      <c r="C861" s="75">
        <v>128809300</v>
      </c>
      <c r="D861" s="75">
        <v>128809300</v>
      </c>
      <c r="E861" s="276" t="s">
        <v>507</v>
      </c>
    </row>
    <row r="862" spans="2:5" ht="25.5">
      <c r="B862" s="74" t="s">
        <v>124</v>
      </c>
      <c r="C862" s="75">
        <v>681455905</v>
      </c>
      <c r="D862" s="75">
        <v>681455905</v>
      </c>
      <c r="E862" s="276" t="s">
        <v>511</v>
      </c>
    </row>
    <row r="863" spans="2:5" ht="25.5">
      <c r="B863" s="74" t="s">
        <v>125</v>
      </c>
      <c r="C863" s="75">
        <v>2572886168</v>
      </c>
      <c r="D863" s="75">
        <v>2572886168</v>
      </c>
      <c r="E863" s="276" t="s">
        <v>512</v>
      </c>
    </row>
    <row r="864" spans="2:5" ht="26.25" thickBot="1">
      <c r="B864" s="76" t="s">
        <v>126</v>
      </c>
      <c r="C864" s="77">
        <f>1535192600-95000000</f>
        <v>1440192600</v>
      </c>
      <c r="D864" s="77">
        <f>1535192600-95000000</f>
        <v>1440192600</v>
      </c>
      <c r="E864" s="277" t="s">
        <v>511</v>
      </c>
    </row>
    <row r="865" spans="2:5" ht="29.25" thickBot="1">
      <c r="B865" s="273" t="s">
        <v>121</v>
      </c>
      <c r="C865" s="274" t="s">
        <v>509</v>
      </c>
      <c r="D865" s="274" t="s">
        <v>133</v>
      </c>
      <c r="E865" s="274" t="s">
        <v>1126</v>
      </c>
    </row>
    <row r="866" spans="2:5" ht="25.5">
      <c r="B866" s="74" t="s">
        <v>127</v>
      </c>
      <c r="C866" s="75">
        <v>436336793</v>
      </c>
      <c r="D866" s="75">
        <v>436336793</v>
      </c>
      <c r="E866" s="276" t="s">
        <v>511</v>
      </c>
    </row>
    <row r="867" spans="2:5" ht="15">
      <c r="B867" s="74" t="s">
        <v>128</v>
      </c>
      <c r="C867" s="75">
        <v>64894380</v>
      </c>
      <c r="D867" s="75">
        <v>64894380</v>
      </c>
      <c r="E867" s="276" t="s">
        <v>507</v>
      </c>
    </row>
    <row r="868" spans="2:5" ht="15">
      <c r="B868" s="74" t="s">
        <v>129</v>
      </c>
      <c r="C868" s="75">
        <v>43411550</v>
      </c>
      <c r="D868" s="75">
        <v>43411550</v>
      </c>
      <c r="E868" s="276" t="s">
        <v>508</v>
      </c>
    </row>
    <row r="869" spans="2:5" ht="15">
      <c r="B869" s="74" t="s">
        <v>130</v>
      </c>
      <c r="C869" s="75">
        <v>81160183</v>
      </c>
      <c r="D869" s="75">
        <v>81160183</v>
      </c>
      <c r="E869" s="276" t="s">
        <v>508</v>
      </c>
    </row>
    <row r="870" spans="2:5" ht="15">
      <c r="B870" s="74" t="s">
        <v>131</v>
      </c>
      <c r="C870" s="75">
        <v>49885040</v>
      </c>
      <c r="D870" s="75">
        <v>49885040</v>
      </c>
      <c r="E870" s="276" t="s">
        <v>508</v>
      </c>
    </row>
    <row r="871" spans="2:5" ht="15.75" thickBot="1">
      <c r="B871" s="76" t="s">
        <v>132</v>
      </c>
      <c r="C871" s="77">
        <v>175881847</v>
      </c>
      <c r="D871" s="77">
        <v>175881847</v>
      </c>
      <c r="E871" s="277" t="s">
        <v>508</v>
      </c>
    </row>
    <row r="872" spans="2:5" ht="15.75" thickBot="1">
      <c r="B872" s="78" t="s">
        <v>79</v>
      </c>
      <c r="C872" s="79">
        <f>C860+C861+C862+C863+C864+C866+C867+C868+C869+C870+C871</f>
        <v>5748509256</v>
      </c>
      <c r="D872" s="79">
        <f>D860+D861+D862+D863+D864+D866+D867+D868+D869+D870+D871</f>
        <v>5748509256</v>
      </c>
      <c r="E872" s="275"/>
    </row>
    <row r="873" ht="15.75" thickTop="1"/>
    <row r="874" ht="18.75">
      <c r="A874" s="111" t="s">
        <v>513</v>
      </c>
    </row>
    <row r="875" s="271" customFormat="1" ht="16.5">
      <c r="A875" s="145" t="s">
        <v>1127</v>
      </c>
    </row>
    <row r="876" s="271" customFormat="1" ht="15">
      <c r="A876" s="271" t="s">
        <v>514</v>
      </c>
    </row>
    <row r="877" s="271" customFormat="1" ht="16.5">
      <c r="A877" s="145" t="s">
        <v>515</v>
      </c>
    </row>
    <row r="878" s="271" customFormat="1" ht="16.5">
      <c r="A878" s="145" t="s">
        <v>516</v>
      </c>
    </row>
    <row r="879" s="271" customFormat="1" ht="16.5">
      <c r="A879" s="229" t="s">
        <v>517</v>
      </c>
    </row>
    <row r="880" s="271" customFormat="1" ht="16.5">
      <c r="A880" s="145" t="s">
        <v>518</v>
      </c>
    </row>
    <row r="881" s="271" customFormat="1" ht="16.5">
      <c r="A881" s="145" t="s">
        <v>519</v>
      </c>
    </row>
    <row r="882" s="271" customFormat="1" ht="16.5">
      <c r="A882" s="229" t="s">
        <v>520</v>
      </c>
    </row>
    <row r="883" s="271" customFormat="1" ht="16.5">
      <c r="A883" s="229" t="s">
        <v>521</v>
      </c>
    </row>
    <row r="884" ht="15" customHeight="1"/>
    <row r="885" ht="15" customHeight="1">
      <c r="E885" s="878">
        <v>24</v>
      </c>
    </row>
    <row r="886" ht="15" customHeight="1"/>
    <row r="887" ht="15" customHeight="1"/>
    <row r="888" ht="25.5" customHeight="1"/>
    <row r="889" ht="30" customHeight="1" thickBot="1"/>
    <row r="890" spans="2:5" ht="15" customHeight="1" thickBot="1">
      <c r="B890" s="278" t="s">
        <v>522</v>
      </c>
      <c r="C890" s="279" t="s">
        <v>523</v>
      </c>
      <c r="D890" s="257">
        <v>2020</v>
      </c>
      <c r="E890" s="257">
        <v>2019</v>
      </c>
    </row>
    <row r="891" spans="2:5" ht="15">
      <c r="B891" s="280" t="s">
        <v>524</v>
      </c>
      <c r="C891" s="780" t="s">
        <v>525</v>
      </c>
      <c r="D891" s="288">
        <v>436335793</v>
      </c>
      <c r="E891" s="281">
        <v>436335793</v>
      </c>
    </row>
    <row r="892" spans="2:5" ht="15.75" thickBot="1">
      <c r="B892" s="282" t="s">
        <v>526</v>
      </c>
      <c r="C892" s="781" t="s">
        <v>527</v>
      </c>
      <c r="D892" s="289">
        <v>14127830</v>
      </c>
      <c r="E892" s="283">
        <v>14127830</v>
      </c>
    </row>
    <row r="893" spans="2:5" ht="15">
      <c r="B893" s="906"/>
      <c r="C893" s="907"/>
      <c r="D893" s="286"/>
      <c r="E893" s="284"/>
    </row>
    <row r="894" spans="2:5" ht="15.75" thickBot="1">
      <c r="B894" s="908" t="s">
        <v>104</v>
      </c>
      <c r="C894" s="909"/>
      <c r="D894" s="287">
        <f>SUM(D891:D893)</f>
        <v>450463623</v>
      </c>
      <c r="E894" s="285">
        <f>SUM(E891:E893)</f>
        <v>450463623</v>
      </c>
    </row>
    <row r="898" ht="18.75">
      <c r="A898" s="250" t="s">
        <v>528</v>
      </c>
    </row>
    <row r="899" spans="1:6" ht="16.5">
      <c r="A899" s="235" t="s">
        <v>529</v>
      </c>
      <c r="F899" s="294"/>
    </row>
    <row r="900" ht="15.75">
      <c r="A900" s="252" t="s">
        <v>1128</v>
      </c>
    </row>
    <row r="902" spans="2:4" ht="15">
      <c r="B902" s="290"/>
      <c r="C902" s="910" t="s">
        <v>531</v>
      </c>
      <c r="D902" s="896" t="s">
        <v>541</v>
      </c>
    </row>
    <row r="903" spans="2:4" ht="15.75" thickBot="1">
      <c r="B903" s="83" t="s">
        <v>530</v>
      </c>
      <c r="C903" s="911"/>
      <c r="D903" s="911"/>
    </row>
    <row r="904" spans="2:4" ht="15">
      <c r="B904" s="239" t="s">
        <v>532</v>
      </c>
      <c r="C904" s="240">
        <v>158811</v>
      </c>
      <c r="D904" s="291">
        <v>0.44</v>
      </c>
    </row>
    <row r="905" spans="2:4" ht="15">
      <c r="B905" s="239" t="s">
        <v>533</v>
      </c>
      <c r="C905" s="240">
        <v>381858</v>
      </c>
      <c r="D905" s="291">
        <v>0.14</v>
      </c>
    </row>
    <row r="906" spans="2:4" ht="15">
      <c r="B906" s="239" t="s">
        <v>534</v>
      </c>
      <c r="C906" s="240">
        <v>477966</v>
      </c>
      <c r="D906" s="291">
        <v>0.14</v>
      </c>
    </row>
    <row r="907" spans="2:4" ht="15">
      <c r="B907" s="239" t="s">
        <v>535</v>
      </c>
      <c r="C907" s="240">
        <v>371249</v>
      </c>
      <c r="D907" s="291">
        <v>0.14</v>
      </c>
    </row>
    <row r="908" spans="2:4" ht="15">
      <c r="B908" s="239" t="s">
        <v>536</v>
      </c>
      <c r="C908" s="240">
        <v>937449</v>
      </c>
      <c r="D908" s="292" t="s">
        <v>540</v>
      </c>
    </row>
    <row r="909" spans="2:4" ht="15">
      <c r="B909" s="239" t="s">
        <v>537</v>
      </c>
      <c r="C909" s="240">
        <v>1218393</v>
      </c>
      <c r="D909" s="292" t="s">
        <v>540</v>
      </c>
    </row>
    <row r="910" spans="2:4" ht="15">
      <c r="B910" s="239" t="s">
        <v>538</v>
      </c>
      <c r="C910" s="240">
        <v>1695638</v>
      </c>
      <c r="D910" s="292" t="s">
        <v>540</v>
      </c>
    </row>
    <row r="911" spans="2:4" ht="15.75" thickBot="1">
      <c r="B911" s="239" t="s">
        <v>539</v>
      </c>
      <c r="C911" s="240">
        <v>2181339</v>
      </c>
      <c r="D911" s="292" t="s">
        <v>540</v>
      </c>
    </row>
    <row r="912" spans="2:4" ht="15.75" thickBot="1">
      <c r="B912" s="292"/>
      <c r="C912" s="292"/>
      <c r="D912" s="293">
        <v>1</v>
      </c>
    </row>
    <row r="913" ht="15.75" thickTop="1"/>
    <row r="915" ht="18.75">
      <c r="A915" s="110" t="s">
        <v>542</v>
      </c>
    </row>
    <row r="916" ht="15.75">
      <c r="A916" s="97" t="s">
        <v>543</v>
      </c>
    </row>
    <row r="917" ht="15.75">
      <c r="A917" s="97" t="s">
        <v>544</v>
      </c>
    </row>
    <row r="918" s="271" customFormat="1" ht="16.5">
      <c r="A918" s="145" t="s">
        <v>545</v>
      </c>
    </row>
    <row r="919" s="271" customFormat="1" ht="16.5">
      <c r="A919" s="145" t="s">
        <v>546</v>
      </c>
    </row>
    <row r="920" ht="15.75">
      <c r="A920" s="100" t="s">
        <v>547</v>
      </c>
    </row>
    <row r="921" s="271" customFormat="1" ht="16.5">
      <c r="A921" s="145" t="s">
        <v>1091</v>
      </c>
    </row>
    <row r="922" ht="15.75">
      <c r="A922" s="97" t="s">
        <v>548</v>
      </c>
    </row>
    <row r="923" ht="15.75" thickBot="1"/>
    <row r="924" spans="1:5" ht="43.5" thickBot="1">
      <c r="A924" s="295"/>
      <c r="B924" s="80" t="s">
        <v>549</v>
      </c>
      <c r="C924" s="81" t="s">
        <v>134</v>
      </c>
      <c r="D924" s="81" t="s">
        <v>135</v>
      </c>
      <c r="E924" s="82" t="s">
        <v>550</v>
      </c>
    </row>
    <row r="925" spans="1:5" ht="15">
      <c r="A925" s="296"/>
      <c r="B925" s="74" t="s">
        <v>16</v>
      </c>
      <c r="C925" s="75">
        <v>2331037067</v>
      </c>
      <c r="D925" s="75">
        <v>317100</v>
      </c>
      <c r="E925" s="75">
        <f>C925-D925</f>
        <v>2330719967</v>
      </c>
    </row>
    <row r="926" spans="1:5" ht="15">
      <c r="A926" s="296"/>
      <c r="B926" s="74" t="s">
        <v>17</v>
      </c>
      <c r="C926" s="75">
        <v>2692448398</v>
      </c>
      <c r="D926" s="75">
        <v>0</v>
      </c>
      <c r="E926" s="75">
        <f>C926-D926</f>
        <v>2692448398</v>
      </c>
    </row>
    <row r="927" spans="1:5" ht="15.75" thickBot="1">
      <c r="A927" s="297"/>
      <c r="B927" s="850" t="s">
        <v>136</v>
      </c>
      <c r="C927" s="851">
        <f>SUM(C925:C926)</f>
        <v>5023485465</v>
      </c>
      <c r="D927" s="851">
        <f>SUM(D925:D926)</f>
        <v>317100</v>
      </c>
      <c r="E927" s="851">
        <f>SUM(E925:E926)</f>
        <v>5023168365</v>
      </c>
    </row>
    <row r="931" ht="15">
      <c r="E931" s="878">
        <v>25</v>
      </c>
    </row>
    <row r="939" ht="18.75">
      <c r="A939" s="298" t="s">
        <v>551</v>
      </c>
    </row>
    <row r="940" ht="15.75">
      <c r="A940" s="97" t="s">
        <v>552</v>
      </c>
    </row>
    <row r="941" ht="15.75">
      <c r="A941" s="97" t="s">
        <v>553</v>
      </c>
    </row>
    <row r="943" ht="27.75" customHeight="1"/>
    <row r="944" ht="28.5" customHeight="1"/>
    <row r="945" ht="24.75" customHeight="1"/>
    <row r="947" spans="1:4" ht="15">
      <c r="A947" s="299" t="s">
        <v>554</v>
      </c>
      <c r="C947" s="299" t="s">
        <v>555</v>
      </c>
      <c r="D947" s="299"/>
    </row>
    <row r="948" spans="1:6" ht="15">
      <c r="A948" s="299" t="s">
        <v>556</v>
      </c>
      <c r="C948" s="299" t="s">
        <v>557</v>
      </c>
      <c r="F948" s="299"/>
    </row>
    <row r="949" ht="15">
      <c r="A949" s="299"/>
    </row>
    <row r="950" ht="15">
      <c r="A950" s="299"/>
    </row>
    <row r="951" ht="29.25" customHeight="1">
      <c r="A951" s="299"/>
    </row>
    <row r="952" ht="15">
      <c r="A952" s="299"/>
    </row>
    <row r="955" spans="1:4" ht="15">
      <c r="A955" s="299" t="s">
        <v>558</v>
      </c>
      <c r="C955" s="301" t="s">
        <v>673</v>
      </c>
      <c r="D955" s="299"/>
    </row>
    <row r="956" spans="1:7" ht="15">
      <c r="A956" s="299" t="s">
        <v>559</v>
      </c>
      <c r="C956" s="300" t="s">
        <v>560</v>
      </c>
      <c r="G956" s="300"/>
    </row>
    <row r="957" ht="15">
      <c r="E957" s="878">
        <v>26</v>
      </c>
    </row>
  </sheetData>
  <sheetProtection/>
  <mergeCells count="42">
    <mergeCell ref="E371:E372"/>
    <mergeCell ref="E621:E623"/>
    <mergeCell ref="E613:E614"/>
    <mergeCell ref="D770:D771"/>
    <mergeCell ref="E415:E416"/>
    <mergeCell ref="E417:E418"/>
    <mergeCell ref="D568:E568"/>
    <mergeCell ref="E434:E435"/>
    <mergeCell ref="E425:E427"/>
    <mergeCell ref="E430:E431"/>
    <mergeCell ref="D423:D424"/>
    <mergeCell ref="E423:E424"/>
    <mergeCell ref="D415:D416"/>
    <mergeCell ref="D488:D489"/>
    <mergeCell ref="B893:C893"/>
    <mergeCell ref="B894:C894"/>
    <mergeCell ref="C902:C903"/>
    <mergeCell ref="D902:D903"/>
    <mergeCell ref="C371:C372"/>
    <mergeCell ref="D371:D372"/>
    <mergeCell ref="C568:C569"/>
    <mergeCell ref="A567:B569"/>
    <mergeCell ref="C582:E582"/>
    <mergeCell ref="C583:E583"/>
    <mergeCell ref="C584:E584"/>
    <mergeCell ref="E402:E403"/>
    <mergeCell ref="D405:D406"/>
    <mergeCell ref="E405:E406"/>
    <mergeCell ref="C434:C435"/>
    <mergeCell ref="D434:D435"/>
    <mergeCell ref="A2:E2"/>
    <mergeCell ref="A3:E3"/>
    <mergeCell ref="A5:B5"/>
    <mergeCell ref="E352:E353"/>
    <mergeCell ref="E312:E313"/>
    <mergeCell ref="B475:C475"/>
    <mergeCell ref="F808:F815"/>
    <mergeCell ref="F816:F817"/>
    <mergeCell ref="B770:B771"/>
    <mergeCell ref="C770:C771"/>
    <mergeCell ref="A700:E700"/>
    <mergeCell ref="A706:E706"/>
  </mergeCells>
  <printOptions/>
  <pageMargins left="0.7874015748031497" right="0.7086614173228347" top="0.3937007874015748" bottom="0.7480314960629921" header="0.31496062992125984" footer="0.31496062992125984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showGridLines="0" zoomScalePageLayoutView="0" workbookViewId="0" topLeftCell="A1">
      <selection activeCell="G48" sqref="G48"/>
    </sheetView>
  </sheetViews>
  <sheetFormatPr defaultColWidth="11.421875" defaultRowHeight="15"/>
  <cols>
    <col min="1" max="3" width="11.421875" style="443" customWidth="1"/>
    <col min="4" max="4" width="19.57421875" style="443" customWidth="1"/>
    <col min="5" max="5" width="15.7109375" style="443" customWidth="1"/>
    <col min="6" max="6" width="3.28125" style="871" customWidth="1"/>
    <col min="7" max="7" width="15.7109375" style="443" customWidth="1"/>
    <col min="8" max="8" width="12.7109375" style="443" bestFit="1" customWidth="1"/>
    <col min="9" max="9" width="14.421875" style="443" bestFit="1" customWidth="1"/>
    <col min="10" max="16384" width="11.421875" style="443" customWidth="1"/>
  </cols>
  <sheetData>
    <row r="1" spans="1:7" s="431" customFormat="1" ht="16.5">
      <c r="A1" s="946" t="s">
        <v>674</v>
      </c>
      <c r="B1" s="946"/>
      <c r="C1" s="946"/>
      <c r="D1" s="946"/>
      <c r="E1" s="946"/>
      <c r="F1" s="946"/>
      <c r="G1" s="946"/>
    </row>
    <row r="2" spans="1:7" s="431" customFormat="1" ht="16.5">
      <c r="A2" s="947" t="s">
        <v>675</v>
      </c>
      <c r="B2" s="947"/>
      <c r="C2" s="947"/>
      <c r="D2" s="947"/>
      <c r="E2" s="947"/>
      <c r="F2" s="947"/>
      <c r="G2" s="812"/>
    </row>
    <row r="3" spans="1:7" s="431" customFormat="1" ht="16.5">
      <c r="A3" s="947" t="s">
        <v>1174</v>
      </c>
      <c r="B3" s="947"/>
      <c r="C3" s="947"/>
      <c r="D3" s="947"/>
      <c r="E3" s="947"/>
      <c r="F3" s="947"/>
      <c r="G3" s="812"/>
    </row>
    <row r="4" spans="1:7" s="431" customFormat="1" ht="16.5">
      <c r="A4" s="947" t="s">
        <v>676</v>
      </c>
      <c r="B4" s="947"/>
      <c r="C4" s="947"/>
      <c r="D4" s="947"/>
      <c r="E4" s="947"/>
      <c r="F4" s="947"/>
      <c r="G4" s="947"/>
    </row>
    <row r="5" s="431" customFormat="1" ht="16.5">
      <c r="F5" s="866"/>
    </row>
    <row r="6" spans="5:7" s="431" customFormat="1" ht="16.5">
      <c r="E6" s="432">
        <v>2020</v>
      </c>
      <c r="F6" s="867"/>
      <c r="G6" s="432">
        <v>2019</v>
      </c>
    </row>
    <row r="7" spans="1:7" s="431" customFormat="1" ht="16.5">
      <c r="A7" s="858" t="s">
        <v>1152</v>
      </c>
      <c r="E7" s="434"/>
      <c r="F7" s="868"/>
      <c r="G7" s="434"/>
    </row>
    <row r="8" spans="1:7" s="431" customFormat="1" ht="16.5">
      <c r="A8" s="859" t="s">
        <v>1153</v>
      </c>
      <c r="E8" s="435">
        <v>63832626327</v>
      </c>
      <c r="F8" s="439"/>
      <c r="G8" s="435">
        <v>74640816587</v>
      </c>
    </row>
    <row r="9" spans="1:7" s="431" customFormat="1" ht="16.5">
      <c r="A9" s="859" t="s">
        <v>1154</v>
      </c>
      <c r="E9" s="435">
        <v>-45667252834</v>
      </c>
      <c r="F9" s="439"/>
      <c r="G9" s="435">
        <v>-37294323137</v>
      </c>
    </row>
    <row r="10" spans="1:7" s="431" customFormat="1" ht="16.5">
      <c r="A10" s="860" t="s">
        <v>1155</v>
      </c>
      <c r="E10" s="435">
        <v>2860618074</v>
      </c>
      <c r="F10" s="439"/>
      <c r="G10" s="435">
        <v>2318196783</v>
      </c>
    </row>
    <row r="11" spans="1:7" s="431" customFormat="1" ht="16.5">
      <c r="A11" s="859" t="s">
        <v>1156</v>
      </c>
      <c r="E11" s="435">
        <v>-1664475023</v>
      </c>
      <c r="F11" s="439"/>
      <c r="G11" s="435">
        <v>-2166779888</v>
      </c>
    </row>
    <row r="12" spans="1:7" s="431" customFormat="1" ht="16.5">
      <c r="A12" s="860" t="s">
        <v>1157</v>
      </c>
      <c r="E12" s="435">
        <v>-1108727666</v>
      </c>
      <c r="F12" s="439"/>
      <c r="G12" s="435">
        <v>-1376451705</v>
      </c>
    </row>
    <row r="13" spans="1:8" s="431" customFormat="1" ht="16.5">
      <c r="A13" s="859" t="s">
        <v>1158</v>
      </c>
      <c r="E13" s="436">
        <v>-4383461138</v>
      </c>
      <c r="F13" s="439"/>
      <c r="G13" s="436">
        <v>-196945955</v>
      </c>
      <c r="H13" s="434"/>
    </row>
    <row r="14" spans="1:7" s="431" customFormat="1" ht="16.5">
      <c r="A14" s="859" t="s">
        <v>1159</v>
      </c>
      <c r="E14" s="863">
        <f>SUM(E8:E13)</f>
        <v>13869327740</v>
      </c>
      <c r="F14" s="865"/>
      <c r="G14" s="863">
        <f>SUM(G8:G13)</f>
        <v>35924512685</v>
      </c>
    </row>
    <row r="15" spans="1:7" s="431" customFormat="1" ht="16.5">
      <c r="A15" s="433"/>
      <c r="E15" s="438"/>
      <c r="F15" s="439"/>
      <c r="G15" s="439"/>
    </row>
    <row r="16" spans="1:7" s="431" customFormat="1" ht="16.5">
      <c r="A16" s="858" t="s">
        <v>1160</v>
      </c>
      <c r="E16" s="435"/>
      <c r="F16" s="439"/>
      <c r="G16" s="435"/>
    </row>
    <row r="17" spans="1:7" s="431" customFormat="1" ht="16.5">
      <c r="A17" s="860" t="s">
        <v>1161</v>
      </c>
      <c r="E17" s="435">
        <v>-6864114431</v>
      </c>
      <c r="F17" s="439"/>
      <c r="G17" s="435">
        <v>-2496163268</v>
      </c>
    </row>
    <row r="18" spans="1:7" s="431" customFormat="1" ht="16.5">
      <c r="A18" s="859" t="s">
        <v>1162</v>
      </c>
      <c r="E18" s="435">
        <v>0</v>
      </c>
      <c r="F18" s="439"/>
      <c r="G18" s="435">
        <v>0</v>
      </c>
    </row>
    <row r="19" spans="1:7" s="431" customFormat="1" ht="16.5">
      <c r="A19" s="859" t="s">
        <v>1163</v>
      </c>
      <c r="E19" s="439">
        <v>0</v>
      </c>
      <c r="F19" s="439"/>
      <c r="G19" s="439">
        <v>0</v>
      </c>
    </row>
    <row r="20" spans="1:7" s="431" customFormat="1" ht="16.5">
      <c r="A20" s="859" t="s">
        <v>1164</v>
      </c>
      <c r="E20" s="861">
        <v>0</v>
      </c>
      <c r="F20" s="439"/>
      <c r="G20" s="861">
        <v>0</v>
      </c>
    </row>
    <row r="21" spans="1:7" s="431" customFormat="1" ht="16.5">
      <c r="A21" s="859" t="s">
        <v>1165</v>
      </c>
      <c r="E21" s="863">
        <f>SUM(E17:E20)</f>
        <v>-6864114431</v>
      </c>
      <c r="F21" s="865"/>
      <c r="G21" s="863">
        <f>SUM(G17:G20)</f>
        <v>-2496163268</v>
      </c>
    </row>
    <row r="22" spans="1:7" s="431" customFormat="1" ht="16.5">
      <c r="A22" s="859"/>
      <c r="E22" s="438"/>
      <c r="F22" s="439"/>
      <c r="G22" s="439"/>
    </row>
    <row r="23" spans="1:7" s="431" customFormat="1" ht="16.5">
      <c r="A23" s="858" t="s">
        <v>1166</v>
      </c>
      <c r="E23" s="435"/>
      <c r="F23" s="439"/>
      <c r="G23" s="435"/>
    </row>
    <row r="24" spans="1:7" s="431" customFormat="1" ht="16.5">
      <c r="A24" s="859" t="s">
        <v>1167</v>
      </c>
      <c r="E24" s="435">
        <v>10512718835</v>
      </c>
      <c r="F24" s="439"/>
      <c r="G24" s="435">
        <v>-9976588382</v>
      </c>
    </row>
    <row r="25" spans="1:7" s="431" customFormat="1" ht="16.5">
      <c r="A25" s="859" t="s">
        <v>1168</v>
      </c>
      <c r="E25" s="435">
        <v>0</v>
      </c>
      <c r="F25" s="439"/>
      <c r="G25" s="435">
        <v>0</v>
      </c>
    </row>
    <row r="26" spans="1:7" s="440" customFormat="1" ht="16.5">
      <c r="A26" s="859" t="s">
        <v>677</v>
      </c>
      <c r="E26" s="441">
        <v>-23414338753</v>
      </c>
      <c r="F26" s="869"/>
      <c r="G26" s="441">
        <v>-6331136616</v>
      </c>
    </row>
    <row r="27" spans="1:7" s="431" customFormat="1" ht="16.5">
      <c r="A27" s="858" t="s">
        <v>1169</v>
      </c>
      <c r="E27" s="863">
        <f>SUM(E24:E26)</f>
        <v>-12901619918</v>
      </c>
      <c r="F27" s="865"/>
      <c r="G27" s="863">
        <f>SUM(G24:G26)</f>
        <v>-16307724998</v>
      </c>
    </row>
    <row r="28" spans="1:7" s="431" customFormat="1" ht="16.5">
      <c r="A28" s="859" t="s">
        <v>1170</v>
      </c>
      <c r="E28" s="864">
        <f>+E14+E21+E27</f>
        <v>-5896406609</v>
      </c>
      <c r="F28" s="870"/>
      <c r="G28" s="864">
        <f>+G14+G21+G27</f>
        <v>17120624419</v>
      </c>
    </row>
    <row r="29" spans="1:7" s="431" customFormat="1" ht="16.5">
      <c r="A29" s="862" t="s">
        <v>1171</v>
      </c>
      <c r="E29" s="437">
        <v>466490293</v>
      </c>
      <c r="F29" s="439"/>
      <c r="G29" s="442">
        <v>44743634</v>
      </c>
    </row>
    <row r="30" spans="1:7" s="431" customFormat="1" ht="16.5">
      <c r="A30" s="859" t="s">
        <v>1172</v>
      </c>
      <c r="E30" s="442">
        <v>23435158990</v>
      </c>
      <c r="F30" s="439"/>
      <c r="G30" s="442">
        <v>6269790937</v>
      </c>
    </row>
    <row r="31" spans="1:7" s="431" customFormat="1" ht="16.5">
      <c r="A31" s="858" t="s">
        <v>1173</v>
      </c>
      <c r="E31" s="865">
        <f>+E28+E29+E30</f>
        <v>18005242674</v>
      </c>
      <c r="F31" s="865"/>
      <c r="G31" s="865">
        <f>+G28+G29+G30</f>
        <v>23435158990</v>
      </c>
    </row>
    <row r="32" s="431" customFormat="1" ht="16.5">
      <c r="F32" s="866"/>
    </row>
    <row r="33" s="431" customFormat="1" ht="16.5">
      <c r="F33" s="866"/>
    </row>
    <row r="34" spans="5:6" s="431" customFormat="1" ht="16.5">
      <c r="E34" s="434"/>
      <c r="F34" s="866"/>
    </row>
    <row r="35" s="431" customFormat="1" ht="16.5">
      <c r="F35" s="866"/>
    </row>
    <row r="36" s="431" customFormat="1" ht="16.5">
      <c r="F36" s="866"/>
    </row>
    <row r="37" spans="1:7" s="431" customFormat="1" ht="16.5">
      <c r="A37" s="948" t="s">
        <v>678</v>
      </c>
      <c r="B37" s="948"/>
      <c r="C37" s="948"/>
      <c r="E37" s="948" t="s">
        <v>679</v>
      </c>
      <c r="F37" s="948"/>
      <c r="G37" s="948"/>
    </row>
    <row r="38" spans="1:7" s="431" customFormat="1" ht="16.5">
      <c r="A38" s="948" t="s">
        <v>593</v>
      </c>
      <c r="B38" s="948"/>
      <c r="C38" s="948"/>
      <c r="E38" s="949" t="s">
        <v>680</v>
      </c>
      <c r="F38" s="949"/>
      <c r="G38" s="949"/>
    </row>
    <row r="39" s="431" customFormat="1" ht="16.5">
      <c r="F39" s="866"/>
    </row>
    <row r="40" s="431" customFormat="1" ht="16.5">
      <c r="F40" s="866"/>
    </row>
    <row r="41" s="431" customFormat="1" ht="16.5">
      <c r="F41" s="866"/>
    </row>
    <row r="42" s="431" customFormat="1" ht="16.5">
      <c r="F42" s="866"/>
    </row>
    <row r="43" s="431" customFormat="1" ht="16.5">
      <c r="F43" s="866"/>
    </row>
    <row r="44" spans="1:7" s="431" customFormat="1" ht="16.5">
      <c r="A44" s="948" t="s">
        <v>595</v>
      </c>
      <c r="B44" s="948"/>
      <c r="C44" s="948"/>
      <c r="E44" s="949" t="s">
        <v>681</v>
      </c>
      <c r="F44" s="949"/>
      <c r="G44" s="949"/>
    </row>
    <row r="45" spans="1:7" s="431" customFormat="1" ht="16.5">
      <c r="A45" s="948" t="s">
        <v>682</v>
      </c>
      <c r="B45" s="948"/>
      <c r="C45" s="948"/>
      <c r="E45" s="949" t="s">
        <v>683</v>
      </c>
      <c r="F45" s="949"/>
      <c r="G45" s="949"/>
    </row>
    <row r="48" ht="15">
      <c r="G48" s="879">
        <v>27</v>
      </c>
    </row>
  </sheetData>
  <sheetProtection/>
  <mergeCells count="12">
    <mergeCell ref="A38:C38"/>
    <mergeCell ref="E38:G38"/>
    <mergeCell ref="A44:C44"/>
    <mergeCell ref="E44:G44"/>
    <mergeCell ref="A45:C45"/>
    <mergeCell ref="E45:G45"/>
    <mergeCell ref="A1:G1"/>
    <mergeCell ref="A4:G4"/>
    <mergeCell ref="A37:C37"/>
    <mergeCell ref="E37:G37"/>
    <mergeCell ref="A2:F2"/>
    <mergeCell ref="A3:F3"/>
  </mergeCells>
  <printOptions horizontalCentered="1"/>
  <pageMargins left="0.5905511811023623" right="0.7874015748031497" top="0.7874015748031497" bottom="0.7874015748031497" header="0.31496062992125984" footer="0.31496062992125984"/>
  <pageSetup horizontalDpi="600" verticalDpi="600" orientation="portrait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C75"/>
  <sheetViews>
    <sheetView showGridLines="0" zoomScalePageLayoutView="0" workbookViewId="0" topLeftCell="A1">
      <selection activeCell="A36" sqref="A36:I36"/>
    </sheetView>
  </sheetViews>
  <sheetFormatPr defaultColWidth="12.57421875" defaultRowHeight="15"/>
  <cols>
    <col min="1" max="1" width="28.7109375" style="306" customWidth="1"/>
    <col min="2" max="2" width="18.140625" style="306" customWidth="1"/>
    <col min="3" max="3" width="18.7109375" style="306" customWidth="1"/>
    <col min="4" max="4" width="14.28125" style="306" customWidth="1"/>
    <col min="5" max="5" width="13.28125" style="306" customWidth="1"/>
    <col min="6" max="6" width="15.7109375" style="306" customWidth="1"/>
    <col min="7" max="7" width="14.7109375" style="306" customWidth="1"/>
    <col min="8" max="8" width="15.00390625" style="306" customWidth="1"/>
    <col min="9" max="9" width="15.28125" style="306" customWidth="1"/>
    <col min="10" max="10" width="13.57421875" style="306" bestFit="1" customWidth="1"/>
    <col min="11" max="16384" width="12.57421875" style="306" customWidth="1"/>
  </cols>
  <sheetData>
    <row r="1" spans="1:9" ht="20.25">
      <c r="A1" s="890" t="s">
        <v>684</v>
      </c>
      <c r="B1" s="890"/>
      <c r="C1" s="890"/>
      <c r="D1" s="890"/>
      <c r="E1" s="890"/>
      <c r="F1" s="890"/>
      <c r="G1" s="890"/>
      <c r="H1" s="890"/>
      <c r="I1" s="890"/>
    </row>
    <row r="2" spans="1:9" ht="20.25">
      <c r="A2" s="890" t="s">
        <v>1146</v>
      </c>
      <c r="B2" s="890"/>
      <c r="C2" s="890"/>
      <c r="D2" s="890"/>
      <c r="E2" s="890"/>
      <c r="F2" s="890"/>
      <c r="G2" s="890"/>
      <c r="H2" s="890"/>
      <c r="I2" s="890"/>
    </row>
    <row r="3" spans="1:9" ht="18.75">
      <c r="A3" s="889" t="s">
        <v>685</v>
      </c>
      <c r="B3" s="889"/>
      <c r="C3" s="889"/>
      <c r="D3" s="889"/>
      <c r="E3" s="889"/>
      <c r="F3" s="889"/>
      <c r="G3" s="889"/>
      <c r="H3" s="889"/>
      <c r="I3" s="889"/>
    </row>
    <row r="4" spans="1:6" ht="16.5" thickBot="1">
      <c r="A4" s="408"/>
      <c r="B4" s="444"/>
      <c r="C4" s="444"/>
      <c r="D4" s="444"/>
      <c r="E4" s="444"/>
      <c r="F4" s="444"/>
    </row>
    <row r="5" spans="1:29" ht="22.5" customHeight="1" thickBot="1">
      <c r="A5" s="813"/>
      <c r="B5" s="950" t="s">
        <v>686</v>
      </c>
      <c r="C5" s="950"/>
      <c r="D5" s="951" t="s">
        <v>627</v>
      </c>
      <c r="E5" s="951"/>
      <c r="F5" s="951"/>
      <c r="G5" s="951" t="s">
        <v>629</v>
      </c>
      <c r="H5" s="951"/>
      <c r="I5" s="821"/>
      <c r="J5" s="445"/>
      <c r="K5" s="445"/>
      <c r="L5" s="445"/>
      <c r="M5" s="445"/>
      <c r="N5" s="445"/>
      <c r="O5" s="445"/>
      <c r="P5" s="445"/>
      <c r="Q5" s="445"/>
      <c r="R5" s="445"/>
      <c r="S5" s="445"/>
      <c r="T5" s="445"/>
      <c r="U5" s="445"/>
      <c r="V5" s="445"/>
      <c r="W5" s="445"/>
      <c r="X5" s="445"/>
      <c r="Y5" s="445"/>
      <c r="Z5" s="445"/>
      <c r="AA5" s="445"/>
      <c r="AB5" s="445"/>
      <c r="AC5" s="445"/>
    </row>
    <row r="6" spans="1:29" ht="15.75">
      <c r="A6" s="814" t="s">
        <v>687</v>
      </c>
      <c r="B6" s="816"/>
      <c r="C6" s="817" t="s">
        <v>688</v>
      </c>
      <c r="D6" s="817"/>
      <c r="E6" s="817"/>
      <c r="F6" s="817"/>
      <c r="G6" s="818"/>
      <c r="H6" s="817" t="s">
        <v>689</v>
      </c>
      <c r="I6" s="817" t="s">
        <v>79</v>
      </c>
      <c r="J6" s="445"/>
      <c r="K6" s="445"/>
      <c r="L6" s="445"/>
      <c r="M6" s="445"/>
      <c r="N6" s="445"/>
      <c r="O6" s="445"/>
      <c r="P6" s="445"/>
      <c r="Q6" s="445"/>
      <c r="R6" s="445"/>
      <c r="S6" s="445"/>
      <c r="T6" s="445"/>
      <c r="U6" s="445"/>
      <c r="V6" s="445"/>
      <c r="W6" s="445"/>
      <c r="X6" s="445"/>
      <c r="Y6" s="445"/>
      <c r="Z6" s="445"/>
      <c r="AA6" s="445"/>
      <c r="AB6" s="445"/>
      <c r="AC6" s="445"/>
    </row>
    <row r="7" spans="1:29" ht="15.75" thickBot="1">
      <c r="A7" s="815"/>
      <c r="B7" s="819" t="s">
        <v>690</v>
      </c>
      <c r="C7" s="820" t="s">
        <v>691</v>
      </c>
      <c r="D7" s="820" t="s">
        <v>692</v>
      </c>
      <c r="E7" s="820" t="s">
        <v>693</v>
      </c>
      <c r="F7" s="820" t="s">
        <v>694</v>
      </c>
      <c r="G7" s="820" t="s">
        <v>695</v>
      </c>
      <c r="H7" s="820" t="s">
        <v>696</v>
      </c>
      <c r="I7" s="820"/>
      <c r="J7" s="445"/>
      <c r="K7" s="445"/>
      <c r="L7" s="445"/>
      <c r="M7" s="445"/>
      <c r="N7" s="445"/>
      <c r="O7" s="445"/>
      <c r="P7" s="445"/>
      <c r="Q7" s="445"/>
      <c r="R7" s="445"/>
      <c r="S7" s="445"/>
      <c r="T7" s="445"/>
      <c r="U7" s="445"/>
      <c r="V7" s="445"/>
      <c r="W7" s="445"/>
      <c r="X7" s="445"/>
      <c r="Y7" s="445"/>
      <c r="Z7" s="445"/>
      <c r="AA7" s="445"/>
      <c r="AB7" s="445"/>
      <c r="AC7" s="445"/>
    </row>
    <row r="8" spans="1:29" ht="14.25" customHeight="1">
      <c r="A8" s="822"/>
      <c r="B8" s="823"/>
      <c r="C8" s="823"/>
      <c r="D8" s="823"/>
      <c r="E8" s="823"/>
      <c r="F8" s="823"/>
      <c r="G8" s="823"/>
      <c r="H8" s="823"/>
      <c r="I8" s="824"/>
      <c r="J8" s="445"/>
      <c r="K8" s="445"/>
      <c r="L8" s="445"/>
      <c r="M8" s="445"/>
      <c r="N8" s="445"/>
      <c r="O8" s="445"/>
      <c r="P8" s="445"/>
      <c r="Q8" s="445"/>
      <c r="R8" s="445"/>
      <c r="S8" s="445"/>
      <c r="T8" s="445"/>
      <c r="U8" s="445"/>
      <c r="V8" s="445"/>
      <c r="W8" s="445"/>
      <c r="X8" s="445"/>
      <c r="Y8" s="445"/>
      <c r="Z8" s="445"/>
      <c r="AA8" s="445"/>
      <c r="AB8" s="445"/>
      <c r="AC8" s="445"/>
    </row>
    <row r="9" spans="1:29" ht="15.75" thickBot="1">
      <c r="A9" s="825" t="s">
        <v>1147</v>
      </c>
      <c r="B9" s="826">
        <v>48000000000</v>
      </c>
      <c r="C9" s="826">
        <v>0</v>
      </c>
      <c r="D9" s="826">
        <v>0</v>
      </c>
      <c r="E9" s="826">
        <v>6931012994</v>
      </c>
      <c r="F9" s="826">
        <v>1052061213</v>
      </c>
      <c r="G9" s="826">
        <v>0</v>
      </c>
      <c r="H9" s="826">
        <v>24614338753</v>
      </c>
      <c r="I9" s="827">
        <f>SUM(B9:H9)</f>
        <v>80597412960</v>
      </c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</row>
    <row r="10" spans="1:29" ht="15">
      <c r="A10" s="446" t="s">
        <v>697</v>
      </c>
      <c r="B10" s="447"/>
      <c r="C10" s="447"/>
      <c r="D10" s="447"/>
      <c r="E10" s="447"/>
      <c r="F10" s="448"/>
      <c r="G10" s="449"/>
      <c r="H10" s="449"/>
      <c r="I10" s="450"/>
      <c r="J10" s="445"/>
      <c r="K10" s="445"/>
      <c r="L10" s="445"/>
      <c r="M10" s="445"/>
      <c r="N10" s="445"/>
      <c r="O10" s="445"/>
      <c r="P10" s="445"/>
      <c r="Q10" s="445"/>
      <c r="R10" s="445"/>
      <c r="S10" s="445"/>
      <c r="T10" s="445"/>
      <c r="U10" s="445"/>
      <c r="V10" s="445"/>
      <c r="W10" s="445"/>
      <c r="X10" s="445"/>
      <c r="Y10" s="445"/>
      <c r="Z10" s="445"/>
      <c r="AA10" s="445"/>
      <c r="AB10" s="445"/>
      <c r="AC10" s="445"/>
    </row>
    <row r="11" spans="1:29" ht="15">
      <c r="A11" s="451" t="s">
        <v>698</v>
      </c>
      <c r="B11" s="452"/>
      <c r="C11" s="452"/>
      <c r="D11" s="452"/>
      <c r="E11" s="452"/>
      <c r="F11" s="452"/>
      <c r="G11" s="453">
        <v>0</v>
      </c>
      <c r="H11" s="453">
        <v>0</v>
      </c>
      <c r="I11" s="453">
        <f aca="true" t="shared" si="0" ref="I11:I16">SUM(B11:H11)</f>
        <v>0</v>
      </c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</row>
    <row r="12" spans="1:29" ht="15">
      <c r="A12" s="454" t="s">
        <v>699</v>
      </c>
      <c r="B12" s="455">
        <v>1052061213</v>
      </c>
      <c r="C12" s="455"/>
      <c r="D12" s="455"/>
      <c r="E12" s="455"/>
      <c r="F12" s="455">
        <v>-1052061213</v>
      </c>
      <c r="G12" s="456"/>
      <c r="H12" s="456"/>
      <c r="I12" s="453">
        <f t="shared" si="0"/>
        <v>0</v>
      </c>
      <c r="J12" s="445"/>
      <c r="K12" s="445"/>
      <c r="L12" s="445"/>
      <c r="M12" s="445"/>
      <c r="N12" s="445"/>
      <c r="O12" s="445"/>
      <c r="P12" s="445"/>
      <c r="Q12" s="445"/>
      <c r="R12" s="445"/>
      <c r="S12" s="445"/>
      <c r="T12" s="445"/>
      <c r="U12" s="445"/>
      <c r="V12" s="445"/>
      <c r="W12" s="445"/>
      <c r="X12" s="445"/>
      <c r="Y12" s="445"/>
      <c r="Z12" s="445"/>
      <c r="AA12" s="445"/>
      <c r="AB12" s="445"/>
      <c r="AC12" s="445"/>
    </row>
    <row r="13" spans="1:29" ht="15">
      <c r="A13" s="457" t="s">
        <v>700</v>
      </c>
      <c r="B13" s="458">
        <v>147938787</v>
      </c>
      <c r="C13" s="452"/>
      <c r="D13" s="452"/>
      <c r="E13" s="452"/>
      <c r="F13" s="452"/>
      <c r="G13" s="453"/>
      <c r="H13" s="458">
        <v>-147938787</v>
      </c>
      <c r="I13" s="453">
        <f t="shared" si="0"/>
        <v>0</v>
      </c>
      <c r="J13" s="445"/>
      <c r="K13" s="445"/>
      <c r="L13" s="445"/>
      <c r="M13" s="445"/>
      <c r="N13" s="445"/>
      <c r="O13" s="445"/>
      <c r="P13" s="445"/>
      <c r="Q13" s="445"/>
      <c r="R13" s="445"/>
      <c r="S13" s="445"/>
      <c r="T13" s="445"/>
      <c r="U13" s="445"/>
      <c r="V13" s="445"/>
      <c r="W13" s="445"/>
      <c r="X13" s="445"/>
      <c r="Y13" s="445"/>
      <c r="Z13" s="445"/>
      <c r="AA13" s="445"/>
      <c r="AB13" s="445"/>
      <c r="AC13" s="445"/>
    </row>
    <row r="14" spans="1:29" ht="15">
      <c r="A14" s="454" t="s">
        <v>701</v>
      </c>
      <c r="B14" s="455"/>
      <c r="C14" s="455"/>
      <c r="D14" s="455"/>
      <c r="E14" s="455"/>
      <c r="F14" s="455"/>
      <c r="G14" s="456"/>
      <c r="H14" s="456">
        <v>-24466399966</v>
      </c>
      <c r="I14" s="455">
        <f t="shared" si="0"/>
        <v>-24466399966</v>
      </c>
      <c r="J14" s="445"/>
      <c r="K14" s="445"/>
      <c r="L14" s="445"/>
      <c r="M14" s="445"/>
      <c r="N14" s="445"/>
      <c r="O14" s="445"/>
      <c r="P14" s="445"/>
      <c r="Q14" s="445"/>
      <c r="R14" s="445"/>
      <c r="S14" s="445"/>
      <c r="T14" s="445"/>
      <c r="U14" s="445"/>
      <c r="V14" s="445"/>
      <c r="W14" s="445"/>
      <c r="X14" s="445"/>
      <c r="Y14" s="445"/>
      <c r="Z14" s="445"/>
      <c r="AA14" s="445"/>
      <c r="AB14" s="445"/>
      <c r="AC14" s="445"/>
    </row>
    <row r="15" spans="1:29" ht="15">
      <c r="A15" s="454" t="s">
        <v>702</v>
      </c>
      <c r="B15" s="455"/>
      <c r="C15" s="455"/>
      <c r="D15" s="455"/>
      <c r="E15" s="455">
        <v>1220718804</v>
      </c>
      <c r="F15" s="455">
        <v>0</v>
      </c>
      <c r="G15" s="456"/>
      <c r="H15" s="456"/>
      <c r="I15" s="455">
        <f t="shared" si="0"/>
        <v>1220718804</v>
      </c>
      <c r="J15" s="445"/>
      <c r="K15" s="445"/>
      <c r="L15" s="445"/>
      <c r="M15" s="445"/>
      <c r="N15" s="445"/>
      <c r="O15" s="445"/>
      <c r="P15" s="445"/>
      <c r="Q15" s="445"/>
      <c r="R15" s="445"/>
      <c r="S15" s="445"/>
      <c r="T15" s="445"/>
      <c r="U15" s="445"/>
      <c r="V15" s="445"/>
      <c r="W15" s="445"/>
      <c r="X15" s="445"/>
      <c r="Y15" s="445"/>
      <c r="Z15" s="445"/>
      <c r="AA15" s="445"/>
      <c r="AB15" s="445"/>
      <c r="AC15" s="445"/>
    </row>
    <row r="16" spans="1:29" ht="15.75" thickBot="1">
      <c r="A16" s="459" t="s">
        <v>703</v>
      </c>
      <c r="B16" s="452"/>
      <c r="C16" s="452"/>
      <c r="D16" s="452"/>
      <c r="E16" s="452"/>
      <c r="F16" s="452"/>
      <c r="G16" s="452"/>
      <c r="H16" s="460">
        <v>23193657282</v>
      </c>
      <c r="I16" s="449">
        <f t="shared" si="0"/>
        <v>23193657282</v>
      </c>
      <c r="J16" s="445"/>
      <c r="K16" s="445"/>
      <c r="L16" s="445"/>
      <c r="M16" s="445"/>
      <c r="N16" s="445"/>
      <c r="O16" s="445"/>
      <c r="P16" s="445"/>
      <c r="Q16" s="445"/>
      <c r="R16" s="445"/>
      <c r="S16" s="445"/>
      <c r="T16" s="445"/>
      <c r="U16" s="445"/>
      <c r="V16" s="445"/>
      <c r="W16" s="445"/>
      <c r="X16" s="445"/>
      <c r="Y16" s="445"/>
      <c r="Z16" s="445"/>
      <c r="AA16" s="445"/>
      <c r="AB16" s="445"/>
      <c r="AC16" s="445"/>
    </row>
    <row r="17" spans="1:29" ht="9" customHeight="1">
      <c r="A17" s="822"/>
      <c r="B17" s="823"/>
      <c r="C17" s="823"/>
      <c r="D17" s="823"/>
      <c r="E17" s="823"/>
      <c r="F17" s="823"/>
      <c r="G17" s="823"/>
      <c r="H17" s="828"/>
      <c r="I17" s="829"/>
      <c r="J17" s="445"/>
      <c r="K17" s="445"/>
      <c r="L17" s="445"/>
      <c r="M17" s="445"/>
      <c r="N17" s="445"/>
      <c r="O17" s="445"/>
      <c r="P17" s="445"/>
      <c r="Q17" s="445"/>
      <c r="R17" s="445"/>
      <c r="S17" s="445"/>
      <c r="T17" s="445"/>
      <c r="U17" s="445"/>
      <c r="V17" s="445"/>
      <c r="W17" s="445"/>
      <c r="X17" s="445"/>
      <c r="Y17" s="445"/>
      <c r="Z17" s="445"/>
      <c r="AA17" s="445"/>
      <c r="AB17" s="445"/>
      <c r="AC17" s="445"/>
    </row>
    <row r="18" spans="1:29" ht="15.75" thickBot="1">
      <c r="A18" s="825" t="s">
        <v>1148</v>
      </c>
      <c r="B18" s="826">
        <f>SUM(B9:B17)</f>
        <v>49200000000</v>
      </c>
      <c r="C18" s="826">
        <f aca="true" t="shared" si="1" ref="C18:H18">SUM(C9:C17)</f>
        <v>0</v>
      </c>
      <c r="D18" s="826">
        <f t="shared" si="1"/>
        <v>0</v>
      </c>
      <c r="E18" s="826">
        <f t="shared" si="1"/>
        <v>8151731798</v>
      </c>
      <c r="F18" s="826">
        <f t="shared" si="1"/>
        <v>0</v>
      </c>
      <c r="G18" s="826">
        <f t="shared" si="1"/>
        <v>0</v>
      </c>
      <c r="H18" s="830">
        <f t="shared" si="1"/>
        <v>23193657282</v>
      </c>
      <c r="I18" s="831">
        <f>SUM(I9:I17)</f>
        <v>80545389080</v>
      </c>
      <c r="J18" s="445"/>
      <c r="K18" s="445"/>
      <c r="L18" s="445"/>
      <c r="M18" s="445"/>
      <c r="N18" s="445"/>
      <c r="O18" s="445"/>
      <c r="P18" s="445"/>
      <c r="Q18" s="445"/>
      <c r="R18" s="445"/>
      <c r="S18" s="445"/>
      <c r="T18" s="445"/>
      <c r="U18" s="445"/>
      <c r="V18" s="445"/>
      <c r="W18" s="445"/>
      <c r="X18" s="445"/>
      <c r="Y18" s="445"/>
      <c r="Z18" s="445"/>
      <c r="AA18" s="445"/>
      <c r="AB18" s="445"/>
      <c r="AC18" s="445"/>
    </row>
    <row r="19" spans="1:29" ht="15">
      <c r="A19" s="461"/>
      <c r="B19" s="462"/>
      <c r="C19" s="462"/>
      <c r="D19" s="462"/>
      <c r="E19" s="462"/>
      <c r="F19" s="462"/>
      <c r="G19" s="462"/>
      <c r="H19" s="462"/>
      <c r="I19" s="463"/>
      <c r="J19" s="445"/>
      <c r="K19" s="445"/>
      <c r="L19" s="445"/>
      <c r="M19" s="445"/>
      <c r="N19" s="445"/>
      <c r="O19" s="445"/>
      <c r="P19" s="445"/>
      <c r="Q19" s="445"/>
      <c r="R19" s="445"/>
      <c r="S19" s="445"/>
      <c r="T19" s="445"/>
      <c r="U19" s="445"/>
      <c r="V19" s="445"/>
      <c r="W19" s="445"/>
      <c r="X19" s="445"/>
      <c r="Y19" s="445"/>
      <c r="Z19" s="445"/>
      <c r="AA19" s="445"/>
      <c r="AB19" s="445"/>
      <c r="AC19" s="445"/>
    </row>
    <row r="20" spans="1:29" ht="15.75" thickBot="1">
      <c r="A20" s="464" t="s">
        <v>1147</v>
      </c>
      <c r="B20" s="465">
        <v>48000000000</v>
      </c>
      <c r="C20" s="465">
        <v>0</v>
      </c>
      <c r="D20" s="465">
        <v>0</v>
      </c>
      <c r="E20" s="466">
        <v>6931012994</v>
      </c>
      <c r="F20" s="466">
        <v>1052061213</v>
      </c>
      <c r="G20" s="465">
        <v>0</v>
      </c>
      <c r="H20" s="465">
        <v>24614338753</v>
      </c>
      <c r="I20" s="467">
        <f>SUM(B20:H20)</f>
        <v>80597412960</v>
      </c>
      <c r="J20" s="445"/>
      <c r="K20" s="445"/>
      <c r="L20" s="445"/>
      <c r="M20" s="445"/>
      <c r="N20" s="445"/>
      <c r="O20" s="445"/>
      <c r="P20" s="445"/>
      <c r="Q20" s="445"/>
      <c r="R20" s="445"/>
      <c r="S20" s="445"/>
      <c r="T20" s="445"/>
      <c r="U20" s="445"/>
      <c r="V20" s="445"/>
      <c r="W20" s="445"/>
      <c r="X20" s="445"/>
      <c r="Y20" s="445"/>
      <c r="Z20" s="445"/>
      <c r="AA20" s="445"/>
      <c r="AB20" s="445"/>
      <c r="AC20" s="445"/>
    </row>
    <row r="21" spans="1:7" ht="15.75">
      <c r="A21" s="309"/>
      <c r="B21" s="309"/>
      <c r="C21" s="309"/>
      <c r="D21" s="309"/>
      <c r="E21" s="309"/>
      <c r="F21" s="309"/>
      <c r="G21" s="468"/>
    </row>
    <row r="22" spans="1:9" ht="15" customHeight="1">
      <c r="A22" s="891" t="s">
        <v>704</v>
      </c>
      <c r="B22" s="891"/>
      <c r="C22" s="891"/>
      <c r="D22" s="891"/>
      <c r="E22" s="891"/>
      <c r="F22" s="891"/>
      <c r="G22" s="891"/>
      <c r="H22" s="891"/>
      <c r="I22" s="891"/>
    </row>
    <row r="23" spans="1:9" ht="15" customHeight="1">
      <c r="A23" s="400"/>
      <c r="B23" s="400"/>
      <c r="C23" s="400"/>
      <c r="D23" s="400"/>
      <c r="E23" s="400"/>
      <c r="F23" s="400"/>
      <c r="G23" s="400"/>
      <c r="H23" s="400"/>
      <c r="I23" s="400"/>
    </row>
    <row r="24" spans="1:9" ht="15" customHeight="1">
      <c r="A24" s="852"/>
      <c r="B24" s="852"/>
      <c r="C24" s="852"/>
      <c r="D24" s="852"/>
      <c r="E24" s="852"/>
      <c r="F24" s="852"/>
      <c r="G24" s="852"/>
      <c r="H24" s="852"/>
      <c r="I24" s="852"/>
    </row>
    <row r="25" spans="1:9" ht="15" customHeight="1">
      <c r="A25" s="852"/>
      <c r="B25" s="852"/>
      <c r="C25" s="852"/>
      <c r="D25" s="852"/>
      <c r="E25" s="852"/>
      <c r="F25" s="852"/>
      <c r="G25" s="852"/>
      <c r="H25" s="852"/>
      <c r="I25" s="852"/>
    </row>
    <row r="26" spans="1:9" ht="15" customHeight="1">
      <c r="A26" s="400"/>
      <c r="B26" s="400"/>
      <c r="C26" s="400"/>
      <c r="D26" s="400"/>
      <c r="E26" s="400"/>
      <c r="F26" s="400"/>
      <c r="G26" s="400"/>
      <c r="H26" s="400"/>
      <c r="I26" s="400"/>
    </row>
    <row r="27" spans="1:9" ht="15" customHeight="1">
      <c r="A27" s="400"/>
      <c r="B27" s="400"/>
      <c r="C27" s="400"/>
      <c r="D27" s="400"/>
      <c r="E27" s="400"/>
      <c r="F27" s="400"/>
      <c r="G27" s="400"/>
      <c r="H27" s="400"/>
      <c r="I27" s="400"/>
    </row>
    <row r="28" spans="1:9" ht="15" customHeight="1">
      <c r="A28" s="400"/>
      <c r="B28" s="400"/>
      <c r="C28" s="400"/>
      <c r="D28" s="400"/>
      <c r="E28" s="400"/>
      <c r="F28" s="400"/>
      <c r="G28" s="400"/>
      <c r="H28" s="400"/>
      <c r="I28" s="400"/>
    </row>
    <row r="29" spans="1:9" ht="15" customHeight="1">
      <c r="A29" s="400"/>
      <c r="B29" s="400"/>
      <c r="C29" s="400"/>
      <c r="D29" s="400"/>
      <c r="E29" s="400"/>
      <c r="F29" s="400"/>
      <c r="G29" s="400"/>
      <c r="H29" s="400"/>
      <c r="I29" s="400"/>
    </row>
    <row r="30" spans="1:9" ht="15">
      <c r="A30" s="469" t="s">
        <v>705</v>
      </c>
      <c r="B30" s="874" t="s">
        <v>1175</v>
      </c>
      <c r="C30" s="874"/>
      <c r="D30" s="874"/>
      <c r="E30" s="954" t="s">
        <v>595</v>
      </c>
      <c r="F30" s="954"/>
      <c r="G30" s="953" t="s">
        <v>707</v>
      </c>
      <c r="H30" s="953"/>
      <c r="I30" s="953"/>
    </row>
    <row r="31" spans="1:9" ht="15">
      <c r="A31" s="469" t="s">
        <v>708</v>
      </c>
      <c r="B31" s="873" t="s">
        <v>1176</v>
      </c>
      <c r="C31" s="873"/>
      <c r="D31" s="874"/>
      <c r="E31" s="954" t="s">
        <v>709</v>
      </c>
      <c r="F31" s="954"/>
      <c r="G31" s="952" t="s">
        <v>1184</v>
      </c>
      <c r="H31" s="952"/>
      <c r="I31" s="952"/>
    </row>
    <row r="32" spans="1:7" ht="15">
      <c r="A32" s="470"/>
      <c r="B32" s="470"/>
      <c r="C32" s="470"/>
      <c r="D32" s="470"/>
      <c r="E32" s="470"/>
      <c r="F32" s="470"/>
      <c r="G32" s="470"/>
    </row>
    <row r="33" spans="1:9" ht="15" customHeight="1">
      <c r="A33" s="400"/>
      <c r="B33" s="400"/>
      <c r="C33" s="400"/>
      <c r="D33" s="400"/>
      <c r="E33" s="400"/>
      <c r="F33" s="400"/>
      <c r="G33" s="400"/>
      <c r="H33" s="400"/>
      <c r="I33" s="400"/>
    </row>
    <row r="34" spans="1:9" ht="15" customHeight="1">
      <c r="A34" s="400"/>
      <c r="B34" s="400"/>
      <c r="C34" s="400"/>
      <c r="D34" s="400"/>
      <c r="E34" s="400"/>
      <c r="F34" s="400"/>
      <c r="G34" s="400"/>
      <c r="H34" s="400"/>
      <c r="I34" s="400"/>
    </row>
    <row r="35" spans="1:9" ht="15" customHeight="1">
      <c r="A35" s="400"/>
      <c r="B35" s="400"/>
      <c r="C35" s="400"/>
      <c r="D35" s="400"/>
      <c r="E35" s="400"/>
      <c r="F35" s="400"/>
      <c r="G35" s="400"/>
      <c r="H35" s="400"/>
      <c r="I35" s="400"/>
    </row>
    <row r="36" spans="1:9" ht="15" customHeight="1">
      <c r="A36" s="891"/>
      <c r="B36" s="891"/>
      <c r="C36" s="891"/>
      <c r="D36" s="891"/>
      <c r="E36" s="891"/>
      <c r="F36" s="891"/>
      <c r="G36" s="891"/>
      <c r="H36" s="891"/>
      <c r="I36" s="891"/>
    </row>
    <row r="37" spans="1:9" ht="15" customHeight="1">
      <c r="A37" s="400"/>
      <c r="B37" s="400"/>
      <c r="C37" s="400"/>
      <c r="D37" s="400"/>
      <c r="E37" s="400"/>
      <c r="F37" s="400"/>
      <c r="G37" s="400"/>
      <c r="H37" s="400"/>
      <c r="I37" s="400"/>
    </row>
    <row r="38" spans="1:9" ht="15" customHeight="1">
      <c r="A38" s="400"/>
      <c r="B38" s="400"/>
      <c r="C38" s="400"/>
      <c r="D38" s="400"/>
      <c r="E38" s="400"/>
      <c r="F38" s="400"/>
      <c r="G38" s="400"/>
      <c r="H38" s="400"/>
      <c r="I38" s="400"/>
    </row>
    <row r="39" spans="1:9" ht="15" customHeight="1">
      <c r="A39" s="400"/>
      <c r="B39" s="400"/>
      <c r="C39" s="400"/>
      <c r="D39" s="400"/>
      <c r="E39" s="400"/>
      <c r="F39" s="400"/>
      <c r="G39" s="400"/>
      <c r="H39" s="400"/>
      <c r="I39" s="400"/>
    </row>
    <row r="40" spans="1:9" ht="15" customHeight="1">
      <c r="A40" s="400"/>
      <c r="B40" s="400"/>
      <c r="C40" s="400"/>
      <c r="D40" s="400"/>
      <c r="E40" s="400"/>
      <c r="F40" s="400"/>
      <c r="G40" s="400"/>
      <c r="H40" s="400"/>
      <c r="I40" s="400"/>
    </row>
    <row r="41" spans="1:9" ht="15" customHeight="1">
      <c r="A41" s="400"/>
      <c r="B41" s="400"/>
      <c r="C41" s="400"/>
      <c r="D41" s="400"/>
      <c r="E41" s="400"/>
      <c r="F41" s="400"/>
      <c r="G41" s="400"/>
      <c r="H41" s="400"/>
      <c r="I41" s="400"/>
    </row>
    <row r="42" spans="1:9" ht="15" customHeight="1">
      <c r="A42" s="400"/>
      <c r="B42" s="400"/>
      <c r="C42" s="400"/>
      <c r="D42" s="400"/>
      <c r="E42" s="400"/>
      <c r="F42" s="400"/>
      <c r="G42" s="400"/>
      <c r="H42" s="400"/>
      <c r="I42" s="400"/>
    </row>
    <row r="43" spans="1:9" ht="15" customHeight="1">
      <c r="A43" s="400"/>
      <c r="B43" s="400"/>
      <c r="C43" s="400"/>
      <c r="D43" s="400"/>
      <c r="E43" s="400"/>
      <c r="F43" s="400"/>
      <c r="G43" s="400"/>
      <c r="H43" s="400"/>
      <c r="I43" s="400"/>
    </row>
    <row r="44" spans="1:7" ht="15.75">
      <c r="A44" s="316"/>
      <c r="B44" s="309"/>
      <c r="C44" s="309"/>
      <c r="D44" s="309"/>
      <c r="E44" s="309"/>
      <c r="F44" s="309"/>
      <c r="G44" s="314"/>
    </row>
    <row r="45" spans="1:7" ht="15.75">
      <c r="A45" s="316"/>
      <c r="B45" s="309"/>
      <c r="C45" s="309"/>
      <c r="D45" s="309"/>
      <c r="E45" s="470"/>
      <c r="F45" s="470"/>
      <c r="G45" s="470"/>
    </row>
    <row r="49" spans="1:7" ht="15.75">
      <c r="A49" s="470"/>
      <c r="B49" s="470"/>
      <c r="C49" s="470"/>
      <c r="D49" s="470"/>
      <c r="E49" s="309"/>
      <c r="F49" s="309"/>
      <c r="G49" s="314"/>
    </row>
    <row r="50" spans="1:7" ht="15.75">
      <c r="A50" s="470"/>
      <c r="B50" s="470"/>
      <c r="C50" s="470"/>
      <c r="D50" s="470"/>
      <c r="E50" s="314"/>
      <c r="F50" s="314"/>
      <c r="G50" s="309"/>
    </row>
    <row r="51" spans="4:7" ht="15.75">
      <c r="D51" s="470"/>
      <c r="E51" s="309"/>
      <c r="F51" s="309"/>
      <c r="G51" s="314"/>
    </row>
    <row r="52" spans="4:7" ht="15.75">
      <c r="D52" s="471"/>
      <c r="E52" s="309"/>
      <c r="F52" s="309"/>
      <c r="G52" s="314"/>
    </row>
    <row r="53" spans="4:7" ht="15.75">
      <c r="D53" s="471"/>
      <c r="E53" s="309"/>
      <c r="F53" s="309"/>
      <c r="G53" s="314"/>
    </row>
    <row r="54" spans="4:7" ht="15.75">
      <c r="D54" s="470"/>
      <c r="E54" s="309"/>
      <c r="F54" s="309"/>
      <c r="G54" s="309"/>
    </row>
    <row r="55" spans="1:7" ht="15.75">
      <c r="A55" s="316"/>
      <c r="B55" s="309"/>
      <c r="C55" s="309"/>
      <c r="D55" s="309"/>
      <c r="E55" s="309"/>
      <c r="F55" s="309"/>
      <c r="G55" s="314"/>
    </row>
    <row r="56" spans="1:7" ht="15.75">
      <c r="A56" s="316"/>
      <c r="B56" s="309"/>
      <c r="C56" s="309"/>
      <c r="D56" s="309"/>
      <c r="E56" s="309"/>
      <c r="F56" s="309"/>
      <c r="G56" s="314"/>
    </row>
    <row r="57" spans="1:7" ht="15.75">
      <c r="A57" s="316"/>
      <c r="B57" s="309"/>
      <c r="C57" s="309"/>
      <c r="D57" s="309"/>
      <c r="E57" s="309"/>
      <c r="F57" s="309"/>
      <c r="G57" s="314"/>
    </row>
    <row r="58" spans="1:7" ht="15.75">
      <c r="A58" s="316"/>
      <c r="B58" s="309"/>
      <c r="C58" s="309"/>
      <c r="D58" s="309"/>
      <c r="E58" s="309"/>
      <c r="F58" s="309"/>
      <c r="G58" s="314"/>
    </row>
    <row r="59" spans="1:7" ht="15.75">
      <c r="A59" s="316"/>
      <c r="B59" s="309"/>
      <c r="C59" s="309"/>
      <c r="D59" s="309"/>
      <c r="E59" s="309"/>
      <c r="F59" s="309"/>
      <c r="G59" s="314"/>
    </row>
    <row r="60" spans="1:7" ht="15.75">
      <c r="A60" s="316"/>
      <c r="B60" s="309"/>
      <c r="C60" s="309"/>
      <c r="D60" s="309"/>
      <c r="E60" s="309"/>
      <c r="F60" s="309"/>
      <c r="G60" s="314"/>
    </row>
    <row r="61" spans="1:7" ht="15.75">
      <c r="A61" s="316"/>
      <c r="B61" s="309"/>
      <c r="C61" s="309"/>
      <c r="D61" s="309"/>
      <c r="E61" s="309"/>
      <c r="F61" s="309"/>
      <c r="G61" s="314"/>
    </row>
    <row r="62" spans="1:7" ht="15.75">
      <c r="A62" s="316"/>
      <c r="B62" s="309"/>
      <c r="C62" s="309"/>
      <c r="D62" s="309"/>
      <c r="E62" s="309"/>
      <c r="F62" s="309"/>
      <c r="G62" s="314"/>
    </row>
    <row r="63" spans="1:7" ht="15.75">
      <c r="A63" s="316"/>
      <c r="B63" s="309"/>
      <c r="C63" s="309"/>
      <c r="D63" s="309"/>
      <c r="E63" s="309"/>
      <c r="F63" s="309"/>
      <c r="G63" s="314"/>
    </row>
    <row r="64" spans="1:7" ht="15.75">
      <c r="A64" s="316"/>
      <c r="B64" s="309"/>
      <c r="C64" s="309"/>
      <c r="D64" s="309"/>
      <c r="E64" s="309"/>
      <c r="F64" s="309"/>
      <c r="G64" s="314"/>
    </row>
    <row r="65" spans="1:7" ht="15.75">
      <c r="A65" s="316"/>
      <c r="B65" s="309"/>
      <c r="C65" s="309"/>
      <c r="D65" s="309"/>
      <c r="E65" s="309"/>
      <c r="F65" s="309"/>
      <c r="G65" s="314"/>
    </row>
    <row r="66" spans="1:7" ht="15.75">
      <c r="A66" s="316"/>
      <c r="B66" s="309"/>
      <c r="C66" s="309"/>
      <c r="D66" s="309"/>
      <c r="E66" s="309"/>
      <c r="F66" s="309"/>
      <c r="G66" s="314"/>
    </row>
    <row r="67" spans="1:7" ht="15.75">
      <c r="A67" s="316"/>
      <c r="B67" s="309"/>
      <c r="C67" s="309"/>
      <c r="D67" s="309"/>
      <c r="E67" s="309"/>
      <c r="F67" s="309"/>
      <c r="G67" s="314"/>
    </row>
    <row r="68" spans="1:7" ht="15.75">
      <c r="A68" s="316"/>
      <c r="B68" s="309"/>
      <c r="C68" s="309"/>
      <c r="D68" s="309"/>
      <c r="E68" s="309"/>
      <c r="F68" s="309"/>
      <c r="G68" s="314"/>
    </row>
    <row r="69" spans="1:7" ht="15.75">
      <c r="A69" s="309"/>
      <c r="B69" s="314"/>
      <c r="C69" s="314"/>
      <c r="D69" s="314"/>
      <c r="E69" s="314"/>
      <c r="F69" s="314"/>
      <c r="G69" s="472"/>
    </row>
    <row r="70" spans="1:7" ht="15.75">
      <c r="A70" s="309"/>
      <c r="B70" s="314"/>
      <c r="C70" s="314"/>
      <c r="D70" s="314"/>
      <c r="E70" s="314"/>
      <c r="F70" s="314"/>
      <c r="G70" s="473"/>
    </row>
    <row r="71" spans="1:7" ht="15.75">
      <c r="A71" s="474"/>
      <c r="B71" s="309"/>
      <c r="C71" s="309"/>
      <c r="D71" s="309"/>
      <c r="E71" s="309"/>
      <c r="F71" s="309"/>
      <c r="G71" s="475"/>
    </row>
    <row r="72" spans="1:7" ht="15.75">
      <c r="A72" s="316"/>
      <c r="B72" s="309"/>
      <c r="C72" s="309"/>
      <c r="D72" s="309"/>
      <c r="E72" s="309"/>
      <c r="F72" s="309"/>
      <c r="G72" s="314"/>
    </row>
    <row r="73" spans="1:7" ht="15.75">
      <c r="A73" s="309"/>
      <c r="B73" s="314"/>
      <c r="C73" s="314"/>
      <c r="D73" s="314"/>
      <c r="E73" s="314"/>
      <c r="F73" s="314"/>
      <c r="G73" s="472"/>
    </row>
    <row r="74" spans="1:7" ht="15.75">
      <c r="A74" s="309"/>
      <c r="B74" s="309"/>
      <c r="C74" s="309"/>
      <c r="D74" s="309"/>
      <c r="E74" s="309"/>
      <c r="F74" s="309"/>
      <c r="G74" s="476"/>
    </row>
    <row r="75" spans="1:7" ht="16.5" thickBot="1">
      <c r="A75" s="474"/>
      <c r="B75" s="309"/>
      <c r="C75" s="309"/>
      <c r="D75" s="309"/>
      <c r="E75" s="309"/>
      <c r="F75" s="309"/>
      <c r="G75" s="477"/>
    </row>
  </sheetData>
  <sheetProtection/>
  <mergeCells count="12">
    <mergeCell ref="A36:I36"/>
    <mergeCell ref="A22:I22"/>
    <mergeCell ref="G31:I31"/>
    <mergeCell ref="G30:I30"/>
    <mergeCell ref="E31:F31"/>
    <mergeCell ref="E30:F30"/>
    <mergeCell ref="A1:I1"/>
    <mergeCell ref="A2:I2"/>
    <mergeCell ref="A3:I3"/>
    <mergeCell ref="B5:C5"/>
    <mergeCell ref="D5:F5"/>
    <mergeCell ref="G5:H5"/>
  </mergeCells>
  <printOptions horizontalCentered="1" verticalCentered="1"/>
  <pageMargins left="0.3937007874015748" right="0.5905511811023623" top="1.1811023622047245" bottom="1.1811023622047245" header="0.2362204724409449" footer="0"/>
  <pageSetup fitToHeight="0" horizontalDpi="600" verticalDpi="600" orientation="landscape" pageOrder="overThenDown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Q70"/>
  <sheetViews>
    <sheetView showGridLines="0" zoomScale="90" zoomScaleNormal="90" zoomScalePageLayoutView="0" workbookViewId="0" topLeftCell="A34">
      <selection activeCell="M66" sqref="M66"/>
    </sheetView>
  </sheetViews>
  <sheetFormatPr defaultColWidth="11.421875" defaultRowHeight="15"/>
  <cols>
    <col min="1" max="1" width="1.7109375" style="586" customWidth="1"/>
    <col min="2" max="2" width="30.7109375" style="520" customWidth="1"/>
    <col min="3" max="3" width="15.8515625" style="520" customWidth="1"/>
    <col min="4" max="4" width="13.421875" style="520" bestFit="1" customWidth="1"/>
    <col min="5" max="5" width="13.7109375" style="520" customWidth="1"/>
    <col min="6" max="6" width="14.28125" style="520" customWidth="1"/>
    <col min="7" max="7" width="15.57421875" style="520" customWidth="1"/>
    <col min="8" max="8" width="15.57421875" style="520" bestFit="1" customWidth="1"/>
    <col min="9" max="9" width="13.421875" style="520" bestFit="1" customWidth="1"/>
    <col min="10" max="10" width="15.00390625" style="520" customWidth="1"/>
    <col min="11" max="11" width="12.140625" style="520" customWidth="1"/>
    <col min="12" max="12" width="15.7109375" style="520" bestFit="1" customWidth="1"/>
    <col min="13" max="13" width="14.421875" style="520" bestFit="1" customWidth="1"/>
    <col min="14" max="14" width="12.57421875" style="586" customWidth="1"/>
    <col min="15" max="16" width="16.7109375" style="586" bestFit="1" customWidth="1"/>
    <col min="17" max="17" width="15.7109375" style="586" bestFit="1" customWidth="1"/>
    <col min="18" max="16384" width="11.421875" style="586" customWidth="1"/>
  </cols>
  <sheetData>
    <row r="1" spans="2:13" s="520" customFormat="1" ht="15.75">
      <c r="B1" s="956"/>
      <c r="C1" s="956"/>
      <c r="D1" s="956"/>
      <c r="E1" s="956"/>
      <c r="F1" s="956"/>
      <c r="G1" s="956"/>
      <c r="H1" s="956"/>
      <c r="I1" s="956"/>
      <c r="J1" s="956"/>
      <c r="K1" s="956"/>
      <c r="L1" s="956"/>
      <c r="M1" s="956"/>
    </row>
    <row r="2" spans="11:13" s="520" customFormat="1" ht="25.5">
      <c r="K2" s="760" t="s">
        <v>766</v>
      </c>
      <c r="L2" s="760"/>
      <c r="M2" s="760"/>
    </row>
    <row r="3" spans="2:13" s="521" customFormat="1" ht="22.5">
      <c r="B3" s="957" t="s">
        <v>561</v>
      </c>
      <c r="C3" s="957"/>
      <c r="D3" s="957"/>
      <c r="E3" s="957"/>
      <c r="F3" s="957"/>
      <c r="G3" s="957"/>
      <c r="H3" s="957"/>
      <c r="I3" s="957"/>
      <c r="J3" s="957"/>
      <c r="K3" s="957"/>
      <c r="L3" s="957"/>
      <c r="M3" s="957"/>
    </row>
    <row r="4" spans="2:13" s="521" customFormat="1" ht="22.5">
      <c r="B4" s="957" t="s">
        <v>1149</v>
      </c>
      <c r="C4" s="957"/>
      <c r="D4" s="957"/>
      <c r="E4" s="957"/>
      <c r="F4" s="957"/>
      <c r="G4" s="957"/>
      <c r="H4" s="957"/>
      <c r="I4" s="957"/>
      <c r="J4" s="957"/>
      <c r="K4" s="957"/>
      <c r="L4" s="957"/>
      <c r="M4" s="957"/>
    </row>
    <row r="5" spans="2:13" s="521" customFormat="1" ht="18.75">
      <c r="B5" s="958" t="s">
        <v>562</v>
      </c>
      <c r="C5" s="958"/>
      <c r="D5" s="958"/>
      <c r="E5" s="958"/>
      <c r="F5" s="958"/>
      <c r="G5" s="958"/>
      <c r="H5" s="958"/>
      <c r="I5" s="958"/>
      <c r="J5" s="958"/>
      <c r="K5" s="958"/>
      <c r="L5" s="958"/>
      <c r="M5" s="958"/>
    </row>
    <row r="6" spans="2:13" s="523" customFormat="1" ht="10.5">
      <c r="B6" s="522"/>
      <c r="C6" s="522"/>
      <c r="D6" s="522"/>
      <c r="E6" s="522"/>
      <c r="F6" s="522"/>
      <c r="G6" s="522"/>
      <c r="H6" s="522"/>
      <c r="I6" s="522"/>
      <c r="J6" s="522"/>
      <c r="K6" s="522"/>
      <c r="L6" s="522"/>
      <c r="M6" s="522"/>
    </row>
    <row r="7" spans="2:13" s="521" customFormat="1" ht="23.25" thickBot="1">
      <c r="B7" s="957" t="s">
        <v>767</v>
      </c>
      <c r="C7" s="957"/>
      <c r="D7" s="957"/>
      <c r="E7" s="957"/>
      <c r="F7" s="957"/>
      <c r="G7" s="957"/>
      <c r="H7" s="957"/>
      <c r="I7" s="957"/>
      <c r="J7" s="957"/>
      <c r="K7" s="957"/>
      <c r="L7" s="957"/>
      <c r="M7" s="957"/>
    </row>
    <row r="8" spans="2:13" s="478" customFormat="1" ht="16.5" thickBot="1">
      <c r="B8" s="524" t="s">
        <v>768</v>
      </c>
      <c r="C8" s="955" t="s">
        <v>713</v>
      </c>
      <c r="D8" s="955"/>
      <c r="E8" s="955"/>
      <c r="F8" s="955"/>
      <c r="G8" s="955"/>
      <c r="H8" s="955" t="s">
        <v>714</v>
      </c>
      <c r="I8" s="955"/>
      <c r="J8" s="955"/>
      <c r="K8" s="955"/>
      <c r="L8" s="955"/>
      <c r="M8" s="525"/>
    </row>
    <row r="9" spans="2:13" s="478" customFormat="1" ht="12.75">
      <c r="B9" s="526"/>
      <c r="C9" s="527" t="s">
        <v>769</v>
      </c>
      <c r="D9" s="528" t="s">
        <v>770</v>
      </c>
      <c r="E9" s="528" t="s">
        <v>771</v>
      </c>
      <c r="F9" s="528" t="s">
        <v>694</v>
      </c>
      <c r="G9" s="529" t="s">
        <v>772</v>
      </c>
      <c r="H9" s="530" t="s">
        <v>773</v>
      </c>
      <c r="I9" s="531" t="s">
        <v>774</v>
      </c>
      <c r="J9" s="532"/>
      <c r="K9" s="533" t="s">
        <v>694</v>
      </c>
      <c r="L9" s="529" t="s">
        <v>773</v>
      </c>
      <c r="M9" s="526" t="s">
        <v>722</v>
      </c>
    </row>
    <row r="10" spans="2:13" s="478" customFormat="1" ht="13.5" thickBot="1">
      <c r="B10" s="526" t="s">
        <v>718</v>
      </c>
      <c r="C10" s="534" t="s">
        <v>775</v>
      </c>
      <c r="D10" s="528" t="s">
        <v>775</v>
      </c>
      <c r="E10" s="528" t="s">
        <v>776</v>
      </c>
      <c r="F10" s="528" t="s">
        <v>775</v>
      </c>
      <c r="G10" s="535" t="s">
        <v>775</v>
      </c>
      <c r="H10" s="536" t="s">
        <v>777</v>
      </c>
      <c r="I10" s="537" t="s">
        <v>775</v>
      </c>
      <c r="J10" s="538" t="s">
        <v>778</v>
      </c>
      <c r="K10" s="533" t="s">
        <v>775</v>
      </c>
      <c r="L10" s="535" t="s">
        <v>779</v>
      </c>
      <c r="M10" s="526" t="s">
        <v>728</v>
      </c>
    </row>
    <row r="11" spans="2:13" s="546" customFormat="1" ht="12.75">
      <c r="B11" s="539"/>
      <c r="C11" s="540"/>
      <c r="D11" s="541"/>
      <c r="E11" s="540"/>
      <c r="F11" s="541"/>
      <c r="G11" s="542"/>
      <c r="H11" s="543"/>
      <c r="I11" s="541"/>
      <c r="J11" s="544"/>
      <c r="K11" s="541"/>
      <c r="L11" s="542"/>
      <c r="M11" s="545"/>
    </row>
    <row r="12" spans="2:14" s="546" customFormat="1" ht="12.75">
      <c r="B12" s="547" t="s">
        <v>780</v>
      </c>
      <c r="C12" s="548">
        <v>8936968875</v>
      </c>
      <c r="D12" s="489">
        <v>0</v>
      </c>
      <c r="E12" s="489">
        <v>0</v>
      </c>
      <c r="F12" s="489">
        <v>0</v>
      </c>
      <c r="G12" s="549">
        <f>SUM(C12:F12)</f>
        <v>8936968875</v>
      </c>
      <c r="H12" s="550">
        <v>0</v>
      </c>
      <c r="I12" s="489">
        <v>0</v>
      </c>
      <c r="J12" s="551">
        <v>0</v>
      </c>
      <c r="K12" s="551">
        <v>0</v>
      </c>
      <c r="L12" s="549">
        <v>0</v>
      </c>
      <c r="M12" s="552">
        <f>G12-L12</f>
        <v>8936968875</v>
      </c>
      <c r="N12" s="553"/>
    </row>
    <row r="13" spans="2:13" s="546" customFormat="1" ht="3.75" customHeight="1">
      <c r="B13" s="547"/>
      <c r="C13" s="548"/>
      <c r="D13" s="489"/>
      <c r="E13" s="489"/>
      <c r="F13" s="489">
        <v>0</v>
      </c>
      <c r="G13" s="549"/>
      <c r="H13" s="550"/>
      <c r="I13" s="489">
        <v>0</v>
      </c>
      <c r="J13" s="551"/>
      <c r="K13" s="551"/>
      <c r="L13" s="549"/>
      <c r="M13" s="552"/>
    </row>
    <row r="14" spans="2:14" s="546" customFormat="1" ht="12.75">
      <c r="B14" s="547" t="s">
        <v>781</v>
      </c>
      <c r="C14" s="548">
        <v>12721120472</v>
      </c>
      <c r="D14" s="489">
        <f>163034186</f>
        <v>163034186</v>
      </c>
      <c r="E14" s="489">
        <v>0</v>
      </c>
      <c r="F14" s="489">
        <v>0</v>
      </c>
      <c r="G14" s="549">
        <f>SUM(C14:F14)</f>
        <v>12884154658</v>
      </c>
      <c r="H14" s="550">
        <v>4001505172</v>
      </c>
      <c r="I14" s="489">
        <f>27920294+29452614</f>
        <v>57372908</v>
      </c>
      <c r="J14" s="551">
        <f>-(18366185+11921220)</f>
        <v>-30287405</v>
      </c>
      <c r="K14" s="551">
        <v>0</v>
      </c>
      <c r="L14" s="549">
        <f>SUM(H14:K14)</f>
        <v>4028590675</v>
      </c>
      <c r="M14" s="552">
        <f>G14-L14</f>
        <v>8855563983</v>
      </c>
      <c r="N14" s="553"/>
    </row>
    <row r="15" spans="2:13" s="546" customFormat="1" ht="3.75" customHeight="1">
      <c r="B15" s="547"/>
      <c r="C15" s="548"/>
      <c r="D15" s="489">
        <v>0</v>
      </c>
      <c r="E15" s="489"/>
      <c r="F15" s="489">
        <v>0</v>
      </c>
      <c r="G15" s="549"/>
      <c r="H15" s="550">
        <v>0</v>
      </c>
      <c r="I15" s="489">
        <v>0</v>
      </c>
      <c r="J15" s="551"/>
      <c r="K15" s="551"/>
      <c r="L15" s="549">
        <f aca="true" t="shared" si="0" ref="L15:L48">SUM(H15:K15)</f>
        <v>0</v>
      </c>
      <c r="M15" s="552"/>
    </row>
    <row r="16" spans="2:14" s="546" customFormat="1" ht="12.75">
      <c r="B16" s="547" t="s">
        <v>782</v>
      </c>
      <c r="C16" s="548">
        <v>10730862629</v>
      </c>
      <c r="D16" s="489">
        <v>324010356</v>
      </c>
      <c r="E16" s="489">
        <v>-14758657</v>
      </c>
      <c r="F16" s="489">
        <v>0</v>
      </c>
      <c r="G16" s="549">
        <f>SUM(C16:F16)</f>
        <v>11040114328</v>
      </c>
      <c r="H16" s="550">
        <v>7126872524</v>
      </c>
      <c r="I16" s="489">
        <v>117533104</v>
      </c>
      <c r="J16" s="551">
        <v>-188295697</v>
      </c>
      <c r="K16" s="551">
        <v>0</v>
      </c>
      <c r="L16" s="549">
        <f t="shared" si="0"/>
        <v>7056109931</v>
      </c>
      <c r="M16" s="552">
        <f>G16-L16</f>
        <v>3984004397</v>
      </c>
      <c r="N16" s="553"/>
    </row>
    <row r="17" spans="2:13" s="546" customFormat="1" ht="3.75" customHeight="1">
      <c r="B17" s="547"/>
      <c r="C17" s="548"/>
      <c r="D17" s="489">
        <v>0</v>
      </c>
      <c r="E17" s="489"/>
      <c r="F17" s="489">
        <v>0</v>
      </c>
      <c r="G17" s="549"/>
      <c r="H17" s="550">
        <v>0</v>
      </c>
      <c r="I17" s="489">
        <v>0</v>
      </c>
      <c r="J17" s="551"/>
      <c r="K17" s="551"/>
      <c r="L17" s="549">
        <f t="shared" si="0"/>
        <v>0</v>
      </c>
      <c r="M17" s="552"/>
    </row>
    <row r="18" spans="2:14" s="546" customFormat="1" ht="12.75">
      <c r="B18" s="547" t="s">
        <v>783</v>
      </c>
      <c r="C18" s="548">
        <v>109299967</v>
      </c>
      <c r="D18" s="489">
        <v>0</v>
      </c>
      <c r="E18" s="489">
        <v>0</v>
      </c>
      <c r="F18" s="489">
        <v>0</v>
      </c>
      <c r="G18" s="549">
        <f>SUM(C18:F18)</f>
        <v>109299967</v>
      </c>
      <c r="H18" s="550">
        <v>99159051</v>
      </c>
      <c r="I18" s="489">
        <v>400000</v>
      </c>
      <c r="J18" s="551">
        <v>-50636</v>
      </c>
      <c r="K18" s="551">
        <v>0</v>
      </c>
      <c r="L18" s="549">
        <f t="shared" si="0"/>
        <v>99508415</v>
      </c>
      <c r="M18" s="552">
        <f>G18-L18</f>
        <v>9791552</v>
      </c>
      <c r="N18" s="553"/>
    </row>
    <row r="19" spans="2:13" s="546" customFormat="1" ht="3.75" customHeight="1">
      <c r="B19" s="547"/>
      <c r="C19" s="548"/>
      <c r="D19" s="489">
        <v>0</v>
      </c>
      <c r="E19" s="489"/>
      <c r="F19" s="489">
        <v>0</v>
      </c>
      <c r="G19" s="549"/>
      <c r="H19" s="550">
        <v>0</v>
      </c>
      <c r="I19" s="489">
        <v>0</v>
      </c>
      <c r="J19" s="551"/>
      <c r="K19" s="551"/>
      <c r="L19" s="549">
        <f t="shared" si="0"/>
        <v>0</v>
      </c>
      <c r="M19" s="552"/>
    </row>
    <row r="20" spans="2:14" s="546" customFormat="1" ht="12.75">
      <c r="B20" s="547" t="s">
        <v>784</v>
      </c>
      <c r="C20" s="548">
        <v>12377132241</v>
      </c>
      <c r="D20" s="489">
        <v>4041688222</v>
      </c>
      <c r="E20" s="489">
        <v>0</v>
      </c>
      <c r="F20" s="489">
        <v>0</v>
      </c>
      <c r="G20" s="549">
        <f>SUM(C20:F20)</f>
        <v>16418820463</v>
      </c>
      <c r="H20" s="550">
        <v>12652337276</v>
      </c>
      <c r="I20" s="489">
        <v>140806170</v>
      </c>
      <c r="J20" s="551">
        <v>-592792011</v>
      </c>
      <c r="K20" s="551">
        <v>0</v>
      </c>
      <c r="L20" s="549">
        <f t="shared" si="0"/>
        <v>12200351435</v>
      </c>
      <c r="M20" s="552">
        <f>G20-L20</f>
        <v>4218469028</v>
      </c>
      <c r="N20" s="553"/>
    </row>
    <row r="21" spans="2:13" s="546" customFormat="1" ht="3.75" customHeight="1">
      <c r="B21" s="547"/>
      <c r="C21" s="548">
        <v>0</v>
      </c>
      <c r="D21" s="489">
        <v>0</v>
      </c>
      <c r="E21" s="489"/>
      <c r="F21" s="489">
        <v>0</v>
      </c>
      <c r="G21" s="549">
        <f>SUM(C21:F21)</f>
        <v>0</v>
      </c>
      <c r="H21" s="550">
        <v>0</v>
      </c>
      <c r="I21" s="489">
        <v>0</v>
      </c>
      <c r="J21" s="551"/>
      <c r="K21" s="551"/>
      <c r="L21" s="549">
        <f t="shared" si="0"/>
        <v>0</v>
      </c>
      <c r="M21" s="552"/>
    </row>
    <row r="22" spans="2:14" s="546" customFormat="1" ht="12.75">
      <c r="B22" s="547" t="s">
        <v>785</v>
      </c>
      <c r="C22" s="548">
        <v>2254893944</v>
      </c>
      <c r="D22" s="489">
        <v>19984545</v>
      </c>
      <c r="E22" s="489">
        <v>-2382727</v>
      </c>
      <c r="F22" s="489">
        <v>0</v>
      </c>
      <c r="G22" s="549">
        <f>SUM(C22:F22)</f>
        <v>2272495762</v>
      </c>
      <c r="H22" s="554">
        <v>1910569814</v>
      </c>
      <c r="I22" s="489">
        <v>27327950</v>
      </c>
      <c r="J22" s="551">
        <v>-13297213</v>
      </c>
      <c r="K22" s="551">
        <v>0</v>
      </c>
      <c r="L22" s="549">
        <f t="shared" si="0"/>
        <v>1924600551</v>
      </c>
      <c r="M22" s="552">
        <f>G22-L22</f>
        <v>347895211</v>
      </c>
      <c r="N22" s="553"/>
    </row>
    <row r="23" spans="2:13" s="546" customFormat="1" ht="3.75" customHeight="1">
      <c r="B23" s="547"/>
      <c r="C23" s="548"/>
      <c r="D23" s="489">
        <v>0</v>
      </c>
      <c r="E23" s="489"/>
      <c r="F23" s="489">
        <v>0</v>
      </c>
      <c r="G23" s="549"/>
      <c r="H23" s="550">
        <v>0</v>
      </c>
      <c r="I23" s="489">
        <v>0</v>
      </c>
      <c r="J23" s="551"/>
      <c r="K23" s="551"/>
      <c r="L23" s="549">
        <f t="shared" si="0"/>
        <v>0</v>
      </c>
      <c r="M23" s="552"/>
    </row>
    <row r="24" spans="2:14" s="546" customFormat="1" ht="12.75">
      <c r="B24" s="547" t="s">
        <v>786</v>
      </c>
      <c r="C24" s="548">
        <v>1014006810</v>
      </c>
      <c r="D24" s="489">
        <v>114159341</v>
      </c>
      <c r="E24" s="489">
        <v>0</v>
      </c>
      <c r="F24" s="489">
        <v>0</v>
      </c>
      <c r="G24" s="549">
        <f>SUM(C24:F24)</f>
        <v>1128166151</v>
      </c>
      <c r="H24" s="550">
        <v>673718436</v>
      </c>
      <c r="I24" s="489">
        <v>14209750</v>
      </c>
      <c r="J24" s="551">
        <v>-1267769</v>
      </c>
      <c r="K24" s="551">
        <v>0</v>
      </c>
      <c r="L24" s="549">
        <f t="shared" si="0"/>
        <v>686660417</v>
      </c>
      <c r="M24" s="552">
        <f>G24-L24</f>
        <v>441505734</v>
      </c>
      <c r="N24" s="553"/>
    </row>
    <row r="25" spans="2:13" s="546" customFormat="1" ht="3.75" customHeight="1">
      <c r="B25" s="547"/>
      <c r="C25" s="548"/>
      <c r="D25" s="489">
        <v>0</v>
      </c>
      <c r="E25" s="489"/>
      <c r="F25" s="489">
        <v>0</v>
      </c>
      <c r="G25" s="549"/>
      <c r="H25" s="550">
        <v>0</v>
      </c>
      <c r="I25" s="489">
        <v>0</v>
      </c>
      <c r="J25" s="551"/>
      <c r="K25" s="551"/>
      <c r="L25" s="549">
        <f t="shared" si="0"/>
        <v>0</v>
      </c>
      <c r="M25" s="552"/>
    </row>
    <row r="26" spans="2:14" s="546" customFormat="1" ht="12.75">
      <c r="B26" s="547" t="s">
        <v>787</v>
      </c>
      <c r="C26" s="548">
        <v>647486907</v>
      </c>
      <c r="D26" s="489">
        <v>0</v>
      </c>
      <c r="E26" s="489">
        <v>0</v>
      </c>
      <c r="F26" s="489">
        <v>0</v>
      </c>
      <c r="G26" s="549">
        <f>SUM(C26:F26)</f>
        <v>647486907</v>
      </c>
      <c r="H26" s="550">
        <v>514854320</v>
      </c>
      <c r="I26" s="489">
        <v>7264496</v>
      </c>
      <c r="J26" s="551">
        <v>0</v>
      </c>
      <c r="K26" s="551">
        <v>0</v>
      </c>
      <c r="L26" s="549">
        <f t="shared" si="0"/>
        <v>522118816</v>
      </c>
      <c r="M26" s="552">
        <f>G26-L26</f>
        <v>125368091</v>
      </c>
      <c r="N26" s="553"/>
    </row>
    <row r="27" spans="2:13" s="546" customFormat="1" ht="3.75" customHeight="1">
      <c r="B27" s="547"/>
      <c r="C27" s="548">
        <v>0</v>
      </c>
      <c r="D27" s="489">
        <v>0</v>
      </c>
      <c r="E27" s="489"/>
      <c r="F27" s="489">
        <v>0</v>
      </c>
      <c r="G27" s="549">
        <f>SUM(C27:F27)</f>
        <v>0</v>
      </c>
      <c r="H27" s="550">
        <v>0</v>
      </c>
      <c r="I27" s="489">
        <v>0</v>
      </c>
      <c r="J27" s="551"/>
      <c r="K27" s="551"/>
      <c r="L27" s="549">
        <f t="shared" si="0"/>
        <v>0</v>
      </c>
      <c r="M27" s="552">
        <f aca="true" t="shared" si="1" ref="M27:M36">G27-L27</f>
        <v>0</v>
      </c>
    </row>
    <row r="28" spans="2:14" s="546" customFormat="1" ht="12.75">
      <c r="B28" s="547" t="s">
        <v>788</v>
      </c>
      <c r="C28" s="548">
        <v>127897749</v>
      </c>
      <c r="D28" s="489">
        <v>21462806</v>
      </c>
      <c r="E28" s="489">
        <v>0</v>
      </c>
      <c r="F28" s="489">
        <v>0</v>
      </c>
      <c r="G28" s="549">
        <f>SUM(C28:F28)</f>
        <v>149360555</v>
      </c>
      <c r="H28" s="550">
        <v>86374149</v>
      </c>
      <c r="I28" s="489">
        <v>1924468</v>
      </c>
      <c r="J28" s="551">
        <v>-400330</v>
      </c>
      <c r="K28" s="551">
        <v>0</v>
      </c>
      <c r="L28" s="549">
        <f t="shared" si="0"/>
        <v>87898287</v>
      </c>
      <c r="M28" s="552">
        <f t="shared" si="1"/>
        <v>61462268</v>
      </c>
      <c r="N28" s="553"/>
    </row>
    <row r="29" spans="2:13" s="546" customFormat="1" ht="3.75" customHeight="1">
      <c r="B29" s="547"/>
      <c r="C29" s="548"/>
      <c r="D29" s="489">
        <v>0</v>
      </c>
      <c r="E29" s="489"/>
      <c r="F29" s="489">
        <v>0</v>
      </c>
      <c r="G29" s="549"/>
      <c r="H29" s="550">
        <v>0</v>
      </c>
      <c r="I29" s="489">
        <v>0</v>
      </c>
      <c r="J29" s="551"/>
      <c r="K29" s="551"/>
      <c r="L29" s="549">
        <f t="shared" si="0"/>
        <v>0</v>
      </c>
      <c r="M29" s="552">
        <f t="shared" si="1"/>
        <v>0</v>
      </c>
    </row>
    <row r="30" spans="2:14" s="546" customFormat="1" ht="12.75">
      <c r="B30" s="547" t="s">
        <v>789</v>
      </c>
      <c r="C30" s="548">
        <v>1313335499</v>
      </c>
      <c r="D30" s="489">
        <v>0</v>
      </c>
      <c r="E30" s="489">
        <v>0</v>
      </c>
      <c r="F30" s="489">
        <v>0</v>
      </c>
      <c r="G30" s="549">
        <f>SUM(C30:F30)</f>
        <v>1313335499</v>
      </c>
      <c r="H30" s="550">
        <v>1223708904</v>
      </c>
      <c r="I30" s="489">
        <v>40217330</v>
      </c>
      <c r="J30" s="551">
        <v>-8538134</v>
      </c>
      <c r="K30" s="551">
        <v>0</v>
      </c>
      <c r="L30" s="549">
        <f t="shared" si="0"/>
        <v>1255388100</v>
      </c>
      <c r="M30" s="552">
        <f t="shared" si="1"/>
        <v>57947399</v>
      </c>
      <c r="N30" s="553"/>
    </row>
    <row r="31" spans="2:13" s="546" customFormat="1" ht="3.75" customHeight="1">
      <c r="B31" s="547"/>
      <c r="C31" s="548"/>
      <c r="D31" s="489">
        <v>0</v>
      </c>
      <c r="E31" s="489"/>
      <c r="F31" s="489">
        <v>0</v>
      </c>
      <c r="G31" s="549"/>
      <c r="H31" s="550">
        <v>0</v>
      </c>
      <c r="I31" s="489">
        <v>0</v>
      </c>
      <c r="J31" s="551"/>
      <c r="K31" s="551"/>
      <c r="L31" s="549">
        <f t="shared" si="0"/>
        <v>0</v>
      </c>
      <c r="M31" s="552">
        <f t="shared" si="1"/>
        <v>0</v>
      </c>
    </row>
    <row r="32" spans="2:14" s="546" customFormat="1" ht="12.75">
      <c r="B32" s="547" t="s">
        <v>790</v>
      </c>
      <c r="C32" s="548">
        <v>354754743</v>
      </c>
      <c r="D32" s="489">
        <v>0</v>
      </c>
      <c r="E32" s="489">
        <v>-10281819</v>
      </c>
      <c r="F32" s="489">
        <v>0</v>
      </c>
      <c r="G32" s="549">
        <f>SUM(C32:F32)</f>
        <v>344472924</v>
      </c>
      <c r="H32" s="555">
        <v>330249641</v>
      </c>
      <c r="I32" s="556">
        <v>992828</v>
      </c>
      <c r="J32" s="551">
        <v>-586209</v>
      </c>
      <c r="K32" s="551">
        <v>0</v>
      </c>
      <c r="L32" s="549">
        <f t="shared" si="0"/>
        <v>330656260</v>
      </c>
      <c r="M32" s="552">
        <f t="shared" si="1"/>
        <v>13816664</v>
      </c>
      <c r="N32" s="553"/>
    </row>
    <row r="33" spans="2:13" s="546" customFormat="1" ht="3.75" customHeight="1">
      <c r="B33" s="547"/>
      <c r="C33" s="548"/>
      <c r="D33" s="489">
        <v>0</v>
      </c>
      <c r="E33" s="489"/>
      <c r="F33" s="489">
        <v>0</v>
      </c>
      <c r="G33" s="549"/>
      <c r="H33" s="555">
        <v>0</v>
      </c>
      <c r="I33" s="556">
        <v>0</v>
      </c>
      <c r="J33" s="551"/>
      <c r="K33" s="551"/>
      <c r="L33" s="549">
        <f t="shared" si="0"/>
        <v>0</v>
      </c>
      <c r="M33" s="552">
        <f t="shared" si="1"/>
        <v>0</v>
      </c>
    </row>
    <row r="34" spans="2:14" s="546" customFormat="1" ht="12.75">
      <c r="B34" s="547" t="s">
        <v>99</v>
      </c>
      <c r="C34" s="548">
        <v>23590393027</v>
      </c>
      <c r="D34" s="489">
        <v>60184895</v>
      </c>
      <c r="E34" s="489">
        <f>-(339000000+29487061)</f>
        <v>-368487061</v>
      </c>
      <c r="F34" s="489">
        <v>0</v>
      </c>
      <c r="G34" s="549">
        <f aca="true" t="shared" si="2" ref="G34:G40">SUM(C34:F34)</f>
        <v>23282090861</v>
      </c>
      <c r="H34" s="555">
        <v>16757285992</v>
      </c>
      <c r="I34" s="556">
        <v>442485698</v>
      </c>
      <c r="J34" s="551">
        <v>-744047545</v>
      </c>
      <c r="K34" s="551">
        <v>0</v>
      </c>
      <c r="L34" s="549">
        <f t="shared" si="0"/>
        <v>16455724145</v>
      </c>
      <c r="M34" s="552">
        <f t="shared" si="1"/>
        <v>6826366716</v>
      </c>
      <c r="N34" s="553"/>
    </row>
    <row r="35" spans="2:14" s="546" customFormat="1" ht="4.5" customHeight="1">
      <c r="B35" s="547"/>
      <c r="C35" s="548">
        <v>0</v>
      </c>
      <c r="D35" s="489">
        <v>0</v>
      </c>
      <c r="E35" s="489"/>
      <c r="F35" s="489">
        <v>0</v>
      </c>
      <c r="G35" s="549">
        <f t="shared" si="2"/>
        <v>0</v>
      </c>
      <c r="H35" s="555">
        <v>0</v>
      </c>
      <c r="I35" s="556">
        <v>0</v>
      </c>
      <c r="J35" s="551"/>
      <c r="K35" s="551"/>
      <c r="L35" s="549">
        <f t="shared" si="0"/>
        <v>0</v>
      </c>
      <c r="M35" s="552">
        <f t="shared" si="1"/>
        <v>0</v>
      </c>
      <c r="N35" s="553"/>
    </row>
    <row r="36" spans="2:14" s="546" customFormat="1" ht="12.75">
      <c r="B36" s="547" t="s">
        <v>791</v>
      </c>
      <c r="C36" s="548">
        <v>29860051</v>
      </c>
      <c r="D36" s="489">
        <v>0</v>
      </c>
      <c r="E36" s="489">
        <v>0</v>
      </c>
      <c r="F36" s="489">
        <v>0</v>
      </c>
      <c r="G36" s="549">
        <f t="shared" si="2"/>
        <v>29860051</v>
      </c>
      <c r="H36" s="555">
        <v>4070511</v>
      </c>
      <c r="I36" s="556">
        <v>249174</v>
      </c>
      <c r="J36" s="551">
        <v>-174420</v>
      </c>
      <c r="K36" s="551"/>
      <c r="L36" s="549">
        <f t="shared" si="0"/>
        <v>4145265</v>
      </c>
      <c r="M36" s="552">
        <f t="shared" si="1"/>
        <v>25714786</v>
      </c>
      <c r="N36" s="553"/>
    </row>
    <row r="37" spans="2:13" s="546" customFormat="1" ht="3.75" customHeight="1">
      <c r="B37" s="547"/>
      <c r="C37" s="548">
        <v>0</v>
      </c>
      <c r="D37" s="489">
        <v>0</v>
      </c>
      <c r="E37" s="489"/>
      <c r="F37" s="489">
        <v>0</v>
      </c>
      <c r="G37" s="549">
        <f t="shared" si="2"/>
        <v>0</v>
      </c>
      <c r="H37" s="555">
        <v>0</v>
      </c>
      <c r="I37" s="556">
        <v>0</v>
      </c>
      <c r="J37" s="551"/>
      <c r="K37" s="551"/>
      <c r="L37" s="549">
        <f t="shared" si="0"/>
        <v>0</v>
      </c>
      <c r="M37" s="552">
        <f aca="true" t="shared" si="3" ref="M37:M42">G37-L37</f>
        <v>0</v>
      </c>
    </row>
    <row r="38" spans="2:14" s="546" customFormat="1" ht="12.75">
      <c r="B38" s="547" t="s">
        <v>792</v>
      </c>
      <c r="C38" s="548">
        <v>996417450</v>
      </c>
      <c r="D38" s="557">
        <v>0</v>
      </c>
      <c r="E38" s="489">
        <v>0</v>
      </c>
      <c r="F38" s="489">
        <v>0</v>
      </c>
      <c r="G38" s="549">
        <f t="shared" si="2"/>
        <v>996417450</v>
      </c>
      <c r="H38" s="555">
        <v>913123533</v>
      </c>
      <c r="I38" s="556">
        <v>8587916</v>
      </c>
      <c r="J38" s="551">
        <v>-5167810</v>
      </c>
      <c r="K38" s="551">
        <v>0</v>
      </c>
      <c r="L38" s="549">
        <f t="shared" si="0"/>
        <v>916543639</v>
      </c>
      <c r="M38" s="552">
        <f t="shared" si="3"/>
        <v>79873811</v>
      </c>
      <c r="N38" s="553"/>
    </row>
    <row r="39" spans="2:13" s="546" customFormat="1" ht="3.75" customHeight="1">
      <c r="B39" s="547"/>
      <c r="C39" s="548">
        <v>0</v>
      </c>
      <c r="D39" s="489">
        <v>0</v>
      </c>
      <c r="E39" s="489"/>
      <c r="F39" s="489">
        <v>0</v>
      </c>
      <c r="G39" s="549">
        <f t="shared" si="2"/>
        <v>0</v>
      </c>
      <c r="H39" s="555">
        <v>0</v>
      </c>
      <c r="I39" s="556">
        <v>0</v>
      </c>
      <c r="J39" s="551"/>
      <c r="K39" s="551"/>
      <c r="L39" s="549">
        <f t="shared" si="0"/>
        <v>0</v>
      </c>
      <c r="M39" s="552">
        <f t="shared" si="3"/>
        <v>0</v>
      </c>
    </row>
    <row r="40" spans="2:13" s="546" customFormat="1" ht="10.5" customHeight="1">
      <c r="B40" s="547" t="s">
        <v>793</v>
      </c>
      <c r="C40" s="548">
        <v>2139944405</v>
      </c>
      <c r="D40" s="489">
        <v>3513640</v>
      </c>
      <c r="E40" s="489">
        <v>0</v>
      </c>
      <c r="F40" s="489">
        <v>0</v>
      </c>
      <c r="G40" s="549">
        <f t="shared" si="2"/>
        <v>2143458045</v>
      </c>
      <c r="H40" s="555">
        <v>1443565831</v>
      </c>
      <c r="I40" s="556">
        <v>65289134</v>
      </c>
      <c r="J40" s="551">
        <v>-67218068</v>
      </c>
      <c r="K40" s="551"/>
      <c r="L40" s="549">
        <f t="shared" si="0"/>
        <v>1441636897</v>
      </c>
      <c r="M40" s="552">
        <f t="shared" si="3"/>
        <v>701821148</v>
      </c>
    </row>
    <row r="41" spans="2:13" s="546" customFormat="1" ht="4.5" customHeight="1">
      <c r="B41" s="547"/>
      <c r="C41" s="548"/>
      <c r="D41" s="489">
        <v>0</v>
      </c>
      <c r="E41" s="489"/>
      <c r="F41" s="489">
        <v>0</v>
      </c>
      <c r="G41" s="549"/>
      <c r="H41" s="555"/>
      <c r="I41" s="556">
        <v>0</v>
      </c>
      <c r="J41" s="551"/>
      <c r="K41" s="551"/>
      <c r="L41" s="549"/>
      <c r="M41" s="552">
        <f t="shared" si="3"/>
        <v>0</v>
      </c>
    </row>
    <row r="42" spans="2:13" s="546" customFormat="1" ht="12.75" customHeight="1">
      <c r="B42" s="547" t="s">
        <v>794</v>
      </c>
      <c r="C42" s="548">
        <v>17542918</v>
      </c>
      <c r="D42" s="489">
        <v>0</v>
      </c>
      <c r="E42" s="489">
        <v>0</v>
      </c>
      <c r="F42" s="489">
        <v>0</v>
      </c>
      <c r="G42" s="549">
        <f>SUM(C42:F42)</f>
        <v>17542918</v>
      </c>
      <c r="H42" s="555">
        <v>17542921</v>
      </c>
      <c r="I42" s="556">
        <v>0</v>
      </c>
      <c r="J42" s="551">
        <v>0</v>
      </c>
      <c r="K42" s="551">
        <v>0</v>
      </c>
      <c r="L42" s="549">
        <f t="shared" si="0"/>
        <v>17542921</v>
      </c>
      <c r="M42" s="552">
        <f t="shared" si="3"/>
        <v>-3</v>
      </c>
    </row>
    <row r="43" spans="2:13" s="546" customFormat="1" ht="4.5" customHeight="1">
      <c r="B43" s="547"/>
      <c r="C43" s="548"/>
      <c r="D43" s="489">
        <v>0</v>
      </c>
      <c r="E43" s="489"/>
      <c r="F43" s="489">
        <v>0</v>
      </c>
      <c r="G43" s="549"/>
      <c r="H43" s="555"/>
      <c r="I43" s="556">
        <v>0</v>
      </c>
      <c r="J43" s="551"/>
      <c r="K43" s="551"/>
      <c r="L43" s="549"/>
      <c r="M43" s="552"/>
    </row>
    <row r="44" spans="2:15" s="546" customFormat="1" ht="12.75">
      <c r="B44" s="547" t="s">
        <v>795</v>
      </c>
      <c r="C44" s="548">
        <v>18190414103</v>
      </c>
      <c r="D44" s="489">
        <v>0</v>
      </c>
      <c r="E44" s="489">
        <v>0</v>
      </c>
      <c r="F44" s="489">
        <v>0</v>
      </c>
      <c r="G44" s="549">
        <f>SUM(C44:F44)</f>
        <v>18190414103</v>
      </c>
      <c r="H44" s="555">
        <v>13610407670</v>
      </c>
      <c r="I44" s="556">
        <v>291582702</v>
      </c>
      <c r="J44" s="551">
        <v>-744556004</v>
      </c>
      <c r="K44" s="551">
        <v>0</v>
      </c>
      <c r="L44" s="549">
        <f>SUM(H44:K44)</f>
        <v>13157434368</v>
      </c>
      <c r="M44" s="552">
        <f>G44-L44</f>
        <v>5032979735</v>
      </c>
      <c r="N44" s="553"/>
      <c r="O44" s="558"/>
    </row>
    <row r="45" spans="2:15" s="546" customFormat="1" ht="3.75" customHeight="1">
      <c r="B45" s="547"/>
      <c r="C45" s="548"/>
      <c r="D45" s="489">
        <v>0</v>
      </c>
      <c r="E45" s="489"/>
      <c r="F45" s="489">
        <v>0</v>
      </c>
      <c r="G45" s="549"/>
      <c r="H45" s="555">
        <v>0</v>
      </c>
      <c r="I45" s="551">
        <v>0</v>
      </c>
      <c r="J45" s="551"/>
      <c r="K45" s="551"/>
      <c r="L45" s="549">
        <f t="shared" si="0"/>
        <v>0</v>
      </c>
      <c r="M45" s="552"/>
      <c r="O45" s="558"/>
    </row>
    <row r="46" spans="2:17" s="546" customFormat="1" ht="12.75">
      <c r="B46" s="547" t="s">
        <v>796</v>
      </c>
      <c r="C46" s="548">
        <v>605342716</v>
      </c>
      <c r="D46" s="489">
        <f>2475045427+963636</f>
        <v>2476009063</v>
      </c>
      <c r="E46" s="489">
        <f>-(163034186+74064545+19093985)</f>
        <v>-256192716</v>
      </c>
      <c r="F46" s="489">
        <v>0</v>
      </c>
      <c r="G46" s="549">
        <f>SUM(C46:F46)</f>
        <v>2825159063</v>
      </c>
      <c r="H46" s="555">
        <v>0</v>
      </c>
      <c r="I46" s="551">
        <v>0</v>
      </c>
      <c r="J46" s="551">
        <v>0</v>
      </c>
      <c r="K46" s="551">
        <v>0</v>
      </c>
      <c r="L46" s="549">
        <f t="shared" si="0"/>
        <v>0</v>
      </c>
      <c r="M46" s="552">
        <f>G46-L46</f>
        <v>2825159063</v>
      </c>
      <c r="N46" s="553"/>
      <c r="O46" s="558"/>
      <c r="P46" s="559"/>
      <c r="Q46" s="559"/>
    </row>
    <row r="47" spans="2:17" s="546" customFormat="1" ht="6" customHeight="1">
      <c r="B47" s="547"/>
      <c r="C47" s="555">
        <v>0</v>
      </c>
      <c r="D47" s="489">
        <v>0</v>
      </c>
      <c r="E47" s="489"/>
      <c r="F47" s="489"/>
      <c r="G47" s="549">
        <f>SUM(C47:F47)</f>
        <v>0</v>
      </c>
      <c r="H47" s="554">
        <v>0</v>
      </c>
      <c r="I47" s="551"/>
      <c r="J47" s="551"/>
      <c r="K47" s="551"/>
      <c r="L47" s="549">
        <f t="shared" si="0"/>
        <v>0</v>
      </c>
      <c r="M47" s="552">
        <f>G47-L47</f>
        <v>0</v>
      </c>
      <c r="N47" s="553"/>
      <c r="P47" s="559"/>
      <c r="Q47" s="559"/>
    </row>
    <row r="48" spans="2:17" s="546" customFormat="1" ht="12.75" customHeight="1">
      <c r="B48" s="547" t="s">
        <v>797</v>
      </c>
      <c r="C48" s="555">
        <v>5867623677</v>
      </c>
      <c r="D48" s="489">
        <v>0</v>
      </c>
      <c r="E48" s="489">
        <v>-5867623677</v>
      </c>
      <c r="F48" s="489">
        <v>0</v>
      </c>
      <c r="G48" s="549">
        <f>SUM(C48:F48)</f>
        <v>0</v>
      </c>
      <c r="H48" s="554">
        <v>3324999997</v>
      </c>
      <c r="I48" s="551">
        <v>0</v>
      </c>
      <c r="J48" s="551">
        <v>-3324999997</v>
      </c>
      <c r="K48" s="551">
        <v>0</v>
      </c>
      <c r="L48" s="549">
        <f t="shared" si="0"/>
        <v>0</v>
      </c>
      <c r="M48" s="552">
        <f>G48-L48</f>
        <v>0</v>
      </c>
      <c r="N48" s="553"/>
      <c r="P48" s="559"/>
      <c r="Q48" s="559"/>
    </row>
    <row r="49" spans="2:17" s="546" customFormat="1" ht="6" customHeight="1" thickBot="1">
      <c r="B49" s="560"/>
      <c r="C49" s="555"/>
      <c r="D49" s="489"/>
      <c r="E49" s="489"/>
      <c r="F49" s="489"/>
      <c r="G49" s="549"/>
      <c r="H49" s="554"/>
      <c r="I49" s="551"/>
      <c r="J49" s="551"/>
      <c r="K49" s="551"/>
      <c r="L49" s="549"/>
      <c r="M49" s="552"/>
      <c r="N49" s="553"/>
      <c r="P49" s="559"/>
      <c r="Q49" s="559"/>
    </row>
    <row r="50" spans="2:17" s="546" customFormat="1" ht="12.75">
      <c r="B50" s="561"/>
      <c r="C50" s="562"/>
      <c r="D50" s="563"/>
      <c r="E50" s="563"/>
      <c r="F50" s="563"/>
      <c r="G50" s="564"/>
      <c r="H50" s="562"/>
      <c r="I50" s="565"/>
      <c r="J50" s="563"/>
      <c r="K50" s="565"/>
      <c r="L50" s="564"/>
      <c r="M50" s="566"/>
      <c r="O50" s="558"/>
      <c r="P50" s="558">
        <f>SUM(G12:G47)</f>
        <v>102729618580</v>
      </c>
      <c r="Q50" s="558">
        <f>P50-O50</f>
        <v>102729618580</v>
      </c>
    </row>
    <row r="51" spans="2:13" s="546" customFormat="1" ht="13.5" thickBot="1">
      <c r="B51" s="567" t="s">
        <v>798</v>
      </c>
      <c r="C51" s="568">
        <f aca="true" t="shared" si="4" ref="C51:M51">SUM(C11:C49)</f>
        <v>102025298183</v>
      </c>
      <c r="D51" s="569">
        <f>SUM(D11:D49)</f>
        <v>7224047054</v>
      </c>
      <c r="E51" s="569">
        <f t="shared" si="4"/>
        <v>-6519726657</v>
      </c>
      <c r="F51" s="569">
        <f t="shared" si="4"/>
        <v>0</v>
      </c>
      <c r="G51" s="570">
        <f t="shared" si="4"/>
        <v>102729618580</v>
      </c>
      <c r="H51" s="568">
        <f t="shared" si="4"/>
        <v>64690345742</v>
      </c>
      <c r="I51" s="571">
        <f t="shared" si="4"/>
        <v>1216243628</v>
      </c>
      <c r="J51" s="569">
        <f t="shared" si="4"/>
        <v>-5721679248</v>
      </c>
      <c r="K51" s="569">
        <f t="shared" si="4"/>
        <v>0</v>
      </c>
      <c r="L51" s="570">
        <f t="shared" si="4"/>
        <v>60184910122</v>
      </c>
      <c r="M51" s="572">
        <f t="shared" si="4"/>
        <v>42544708458</v>
      </c>
    </row>
    <row r="52" spans="2:13" s="573" customFormat="1" ht="12.75">
      <c r="B52" s="547"/>
      <c r="C52" s="556"/>
      <c r="D52" s="556"/>
      <c r="E52" s="556"/>
      <c r="F52" s="556"/>
      <c r="G52" s="549"/>
      <c r="H52" s="555"/>
      <c r="I52" s="556"/>
      <c r="J52" s="556"/>
      <c r="K52" s="556"/>
      <c r="L52" s="549"/>
      <c r="M52" s="552"/>
    </row>
    <row r="53" spans="2:13" s="573" customFormat="1" ht="13.5" thickBot="1">
      <c r="B53" s="574" t="s">
        <v>799</v>
      </c>
      <c r="C53" s="575">
        <v>100428924587</v>
      </c>
      <c r="D53" s="576">
        <v>1643398749</v>
      </c>
      <c r="E53" s="576">
        <v>-4033509576</v>
      </c>
      <c r="F53" s="576">
        <v>1052061213</v>
      </c>
      <c r="G53" s="577">
        <f>SUM(C53:F53)</f>
        <v>99090874973</v>
      </c>
      <c r="H53" s="578">
        <v>57413866927</v>
      </c>
      <c r="I53" s="579">
        <v>3722854952</v>
      </c>
      <c r="J53" s="579">
        <v>-3323029546</v>
      </c>
      <c r="K53" s="580">
        <v>0</v>
      </c>
      <c r="L53" s="581">
        <f>SUM(H53:K53)</f>
        <v>57813692333</v>
      </c>
      <c r="M53" s="582">
        <f>G53-L53</f>
        <v>41277182640</v>
      </c>
    </row>
    <row r="54" spans="4:13" s="478" customFormat="1" ht="12.75">
      <c r="D54" s="583"/>
      <c r="F54" s="583"/>
      <c r="G54" s="583"/>
      <c r="I54" s="583"/>
      <c r="M54" s="583"/>
    </row>
    <row r="55" spans="4:13" s="478" customFormat="1" ht="12.75">
      <c r="D55" s="583"/>
      <c r="F55" s="583"/>
      <c r="G55" s="583"/>
      <c r="I55" s="583"/>
      <c r="M55" s="583"/>
    </row>
    <row r="56" spans="4:13" s="478" customFormat="1" ht="12.75">
      <c r="D56" s="583"/>
      <c r="F56" s="583"/>
      <c r="G56" s="583"/>
      <c r="I56" s="583"/>
      <c r="M56" s="583"/>
    </row>
    <row r="57" spans="6:13" s="478" customFormat="1" ht="12.75">
      <c r="F57" s="583"/>
      <c r="G57" s="583"/>
      <c r="I57" s="583"/>
      <c r="L57" s="583"/>
      <c r="M57" s="583"/>
    </row>
    <row r="58" spans="6:13" s="478" customFormat="1" ht="12.75">
      <c r="F58" s="583"/>
      <c r="G58" s="583"/>
      <c r="I58" s="583"/>
      <c r="L58" s="583"/>
      <c r="M58" s="583"/>
    </row>
    <row r="59" spans="7:13" s="478" customFormat="1" ht="12.75">
      <c r="G59" s="583"/>
      <c r="I59" s="583"/>
      <c r="J59" s="583"/>
      <c r="L59" s="583"/>
      <c r="M59" s="583"/>
    </row>
    <row r="60" spans="7:13" s="478" customFormat="1" ht="12.75">
      <c r="G60" s="584"/>
      <c r="H60" s="584"/>
      <c r="I60" s="584"/>
      <c r="M60" s="583"/>
    </row>
    <row r="61" spans="2:13" s="479" customFormat="1" ht="14.25">
      <c r="B61" s="959" t="s">
        <v>705</v>
      </c>
      <c r="C61" s="959"/>
      <c r="D61" s="959"/>
      <c r="E61" s="959" t="s">
        <v>555</v>
      </c>
      <c r="F61" s="959"/>
      <c r="G61" s="959"/>
      <c r="H61" s="959" t="s">
        <v>595</v>
      </c>
      <c r="I61" s="959"/>
      <c r="J61" s="959"/>
      <c r="K61" s="960" t="s">
        <v>997</v>
      </c>
      <c r="L61" s="960"/>
      <c r="M61" s="960"/>
    </row>
    <row r="62" spans="2:14" s="479" customFormat="1" ht="14.25">
      <c r="B62" s="959" t="s">
        <v>593</v>
      </c>
      <c r="C62" s="959"/>
      <c r="D62" s="959"/>
      <c r="E62" s="960" t="s">
        <v>594</v>
      </c>
      <c r="F62" s="960"/>
      <c r="G62" s="960"/>
      <c r="H62" s="961" t="s">
        <v>597</v>
      </c>
      <c r="I62" s="961"/>
      <c r="J62" s="961"/>
      <c r="K62" s="962" t="s">
        <v>1185</v>
      </c>
      <c r="L62" s="962"/>
      <c r="M62" s="962"/>
      <c r="N62" s="503"/>
    </row>
    <row r="63" s="478" customFormat="1" ht="12.75"/>
    <row r="64" s="478" customFormat="1" ht="12.75"/>
    <row r="65" s="478" customFormat="1" ht="12.75"/>
    <row r="66" s="478" customFormat="1" ht="12.75"/>
    <row r="67" spans="2:13" s="546" customFormat="1" ht="12.75">
      <c r="B67" s="478"/>
      <c r="C67" s="478"/>
      <c r="D67" s="478"/>
      <c r="E67" s="478"/>
      <c r="F67" s="478"/>
      <c r="G67" s="478"/>
      <c r="H67" s="478"/>
      <c r="I67" s="478"/>
      <c r="J67" s="478"/>
      <c r="K67" s="478"/>
      <c r="L67" s="478"/>
      <c r="M67" s="583"/>
    </row>
    <row r="68" spans="2:13" s="546" customFormat="1" ht="12.75">
      <c r="B68" s="478"/>
      <c r="C68" s="478"/>
      <c r="D68" s="478"/>
      <c r="E68" s="478"/>
      <c r="F68" s="478"/>
      <c r="G68" s="478"/>
      <c r="H68" s="478"/>
      <c r="I68" s="478"/>
      <c r="J68" s="478"/>
      <c r="K68" s="478"/>
      <c r="L68" s="478"/>
      <c r="M68" s="583"/>
    </row>
    <row r="69" spans="2:13" s="546" customFormat="1" ht="12.75">
      <c r="B69" s="478"/>
      <c r="C69" s="585"/>
      <c r="D69" s="478"/>
      <c r="E69" s="478"/>
      <c r="F69" s="478"/>
      <c r="G69" s="478"/>
      <c r="H69" s="478"/>
      <c r="I69" s="478"/>
      <c r="J69" s="478"/>
      <c r="K69" s="478"/>
      <c r="L69" s="478"/>
      <c r="M69" s="478"/>
    </row>
    <row r="70" ht="15.75">
      <c r="C70" s="585"/>
    </row>
  </sheetData>
  <sheetProtection/>
  <mergeCells count="15">
    <mergeCell ref="B61:D61"/>
    <mergeCell ref="E61:G61"/>
    <mergeCell ref="H61:J61"/>
    <mergeCell ref="K61:M61"/>
    <mergeCell ref="B62:D62"/>
    <mergeCell ref="E62:G62"/>
    <mergeCell ref="H62:J62"/>
    <mergeCell ref="K62:M62"/>
    <mergeCell ref="C8:G8"/>
    <mergeCell ref="H8:L8"/>
    <mergeCell ref="B1:M1"/>
    <mergeCell ref="B3:M3"/>
    <mergeCell ref="B4:M4"/>
    <mergeCell ref="B5:M5"/>
    <mergeCell ref="B7:M7"/>
  </mergeCells>
  <printOptions/>
  <pageMargins left="0.3937007874015748" right="0.5905511811023623" top="0.7874015748031497" bottom="0.7874015748031497" header="0" footer="0"/>
  <pageSetup fitToHeight="0" horizontalDpi="600" verticalDpi="600" orientation="landscape" paperSize="9" scale="7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M35"/>
  <sheetViews>
    <sheetView showGridLines="0" zoomScalePageLayoutView="0" workbookViewId="0" topLeftCell="A1">
      <selection activeCell="M35" sqref="M35"/>
    </sheetView>
  </sheetViews>
  <sheetFormatPr defaultColWidth="11.00390625" defaultRowHeight="15"/>
  <cols>
    <col min="1" max="1" width="3.8515625" style="479" customWidth="1"/>
    <col min="2" max="2" width="21.7109375" style="479" customWidth="1"/>
    <col min="3" max="3" width="14.421875" style="479" customWidth="1"/>
    <col min="4" max="4" width="13.00390625" style="479" customWidth="1"/>
    <col min="5" max="5" width="11.7109375" style="479" customWidth="1"/>
    <col min="6" max="6" width="14.7109375" style="479" customWidth="1"/>
    <col min="7" max="7" width="13.8515625" style="479" customWidth="1"/>
    <col min="8" max="8" width="14.00390625" style="479" customWidth="1"/>
    <col min="9" max="9" width="10.8515625" style="479" customWidth="1"/>
    <col min="10" max="10" width="13.140625" style="479" customWidth="1"/>
    <col min="11" max="11" width="12.00390625" style="479" bestFit="1" customWidth="1"/>
    <col min="12" max="16384" width="11.00390625" style="479" customWidth="1"/>
  </cols>
  <sheetData>
    <row r="2" spans="2:11" ht="12.75" customHeight="1">
      <c r="B2" s="478"/>
      <c r="C2" s="478"/>
      <c r="D2" s="478"/>
      <c r="E2" s="478"/>
      <c r="F2" s="478"/>
      <c r="G2" s="478"/>
      <c r="H2" s="478"/>
      <c r="I2" s="478"/>
      <c r="J2" s="760"/>
      <c r="K2" s="760"/>
    </row>
    <row r="3" spans="2:11" ht="12.75" customHeight="1">
      <c r="B3" s="478"/>
      <c r="C3" s="478"/>
      <c r="D3" s="478"/>
      <c r="E3" s="478"/>
      <c r="F3" s="478"/>
      <c r="G3" s="478"/>
      <c r="H3" s="963" t="s">
        <v>710</v>
      </c>
      <c r="I3" s="963"/>
      <c r="J3" s="760"/>
      <c r="K3" s="760"/>
    </row>
    <row r="4" spans="2:11" ht="17.25" customHeight="1">
      <c r="B4" s="478"/>
      <c r="C4" s="478"/>
      <c r="D4" s="478"/>
      <c r="E4" s="478"/>
      <c r="F4" s="478"/>
      <c r="G4" s="478"/>
      <c r="H4" s="963"/>
      <c r="I4" s="963"/>
      <c r="J4" s="760"/>
      <c r="K4" s="760"/>
    </row>
    <row r="5" spans="2:11" ht="12.75">
      <c r="B5" s="478"/>
      <c r="C5" s="478"/>
      <c r="D5" s="478"/>
      <c r="E5" s="478"/>
      <c r="F5" s="478"/>
      <c r="G5" s="478"/>
      <c r="H5" s="478"/>
      <c r="I5" s="478"/>
      <c r="J5" s="478"/>
      <c r="K5" s="478"/>
    </row>
    <row r="6" spans="2:11" ht="22.5">
      <c r="B6" s="965" t="s">
        <v>711</v>
      </c>
      <c r="C6" s="965"/>
      <c r="D6" s="965"/>
      <c r="E6" s="965"/>
      <c r="F6" s="965"/>
      <c r="G6" s="965"/>
      <c r="H6" s="965"/>
      <c r="I6" s="965"/>
      <c r="J6" s="965"/>
      <c r="K6" s="965"/>
    </row>
    <row r="7" spans="2:11" ht="22.5">
      <c r="B7" s="965" t="s">
        <v>1149</v>
      </c>
      <c r="C7" s="965"/>
      <c r="D7" s="965"/>
      <c r="E7" s="965"/>
      <c r="F7" s="965"/>
      <c r="G7" s="965"/>
      <c r="H7" s="965"/>
      <c r="I7" s="965"/>
      <c r="J7" s="965"/>
      <c r="K7" s="965"/>
    </row>
    <row r="8" spans="2:11" ht="18.75">
      <c r="B8" s="966" t="s">
        <v>562</v>
      </c>
      <c r="C8" s="966"/>
      <c r="D8" s="966"/>
      <c r="E8" s="966"/>
      <c r="F8" s="966"/>
      <c r="G8" s="966"/>
      <c r="H8" s="966"/>
      <c r="I8" s="966"/>
      <c r="J8" s="966"/>
      <c r="K8" s="966"/>
    </row>
    <row r="9" spans="2:11" ht="12.75">
      <c r="B9" s="478"/>
      <c r="C9" s="478"/>
      <c r="D9" s="478"/>
      <c r="E9" s="478"/>
      <c r="F9" s="478"/>
      <c r="G9" s="478"/>
      <c r="H9" s="478"/>
      <c r="I9" s="478"/>
      <c r="J9" s="478"/>
      <c r="K9" s="478"/>
    </row>
    <row r="10" spans="2:11" ht="22.5">
      <c r="B10" s="965" t="s">
        <v>712</v>
      </c>
      <c r="C10" s="965"/>
      <c r="D10" s="965"/>
      <c r="E10" s="965"/>
      <c r="F10" s="965"/>
      <c r="G10" s="965"/>
      <c r="H10" s="965"/>
      <c r="I10" s="965"/>
      <c r="J10" s="965"/>
      <c r="K10" s="965"/>
    </row>
    <row r="11" spans="2:11" ht="12.75">
      <c r="B11" s="478"/>
      <c r="C11" s="478"/>
      <c r="D11" s="478"/>
      <c r="E11" s="478"/>
      <c r="F11" s="478"/>
      <c r="G11" s="478"/>
      <c r="H11" s="478"/>
      <c r="I11" s="478"/>
      <c r="J11" s="478"/>
      <c r="K11" s="478"/>
    </row>
    <row r="12" spans="2:11" ht="12.75">
      <c r="B12" s="478"/>
      <c r="C12" s="478"/>
      <c r="D12" s="478"/>
      <c r="E12" s="478"/>
      <c r="F12" s="478"/>
      <c r="G12" s="478"/>
      <c r="H12" s="478"/>
      <c r="I12" s="478"/>
      <c r="J12" s="478"/>
      <c r="K12" s="478"/>
    </row>
    <row r="13" spans="2:11" ht="18.75">
      <c r="B13" s="480"/>
      <c r="C13" s="967" t="s">
        <v>713</v>
      </c>
      <c r="D13" s="967"/>
      <c r="E13" s="967"/>
      <c r="F13" s="967"/>
      <c r="G13" s="967" t="s">
        <v>714</v>
      </c>
      <c r="H13" s="967"/>
      <c r="I13" s="967"/>
      <c r="J13" s="967"/>
      <c r="K13" s="480"/>
    </row>
    <row r="14" spans="2:11" ht="12.75">
      <c r="B14" s="481"/>
      <c r="C14" s="482" t="s">
        <v>715</v>
      </c>
      <c r="D14" s="482"/>
      <c r="E14" s="482"/>
      <c r="F14" s="482" t="s">
        <v>716</v>
      </c>
      <c r="G14" s="482" t="s">
        <v>717</v>
      </c>
      <c r="H14" s="482"/>
      <c r="I14" s="482"/>
      <c r="J14" s="482" t="s">
        <v>717</v>
      </c>
      <c r="K14" s="483"/>
    </row>
    <row r="15" spans="2:11" ht="12.75">
      <c r="B15" s="483" t="s">
        <v>718</v>
      </c>
      <c r="C15" s="483" t="s">
        <v>719</v>
      </c>
      <c r="D15" s="483"/>
      <c r="E15" s="483"/>
      <c r="F15" s="483" t="s">
        <v>719</v>
      </c>
      <c r="G15" s="483" t="s">
        <v>720</v>
      </c>
      <c r="H15" s="483" t="s">
        <v>689</v>
      </c>
      <c r="I15" s="483"/>
      <c r="J15" s="483" t="s">
        <v>721</v>
      </c>
      <c r="K15" s="483" t="s">
        <v>722</v>
      </c>
    </row>
    <row r="16" spans="2:11" ht="12.75">
      <c r="B16" s="484"/>
      <c r="C16" s="484" t="s">
        <v>723</v>
      </c>
      <c r="D16" s="484" t="s">
        <v>724</v>
      </c>
      <c r="E16" s="484" t="s">
        <v>725</v>
      </c>
      <c r="F16" s="484" t="s">
        <v>723</v>
      </c>
      <c r="G16" s="484" t="s">
        <v>726</v>
      </c>
      <c r="H16" s="484" t="s">
        <v>723</v>
      </c>
      <c r="I16" s="484" t="s">
        <v>727</v>
      </c>
      <c r="J16" s="484" t="s">
        <v>726</v>
      </c>
      <c r="K16" s="484" t="s">
        <v>728</v>
      </c>
    </row>
    <row r="17" spans="2:11" ht="12.75">
      <c r="B17" s="485"/>
      <c r="C17" s="486"/>
      <c r="D17" s="486"/>
      <c r="E17" s="486"/>
      <c r="F17" s="486"/>
      <c r="G17" s="486"/>
      <c r="H17" s="486"/>
      <c r="I17" s="486"/>
      <c r="J17" s="486"/>
      <c r="K17" s="486"/>
    </row>
    <row r="18" spans="2:11" ht="12.75">
      <c r="B18" s="487" t="s">
        <v>729</v>
      </c>
      <c r="C18" s="488">
        <v>2139944405</v>
      </c>
      <c r="D18" s="489">
        <v>3513640</v>
      </c>
      <c r="E18" s="490">
        <v>0</v>
      </c>
      <c r="F18" s="488">
        <f>+C18+D18-E18</f>
        <v>2143458045</v>
      </c>
      <c r="G18" s="490">
        <v>1443565834</v>
      </c>
      <c r="H18" s="490">
        <v>65289134</v>
      </c>
      <c r="I18" s="490">
        <v>67218068</v>
      </c>
      <c r="J18" s="490">
        <f>G18+H18-I18</f>
        <v>1441636900</v>
      </c>
      <c r="K18" s="490">
        <f>+F18-J18</f>
        <v>701821145</v>
      </c>
    </row>
    <row r="19" spans="2:11" ht="12.75">
      <c r="B19" s="487"/>
      <c r="C19" s="490"/>
      <c r="D19" s="490"/>
      <c r="E19" s="490"/>
      <c r="F19" s="490"/>
      <c r="G19" s="490"/>
      <c r="H19" s="490"/>
      <c r="I19" s="490"/>
      <c r="J19" s="490"/>
      <c r="K19" s="490"/>
    </row>
    <row r="20" spans="2:11" ht="12.75">
      <c r="B20" s="491"/>
      <c r="C20" s="492"/>
      <c r="D20" s="492"/>
      <c r="E20" s="492"/>
      <c r="F20" s="492"/>
      <c r="G20" s="492"/>
      <c r="H20" s="492"/>
      <c r="I20" s="492"/>
      <c r="J20" s="492"/>
      <c r="K20" s="492"/>
    </row>
    <row r="21" spans="2:11" ht="12.75">
      <c r="B21" s="480"/>
      <c r="C21" s="493"/>
      <c r="D21" s="493"/>
      <c r="E21" s="493"/>
      <c r="F21" s="493"/>
      <c r="G21" s="493"/>
      <c r="H21" s="493"/>
      <c r="I21" s="493"/>
      <c r="J21" s="493"/>
      <c r="K21" s="493"/>
    </row>
    <row r="22" spans="2:11" ht="12.75">
      <c r="B22" s="494" t="s">
        <v>730</v>
      </c>
      <c r="C22" s="495">
        <f>C18</f>
        <v>2139944405</v>
      </c>
      <c r="D22" s="495">
        <f aca="true" t="shared" si="0" ref="D22:K22">D18</f>
        <v>3513640</v>
      </c>
      <c r="E22" s="495">
        <f t="shared" si="0"/>
        <v>0</v>
      </c>
      <c r="F22" s="495">
        <f t="shared" si="0"/>
        <v>2143458045</v>
      </c>
      <c r="G22" s="495">
        <f t="shared" si="0"/>
        <v>1443565834</v>
      </c>
      <c r="H22" s="495">
        <f t="shared" si="0"/>
        <v>65289134</v>
      </c>
      <c r="I22" s="495">
        <f t="shared" si="0"/>
        <v>67218068</v>
      </c>
      <c r="J22" s="495">
        <f t="shared" si="0"/>
        <v>1441636900</v>
      </c>
      <c r="K22" s="495">
        <f t="shared" si="0"/>
        <v>701821145</v>
      </c>
    </row>
    <row r="23" spans="2:11" ht="6.75" customHeight="1">
      <c r="B23" s="496"/>
      <c r="C23" s="497"/>
      <c r="D23" s="497"/>
      <c r="E23" s="497"/>
      <c r="F23" s="497"/>
      <c r="G23" s="497"/>
      <c r="H23" s="497"/>
      <c r="I23" s="497"/>
      <c r="J23" s="497"/>
      <c r="K23" s="497"/>
    </row>
    <row r="24" spans="2:11" s="499" customFormat="1" ht="12.75">
      <c r="B24" s="498" t="s">
        <v>731</v>
      </c>
      <c r="C24" s="492">
        <v>1795546013</v>
      </c>
      <c r="D24" s="492">
        <v>121433446</v>
      </c>
      <c r="E24" s="492">
        <v>0</v>
      </c>
      <c r="F24" s="492">
        <v>1916979459</v>
      </c>
      <c r="G24" s="492">
        <v>1102088725</v>
      </c>
      <c r="H24" s="492">
        <v>83382771</v>
      </c>
      <c r="I24" s="492">
        <v>35706768</v>
      </c>
      <c r="J24" s="492">
        <v>1149764728</v>
      </c>
      <c r="K24" s="492">
        <v>767214731</v>
      </c>
    </row>
    <row r="25" spans="2:11" s="499" customFormat="1" ht="12.75">
      <c r="B25" s="479"/>
      <c r="C25" s="479"/>
      <c r="D25" s="479"/>
      <c r="E25" s="479"/>
      <c r="F25" s="479"/>
      <c r="G25" s="479"/>
      <c r="H25" s="479"/>
      <c r="I25" s="479"/>
      <c r="J25" s="479"/>
      <c r="K25" s="479"/>
    </row>
    <row r="26" spans="2:11" s="499" customFormat="1" ht="28.5" customHeight="1">
      <c r="B26" s="479"/>
      <c r="C26" s="479"/>
      <c r="D26" s="479"/>
      <c r="E26" s="479"/>
      <c r="F26" s="479"/>
      <c r="G26" s="479"/>
      <c r="H26" s="479"/>
      <c r="I26" s="479"/>
      <c r="J26" s="479"/>
      <c r="K26" s="479"/>
    </row>
    <row r="27" ht="24" customHeight="1"/>
    <row r="29" s="500" customFormat="1" ht="14.25"/>
    <row r="30" spans="2:12" s="500" customFormat="1" ht="15">
      <c r="B30" s="501" t="s">
        <v>705</v>
      </c>
      <c r="C30" s="502"/>
      <c r="D30" s="501" t="s">
        <v>706</v>
      </c>
      <c r="E30" s="502"/>
      <c r="F30" s="502"/>
      <c r="G30" s="501" t="s">
        <v>595</v>
      </c>
      <c r="H30" s="502"/>
      <c r="I30" s="503"/>
      <c r="J30" s="964" t="s">
        <v>681</v>
      </c>
      <c r="K30" s="964"/>
      <c r="L30" s="964"/>
    </row>
    <row r="31" spans="2:12" s="500" customFormat="1" ht="15">
      <c r="B31" s="501" t="s">
        <v>732</v>
      </c>
      <c r="C31" s="502"/>
      <c r="D31" s="504" t="s">
        <v>1177</v>
      </c>
      <c r="E31" s="502"/>
      <c r="F31" s="502"/>
      <c r="G31" s="501" t="s">
        <v>734</v>
      </c>
      <c r="H31" s="502"/>
      <c r="I31" s="504"/>
      <c r="J31" s="960" t="s">
        <v>683</v>
      </c>
      <c r="K31" s="960"/>
      <c r="L31" s="960"/>
    </row>
    <row r="35" ht="12.75">
      <c r="M35" s="880">
        <v>30</v>
      </c>
    </row>
  </sheetData>
  <sheetProtection/>
  <mergeCells count="9">
    <mergeCell ref="H3:I4"/>
    <mergeCell ref="J30:L30"/>
    <mergeCell ref="J31:L31"/>
    <mergeCell ref="B6:K6"/>
    <mergeCell ref="B7:K7"/>
    <mergeCell ref="B8:K8"/>
    <mergeCell ref="B10:K10"/>
    <mergeCell ref="C13:F13"/>
    <mergeCell ref="G13:J13"/>
  </mergeCells>
  <printOptions horizontalCentered="1"/>
  <pageMargins left="0.5905511811023623" right="0" top="1.1811023622047245" bottom="1.1811023622047245" header="0" footer="0"/>
  <pageSetup fitToHeight="0" horizontalDpi="600" verticalDpi="600" orientation="landscape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M42"/>
  <sheetViews>
    <sheetView showGridLines="0" zoomScalePageLayoutView="0" workbookViewId="0" topLeftCell="A1">
      <selection activeCell="M42" sqref="M42"/>
    </sheetView>
  </sheetViews>
  <sheetFormatPr defaultColWidth="11.421875" defaultRowHeight="15"/>
  <cols>
    <col min="1" max="1" width="26.7109375" style="478" customWidth="1"/>
    <col min="2" max="2" width="5.421875" style="478" bestFit="1" customWidth="1"/>
    <col min="3" max="3" width="9.57421875" style="478" customWidth="1"/>
    <col min="4" max="4" width="7.8515625" style="478" bestFit="1" customWidth="1"/>
    <col min="5" max="5" width="8.00390625" style="478" bestFit="1" customWidth="1"/>
    <col min="6" max="6" width="12.140625" style="478" customWidth="1"/>
    <col min="7" max="7" width="9.8515625" style="478" customWidth="1"/>
    <col min="8" max="8" width="11.28125" style="478" customWidth="1"/>
    <col min="9" max="9" width="12.421875" style="478" customWidth="1"/>
    <col min="10" max="10" width="10.8515625" style="478" customWidth="1"/>
    <col min="11" max="11" width="8.140625" style="478" customWidth="1"/>
    <col min="12" max="12" width="11.28125" style="478" customWidth="1"/>
    <col min="13" max="13" width="13.421875" style="478" customWidth="1"/>
    <col min="14" max="16384" width="11.421875" style="478" customWidth="1"/>
  </cols>
  <sheetData>
    <row r="2" spans="10:13" ht="25.5">
      <c r="J2" s="760" t="s">
        <v>735</v>
      </c>
      <c r="L2" s="760"/>
      <c r="M2" s="760"/>
    </row>
    <row r="3" spans="1:13" ht="22.5">
      <c r="A3" s="965" t="s">
        <v>711</v>
      </c>
      <c r="B3" s="965"/>
      <c r="C3" s="965"/>
      <c r="D3" s="965"/>
      <c r="E3" s="965"/>
      <c r="F3" s="965"/>
      <c r="G3" s="965"/>
      <c r="H3" s="965"/>
      <c r="I3" s="965"/>
      <c r="J3" s="965"/>
      <c r="K3" s="965"/>
      <c r="L3" s="965"/>
      <c r="M3" s="965"/>
    </row>
    <row r="4" spans="1:13" ht="22.5">
      <c r="A4" s="965" t="s">
        <v>1150</v>
      </c>
      <c r="B4" s="965"/>
      <c r="C4" s="965"/>
      <c r="D4" s="965"/>
      <c r="E4" s="965"/>
      <c r="F4" s="965"/>
      <c r="G4" s="965"/>
      <c r="H4" s="965"/>
      <c r="I4" s="965"/>
      <c r="J4" s="965"/>
      <c r="K4" s="965"/>
      <c r="L4" s="965"/>
      <c r="M4" s="965"/>
    </row>
    <row r="5" spans="1:13" ht="18.75">
      <c r="A5" s="966" t="s">
        <v>562</v>
      </c>
      <c r="B5" s="966"/>
      <c r="C5" s="966"/>
      <c r="D5" s="966"/>
      <c r="E5" s="966"/>
      <c r="F5" s="966"/>
      <c r="G5" s="966"/>
      <c r="H5" s="966"/>
      <c r="I5" s="966"/>
      <c r="J5" s="966"/>
      <c r="K5" s="966"/>
      <c r="L5" s="966"/>
      <c r="M5" s="966"/>
    </row>
    <row r="7" spans="1:13" ht="22.5">
      <c r="A7" s="965" t="s">
        <v>736</v>
      </c>
      <c r="B7" s="965"/>
      <c r="C7" s="965"/>
      <c r="D7" s="965"/>
      <c r="E7" s="965"/>
      <c r="F7" s="965"/>
      <c r="G7" s="965"/>
      <c r="H7" s="965"/>
      <c r="I7" s="965"/>
      <c r="J7" s="965"/>
      <c r="K7" s="965"/>
      <c r="L7" s="965"/>
      <c r="M7" s="965"/>
    </row>
    <row r="8" spans="1:13" ht="22.5">
      <c r="A8" s="965" t="s">
        <v>737</v>
      </c>
      <c r="B8" s="965"/>
      <c r="C8" s="965"/>
      <c r="D8" s="965"/>
      <c r="E8" s="965"/>
      <c r="F8" s="965"/>
      <c r="G8" s="965"/>
      <c r="H8" s="965"/>
      <c r="I8" s="965"/>
      <c r="J8" s="965"/>
      <c r="K8" s="965"/>
      <c r="L8" s="965"/>
      <c r="M8" s="965"/>
    </row>
    <row r="11" spans="1:13" ht="12.75">
      <c r="A11" s="505" t="s">
        <v>738</v>
      </c>
      <c r="B11" s="505"/>
      <c r="C11" s="505" t="s">
        <v>739</v>
      </c>
      <c r="D11" s="505"/>
      <c r="E11" s="505" t="s">
        <v>739</v>
      </c>
      <c r="F11" s="506" t="s">
        <v>739</v>
      </c>
      <c r="G11" s="505" t="s">
        <v>740</v>
      </c>
      <c r="H11" s="505" t="s">
        <v>740</v>
      </c>
      <c r="I11" s="968" t="s">
        <v>741</v>
      </c>
      <c r="J11" s="968"/>
      <c r="K11" s="968"/>
      <c r="L11" s="968"/>
      <c r="M11" s="968"/>
    </row>
    <row r="12" spans="1:13" ht="12.75">
      <c r="A12" s="507" t="s">
        <v>742</v>
      </c>
      <c r="B12" s="507"/>
      <c r="C12" s="507" t="s">
        <v>743</v>
      </c>
      <c r="D12" s="507"/>
      <c r="E12" s="507" t="s">
        <v>743</v>
      </c>
      <c r="F12" s="508" t="s">
        <v>744</v>
      </c>
      <c r="G12" s="507" t="s">
        <v>745</v>
      </c>
      <c r="H12" s="507" t="s">
        <v>746</v>
      </c>
      <c r="I12" s="505" t="s">
        <v>747</v>
      </c>
      <c r="J12" s="505" t="s">
        <v>748</v>
      </c>
      <c r="K12" s="505"/>
      <c r="L12" s="968" t="s">
        <v>749</v>
      </c>
      <c r="M12" s="968"/>
    </row>
    <row r="13" spans="1:13" ht="12.75">
      <c r="A13" s="509" t="s">
        <v>750</v>
      </c>
      <c r="B13" s="509" t="s">
        <v>751</v>
      </c>
      <c r="C13" s="509" t="s">
        <v>752</v>
      </c>
      <c r="D13" s="509" t="s">
        <v>753</v>
      </c>
      <c r="E13" s="509" t="s">
        <v>754</v>
      </c>
      <c r="F13" s="510" t="s">
        <v>755</v>
      </c>
      <c r="G13" s="509" t="s">
        <v>756</v>
      </c>
      <c r="H13" s="509" t="s">
        <v>757</v>
      </c>
      <c r="I13" s="509" t="s">
        <v>758</v>
      </c>
      <c r="J13" s="509" t="s">
        <v>759</v>
      </c>
      <c r="K13" s="509" t="s">
        <v>760</v>
      </c>
      <c r="L13" s="511" t="s">
        <v>761</v>
      </c>
      <c r="M13" s="511" t="s">
        <v>762</v>
      </c>
    </row>
    <row r="14" spans="1:13" ht="12.75">
      <c r="A14" s="485"/>
      <c r="B14" s="485"/>
      <c r="C14" s="485"/>
      <c r="D14" s="485"/>
      <c r="E14" s="485"/>
      <c r="F14" s="485"/>
      <c r="G14" s="485"/>
      <c r="H14" s="485"/>
      <c r="I14" s="485"/>
      <c r="J14" s="485"/>
      <c r="K14" s="485"/>
      <c r="L14" s="485"/>
      <c r="M14" s="485"/>
    </row>
    <row r="15" spans="1:13" ht="12.75">
      <c r="A15" s="487"/>
      <c r="B15" s="487"/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</row>
    <row r="16" spans="1:13" ht="12.75">
      <c r="A16" s="512" t="s">
        <v>763</v>
      </c>
      <c r="B16" s="487"/>
      <c r="C16" s="487"/>
      <c r="D16" s="487"/>
      <c r="E16" s="487"/>
      <c r="F16" s="487"/>
      <c r="G16" s="487"/>
      <c r="H16" s="487"/>
      <c r="I16" s="487"/>
      <c r="J16" s="487"/>
      <c r="K16" s="487"/>
      <c r="L16" s="487"/>
      <c r="M16" s="487"/>
    </row>
    <row r="17" spans="1:13" ht="12.75">
      <c r="A17" s="512" t="s">
        <v>764</v>
      </c>
      <c r="B17" s="487"/>
      <c r="C17" s="487"/>
      <c r="D17" s="487"/>
      <c r="E17" s="487"/>
      <c r="F17" s="487"/>
      <c r="G17" s="487"/>
      <c r="H17" s="487"/>
      <c r="I17" s="487"/>
      <c r="J17" s="487"/>
      <c r="K17" s="487"/>
      <c r="L17" s="487"/>
      <c r="M17" s="487"/>
    </row>
    <row r="18" spans="1:13" ht="12.75">
      <c r="A18" s="512"/>
      <c r="B18" s="487"/>
      <c r="C18" s="487"/>
      <c r="D18" s="487"/>
      <c r="E18" s="487"/>
      <c r="F18" s="487"/>
      <c r="G18" s="487"/>
      <c r="H18" s="487"/>
      <c r="I18" s="487"/>
      <c r="J18" s="487"/>
      <c r="K18" s="487"/>
      <c r="L18" s="487"/>
      <c r="M18" s="487"/>
    </row>
    <row r="19" spans="1:13" ht="12.75">
      <c r="A19" s="491"/>
      <c r="B19" s="491"/>
      <c r="C19" s="491"/>
      <c r="D19" s="491"/>
      <c r="E19" s="491"/>
      <c r="F19" s="491"/>
      <c r="G19" s="491"/>
      <c r="H19" s="491"/>
      <c r="I19" s="491"/>
      <c r="J19" s="491"/>
      <c r="K19" s="491"/>
      <c r="L19" s="491"/>
      <c r="M19" s="491"/>
    </row>
    <row r="20" spans="1:13" ht="12.75">
      <c r="A20" s="485"/>
      <c r="G20" s="485"/>
      <c r="M20" s="513"/>
    </row>
    <row r="21" spans="1:13" ht="12.75">
      <c r="A21" s="491" t="s">
        <v>730</v>
      </c>
      <c r="G21" s="491"/>
      <c r="M21" s="514"/>
    </row>
    <row r="22" spans="1:13" ht="12.75">
      <c r="A22" s="485"/>
      <c r="G22" s="485"/>
      <c r="M22" s="514"/>
    </row>
    <row r="23" spans="1:13" ht="12.75">
      <c r="A23" s="491" t="s">
        <v>731</v>
      </c>
      <c r="G23" s="491"/>
      <c r="M23" s="514"/>
    </row>
    <row r="24" spans="1:13" ht="12.75">
      <c r="A24" s="515"/>
      <c r="M24" s="516"/>
    </row>
    <row r="25" spans="1:13" ht="12.75">
      <c r="A25" s="485"/>
      <c r="B25" s="485"/>
      <c r="C25" s="485"/>
      <c r="D25" s="485"/>
      <c r="E25" s="485"/>
      <c r="F25" s="485"/>
      <c r="G25" s="485"/>
      <c r="H25" s="485"/>
      <c r="I25" s="485"/>
      <c r="J25" s="485"/>
      <c r="K25" s="485"/>
      <c r="L25" s="485"/>
      <c r="M25" s="485"/>
    </row>
    <row r="26" spans="1:13" ht="12.75">
      <c r="A26" s="487"/>
      <c r="B26" s="487"/>
      <c r="C26" s="487"/>
      <c r="D26" s="487"/>
      <c r="E26" s="487"/>
      <c r="F26" s="487"/>
      <c r="G26" s="487"/>
      <c r="H26" s="487"/>
      <c r="I26" s="487"/>
      <c r="J26" s="487"/>
      <c r="K26" s="487"/>
      <c r="L26" s="487"/>
      <c r="M26" s="487"/>
    </row>
    <row r="27" spans="1:13" ht="12.75">
      <c r="A27" s="512" t="s">
        <v>763</v>
      </c>
      <c r="B27" s="487"/>
      <c r="C27" s="487"/>
      <c r="D27" s="487"/>
      <c r="E27" s="487"/>
      <c r="F27" s="487"/>
      <c r="G27" s="487"/>
      <c r="H27" s="487"/>
      <c r="I27" s="487"/>
      <c r="J27" s="487"/>
      <c r="K27" s="487"/>
      <c r="L27" s="487"/>
      <c r="M27" s="487"/>
    </row>
    <row r="28" spans="1:13" ht="12.75">
      <c r="A28" s="512" t="s">
        <v>765</v>
      </c>
      <c r="B28" s="487"/>
      <c r="C28" s="487"/>
      <c r="D28" s="487"/>
      <c r="E28" s="487"/>
      <c r="F28" s="487"/>
      <c r="G28" s="487"/>
      <c r="H28" s="487"/>
      <c r="I28" s="487"/>
      <c r="J28" s="487"/>
      <c r="K28" s="487"/>
      <c r="L28" s="487"/>
      <c r="M28" s="487"/>
    </row>
    <row r="29" spans="1:13" ht="12.75">
      <c r="A29" s="512"/>
      <c r="B29" s="487"/>
      <c r="C29" s="487"/>
      <c r="D29" s="487"/>
      <c r="E29" s="487"/>
      <c r="F29" s="487"/>
      <c r="G29" s="487"/>
      <c r="H29" s="487"/>
      <c r="I29" s="487"/>
      <c r="J29" s="487"/>
      <c r="K29" s="487"/>
      <c r="L29" s="487"/>
      <c r="M29" s="487"/>
    </row>
    <row r="30" spans="1:13" ht="12.75">
      <c r="A30" s="491"/>
      <c r="B30" s="491"/>
      <c r="C30" s="491"/>
      <c r="D30" s="491"/>
      <c r="E30" s="491"/>
      <c r="F30" s="491"/>
      <c r="G30" s="491"/>
      <c r="H30" s="491"/>
      <c r="I30" s="491"/>
      <c r="J30" s="491"/>
      <c r="K30" s="491"/>
      <c r="L30" s="491"/>
      <c r="M30" s="491"/>
    </row>
    <row r="31" spans="1:7" ht="12.75">
      <c r="A31" s="485"/>
      <c r="G31" s="485"/>
    </row>
    <row r="32" spans="1:7" ht="12.75">
      <c r="A32" s="491" t="s">
        <v>730</v>
      </c>
      <c r="G32" s="491"/>
    </row>
    <row r="33" spans="1:7" ht="12.75">
      <c r="A33" s="485"/>
      <c r="G33" s="485"/>
    </row>
    <row r="34" spans="1:7" ht="12.75">
      <c r="A34" s="491" t="s">
        <v>731</v>
      </c>
      <c r="G34" s="491"/>
    </row>
    <row r="40" s="479" customFormat="1" ht="12.75"/>
    <row r="41" spans="1:12" s="479" customFormat="1" ht="12.75">
      <c r="A41" s="517" t="str">
        <f>'[1]Anexo B'!B30</f>
        <v>Sra. Luisa I. Schaerer de Pallarés </v>
      </c>
      <c r="B41" s="518"/>
      <c r="C41" s="517" t="str">
        <f>'[1]Anexo B'!D30</f>
        <v>Lic. María Celeste Pallarés Viveros </v>
      </c>
      <c r="D41" s="518"/>
      <c r="E41" s="518"/>
      <c r="G41" s="517" t="str">
        <f>'[1]Anexo B'!G30</f>
        <v>Dr. Raul Fernando Vargas</v>
      </c>
      <c r="J41" s="969" t="s">
        <v>998</v>
      </c>
      <c r="K41" s="969"/>
      <c r="L41" s="969"/>
    </row>
    <row r="42" spans="1:13" s="479" customFormat="1" ht="12.75">
      <c r="A42" s="517" t="s">
        <v>732</v>
      </c>
      <c r="B42" s="518"/>
      <c r="C42" s="519" t="s">
        <v>733</v>
      </c>
      <c r="D42" s="518"/>
      <c r="E42" s="518"/>
      <c r="G42" s="517" t="s">
        <v>734</v>
      </c>
      <c r="J42" s="969" t="s">
        <v>683</v>
      </c>
      <c r="K42" s="969"/>
      <c r="L42" s="969"/>
      <c r="M42" s="880">
        <v>31</v>
      </c>
    </row>
  </sheetData>
  <sheetProtection/>
  <mergeCells count="9">
    <mergeCell ref="I11:M11"/>
    <mergeCell ref="L12:M12"/>
    <mergeCell ref="J41:L41"/>
    <mergeCell ref="J42:L42"/>
    <mergeCell ref="A3:M3"/>
    <mergeCell ref="A4:M4"/>
    <mergeCell ref="A5:M5"/>
    <mergeCell ref="A7:M7"/>
    <mergeCell ref="A8:M8"/>
  </mergeCells>
  <printOptions horizontalCentered="1"/>
  <pageMargins left="0.3937007874015748" right="0.5905511811023623" top="0.6299212598425197" bottom="0.5905511811023623" header="0" footer="0"/>
  <pageSetup fitToHeight="0" horizontalDpi="600" verticalDpi="600" orientation="landscape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G54"/>
  <sheetViews>
    <sheetView showGridLines="0" zoomScalePageLayoutView="0" workbookViewId="0" topLeftCell="A1">
      <selection activeCell="G54" sqref="G54"/>
    </sheetView>
  </sheetViews>
  <sheetFormatPr defaultColWidth="11.421875" defaultRowHeight="15"/>
  <cols>
    <col min="1" max="1" width="26.57421875" style="478" customWidth="1"/>
    <col min="2" max="6" width="14.8515625" style="478" customWidth="1"/>
    <col min="7" max="16384" width="11.421875" style="478" customWidth="1"/>
  </cols>
  <sheetData>
    <row r="2" spans="3:6" ht="30" customHeight="1">
      <c r="C2" s="760" t="s">
        <v>800</v>
      </c>
      <c r="D2" s="760"/>
      <c r="E2" s="760"/>
      <c r="F2" s="760"/>
    </row>
    <row r="3" ht="12.75"/>
    <row r="4" spans="1:6" ht="22.5">
      <c r="A4" s="965" t="str">
        <f>+'[1]Anexo C'!A3:M3</f>
        <v>BALANCE GENERAL</v>
      </c>
      <c r="B4" s="965"/>
      <c r="C4" s="965"/>
      <c r="D4" s="965"/>
      <c r="E4" s="965"/>
      <c r="F4" s="965"/>
    </row>
    <row r="5" spans="1:6" ht="22.5">
      <c r="A5" s="965" t="s">
        <v>1149</v>
      </c>
      <c r="B5" s="965"/>
      <c r="C5" s="965"/>
      <c r="D5" s="965"/>
      <c r="E5" s="965"/>
      <c r="F5" s="965"/>
    </row>
    <row r="6" spans="1:6" ht="18.75">
      <c r="A6" s="966" t="s">
        <v>562</v>
      </c>
      <c r="B6" s="966"/>
      <c r="C6" s="966"/>
      <c r="D6" s="966"/>
      <c r="E6" s="966"/>
      <c r="F6" s="966"/>
    </row>
    <row r="8" spans="1:6" ht="22.5">
      <c r="A8" s="965" t="s">
        <v>801</v>
      </c>
      <c r="B8" s="965"/>
      <c r="C8" s="965"/>
      <c r="D8" s="965"/>
      <c r="E8" s="965"/>
      <c r="F8" s="965"/>
    </row>
    <row r="12" spans="1:6" ht="12.75">
      <c r="A12" s="482"/>
      <c r="B12" s="482" t="s">
        <v>740</v>
      </c>
      <c r="C12" s="482"/>
      <c r="D12" s="482" t="s">
        <v>740</v>
      </c>
      <c r="E12" s="482" t="s">
        <v>739</v>
      </c>
      <c r="F12" s="482" t="s">
        <v>739</v>
      </c>
    </row>
    <row r="13" spans="1:6" ht="12.75">
      <c r="A13" s="483"/>
      <c r="B13" s="483" t="s">
        <v>802</v>
      </c>
      <c r="C13" s="483"/>
      <c r="D13" s="483" t="s">
        <v>802</v>
      </c>
      <c r="E13" s="483" t="s">
        <v>803</v>
      </c>
      <c r="F13" s="483" t="s">
        <v>803</v>
      </c>
    </row>
    <row r="14" spans="1:6" ht="12.75">
      <c r="A14" s="484" t="s">
        <v>804</v>
      </c>
      <c r="B14" s="484" t="s">
        <v>805</v>
      </c>
      <c r="C14" s="484" t="s">
        <v>806</v>
      </c>
      <c r="D14" s="484" t="s">
        <v>757</v>
      </c>
      <c r="E14" s="484" t="s">
        <v>807</v>
      </c>
      <c r="F14" s="484" t="s">
        <v>808</v>
      </c>
    </row>
    <row r="15" spans="1:6" ht="12.75">
      <c r="A15" s="485"/>
      <c r="B15" s="587"/>
      <c r="C15" s="587"/>
      <c r="D15" s="587"/>
      <c r="E15" s="587"/>
      <c r="F15" s="587"/>
    </row>
    <row r="16" spans="1:6" ht="12.75">
      <c r="A16" s="487" t="s">
        <v>763</v>
      </c>
      <c r="B16" s="588"/>
      <c r="C16" s="589"/>
      <c r="D16" s="589"/>
      <c r="E16" s="589"/>
      <c r="F16" s="589"/>
    </row>
    <row r="17" spans="1:6" ht="12.75">
      <c r="A17" s="487" t="s">
        <v>809</v>
      </c>
      <c r="B17" s="590"/>
      <c r="C17" s="589"/>
      <c r="D17" s="591"/>
      <c r="E17" s="589"/>
      <c r="F17" s="589"/>
    </row>
    <row r="18" spans="1:6" ht="12.75">
      <c r="A18" s="487"/>
      <c r="B18" s="589"/>
      <c r="C18" s="589"/>
      <c r="D18" s="589"/>
      <c r="E18" s="592"/>
      <c r="F18" s="589"/>
    </row>
    <row r="19" spans="1:6" ht="12.75">
      <c r="A19" s="491"/>
      <c r="B19" s="593"/>
      <c r="C19" s="593"/>
      <c r="D19" s="593"/>
      <c r="F19" s="593"/>
    </row>
    <row r="20" spans="1:6" ht="12.75">
      <c r="A20" s="594" t="s">
        <v>810</v>
      </c>
      <c r="B20" s="595"/>
      <c r="C20" s="596"/>
      <c r="D20" s="595"/>
      <c r="E20" s="595"/>
      <c r="F20" s="595"/>
    </row>
    <row r="21" spans="1:6" ht="12.75">
      <c r="A21" s="485"/>
      <c r="B21" s="597"/>
      <c r="C21" s="596"/>
      <c r="D21" s="598"/>
      <c r="E21" s="596"/>
      <c r="F21" s="587"/>
    </row>
    <row r="22" spans="1:6" ht="12.75">
      <c r="A22" s="487" t="s">
        <v>763</v>
      </c>
      <c r="B22" s="599"/>
      <c r="C22" s="589"/>
      <c r="D22" s="600"/>
      <c r="E22" s="601"/>
      <c r="F22" s="589"/>
    </row>
    <row r="23" spans="1:6" ht="12.75">
      <c r="A23" s="487" t="s">
        <v>811</v>
      </c>
      <c r="B23" s="599"/>
      <c r="C23" s="589"/>
      <c r="D23" s="600"/>
      <c r="E23" s="601"/>
      <c r="F23" s="589"/>
    </row>
    <row r="24" spans="1:6" ht="12.75">
      <c r="A24" s="487"/>
      <c r="B24" s="599"/>
      <c r="C24" s="589"/>
      <c r="D24" s="600"/>
      <c r="E24" s="601"/>
      <c r="F24" s="589"/>
    </row>
    <row r="25" spans="1:6" ht="12.75">
      <c r="A25" s="491"/>
      <c r="B25" s="602"/>
      <c r="C25" s="593"/>
      <c r="D25" s="603"/>
      <c r="E25" s="604"/>
      <c r="F25" s="593"/>
    </row>
    <row r="26" spans="1:6" ht="12.75">
      <c r="A26" s="594" t="s">
        <v>810</v>
      </c>
      <c r="B26" s="595"/>
      <c r="C26" s="604"/>
      <c r="D26" s="595"/>
      <c r="E26" s="595"/>
      <c r="F26" s="595"/>
    </row>
    <row r="27" spans="1:6" ht="12.75">
      <c r="A27" s="485"/>
      <c r="B27" s="587"/>
      <c r="C27" s="587"/>
      <c r="D27" s="587"/>
      <c r="E27" s="596"/>
      <c r="F27" s="587"/>
    </row>
    <row r="28" spans="1:6" ht="12.75">
      <c r="A28" s="498" t="s">
        <v>812</v>
      </c>
      <c r="B28" s="604"/>
      <c r="C28" s="604"/>
      <c r="D28" s="604"/>
      <c r="E28" s="604"/>
      <c r="F28" s="604"/>
    </row>
    <row r="33" ht="24.75" customHeight="1"/>
    <row r="34" ht="47.25" customHeight="1"/>
    <row r="35" s="479" customFormat="1" ht="12.75"/>
    <row r="36" spans="1:5" s="479" customFormat="1" ht="12.75">
      <c r="A36" s="517" t="str">
        <f>'[1]Anexo C'!A40</f>
        <v>Sra. Luisa I. Schaerer de Pallarés </v>
      </c>
      <c r="B36" s="518"/>
      <c r="D36" s="970" t="str">
        <f>'[1]Anexo C'!C40</f>
        <v>Lic. María Celeste Pallarés Viveros </v>
      </c>
      <c r="E36" s="970"/>
    </row>
    <row r="37" spans="1:5" s="479" customFormat="1" ht="12.75">
      <c r="A37" s="517" t="s">
        <v>732</v>
      </c>
      <c r="B37" s="518"/>
      <c r="D37" s="969" t="s">
        <v>594</v>
      </c>
      <c r="E37" s="969"/>
    </row>
    <row r="39" ht="30" customHeight="1"/>
    <row r="41" ht="23.25" customHeight="1"/>
    <row r="44" spans="1:5" ht="12.75">
      <c r="A44" s="517" t="str">
        <f>'[1]Anexo C'!G40</f>
        <v>Dr. Raul Fernando Vargas</v>
      </c>
      <c r="B44" s="518"/>
      <c r="D44" s="969" t="s">
        <v>596</v>
      </c>
      <c r="E44" s="969"/>
    </row>
    <row r="45" spans="1:5" ht="12.75">
      <c r="A45" s="517" t="s">
        <v>734</v>
      </c>
      <c r="B45" s="518"/>
      <c r="D45" s="969" t="s">
        <v>683</v>
      </c>
      <c r="E45" s="969"/>
    </row>
    <row r="54" ht="12.75">
      <c r="G54" s="872">
        <v>32</v>
      </c>
    </row>
  </sheetData>
  <sheetProtection/>
  <mergeCells count="8">
    <mergeCell ref="D37:E37"/>
    <mergeCell ref="D44:E44"/>
    <mergeCell ref="D45:E45"/>
    <mergeCell ref="A4:F4"/>
    <mergeCell ref="A5:F5"/>
    <mergeCell ref="A6:F6"/>
    <mergeCell ref="A8:F8"/>
    <mergeCell ref="D36:E36"/>
  </mergeCells>
  <printOptions horizontalCentered="1"/>
  <pageMargins left="0.3937007874015748" right="0.5905511811023623" top="0.984251968503937" bottom="0.984251968503937" header="0.31496062992125984" footer="0"/>
  <pageSetup fitToHeight="0" horizontalDpi="600" verticalDpi="600" orientation="portrait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Contabilidad</dc:creator>
  <cp:keywords/>
  <dc:description/>
  <cp:lastModifiedBy>Contabilidad</cp:lastModifiedBy>
  <cp:lastPrinted>2021-03-24T10:56:20Z</cp:lastPrinted>
  <dcterms:created xsi:type="dcterms:W3CDTF">2019-02-19T18:54:57Z</dcterms:created>
  <dcterms:modified xsi:type="dcterms:W3CDTF">2021-03-24T11:02:45Z</dcterms:modified>
  <cp:category/>
  <cp:version/>
  <cp:contentType/>
  <cp:contentStatus/>
</cp:coreProperties>
</file>