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9875" windowHeight="7200" activeTab="15"/>
  </bookViews>
  <sheets>
    <sheet name="Presentación" sheetId="1" r:id="rId1"/>
    <sheet name="BALANCE" sheetId="2" r:id="rId2"/>
    <sheet name="RESUL" sheetId="3" r:id="rId3"/>
    <sheet name="ORIGEN" sheetId="4" r:id="rId4"/>
    <sheet name="EVOL.PATR." sheetId="5" r:id="rId5"/>
    <sheet name="B.U." sheetId="6" r:id="rId6"/>
    <sheet name="INTANG" sheetId="7" r:id="rId7"/>
    <sheet name="INVERSION" sheetId="8" r:id="rId8"/>
    <sheet name="OTRAS INVER" sheetId="9" r:id="rId9"/>
    <sheet name="PREVISIONES" sheetId="10" r:id="rId10"/>
    <sheet name="COSTOS" sheetId="11" r:id="rId11"/>
    <sheet name="MONEDA EXTR." sheetId="12" r:id="rId12"/>
    <sheet name="GASTOS" sheetId="13" r:id="rId13"/>
    <sheet name="ESTADISTICAS" sheetId="14" r:id="rId14"/>
    <sheet name="INDICES" sheetId="15" r:id="rId15"/>
    <sheet name="NOTAS" sheetId="16" r:id="rId16"/>
    <sheet name="Calculo auxiliar" sheetId="17" state="hidden" r:id="rId17"/>
  </sheets>
  <externalReferences>
    <externalReference r:id="rId20"/>
  </externalReferences>
  <definedNames>
    <definedName name="_2Excel_BuiltIn_Print_Area_1_1" localSheetId="4">#REF!</definedName>
    <definedName name="_2Excel_BuiltIn_Print_Area_1_1" localSheetId="14">#REF!</definedName>
    <definedName name="_2Excel_BuiltIn_Print_Area_1_1">#REF!</definedName>
    <definedName name="_xlnm.Print_Area" localSheetId="16">'Calculo auxiliar'!$B$1:$E$160</definedName>
    <definedName name="excel" localSheetId="4">#REF!</definedName>
    <definedName name="excel">#REF!</definedName>
    <definedName name="Excel_2" localSheetId="4">#REF!</definedName>
    <definedName name="Excel_2">#REF!</definedName>
    <definedName name="Excel_BuiltIn__FilterDatabase_9">'Calculo auxiliar'!$E$1:$E$229</definedName>
    <definedName name="Excel_BuiltIn_Print_Area_1" localSheetId="4">#REF!</definedName>
    <definedName name="Excel_BuiltIn_Print_Area_1">#REF!</definedName>
    <definedName name="Excel_BuiltIn_Print_Area_1_1" localSheetId="4">#REF!</definedName>
    <definedName name="Excel_BuiltIn_Print_Area_1_1">#REF!</definedName>
    <definedName name="Excel_BuiltIn_Print_Area_1_1_1" localSheetId="4">#REF!</definedName>
    <definedName name="Excel_BuiltIn_Print_Area_1_1_1">#REF!</definedName>
    <definedName name="Excel_BuiltIn_Print_Area_1_1_1_1" localSheetId="4">#REF!</definedName>
    <definedName name="Excel_BuiltIn_Print_Area_1_1_1_1">#REF!</definedName>
    <definedName name="Excel_BuiltIn_Print_Area_1_1_1_1_1" localSheetId="4">#REF!</definedName>
    <definedName name="Excel_BuiltIn_Print_Area_1_1_1_1_1">#REF!</definedName>
    <definedName name="Excel_BuiltIn_Print_Area_1_1_1_1_1_1" localSheetId="4">#REF!</definedName>
    <definedName name="Excel_BuiltIn_Print_Area_1_1_1_1_1_1">#REF!</definedName>
    <definedName name="Excel_BuiltIn_Print_Area_1_1_1_1_1_1_1" localSheetId="4">#REF!</definedName>
    <definedName name="Excel_BuiltIn_Print_Area_1_1_1_1_1_1_1">#REF!</definedName>
    <definedName name="Excel_BuiltIn_Print_Area_1_1_1_1_1_1_1_1" localSheetId="4">#REF!</definedName>
    <definedName name="Excel_BuiltIn_Print_Area_1_1_1_1_1_1_1_1">#REF!</definedName>
    <definedName name="Excel_BuiltIn_Print_Area_1_1_1_1_1_1_1_1_1" localSheetId="4">#REF!</definedName>
    <definedName name="Excel_BuiltIn_Print_Area_1_1_1_1_1_1_1_1_1">#REF!</definedName>
    <definedName name="Excel_BuiltIn_Print_Area_4_1" localSheetId="4">#REF!</definedName>
    <definedName name="Excel_BuiltIn_Print_Area_4_1">#REF!</definedName>
    <definedName name="Excel_BuiltIn_Print_Area_5_1" localSheetId="4">#REF!</definedName>
    <definedName name="Excel_BuiltIn_Print_Area_5_1">#REF!</definedName>
    <definedName name="excel1" localSheetId="4">#REF!</definedName>
    <definedName name="excel1">#REF!</definedName>
    <definedName name="Excel2" localSheetId="4">#REF!</definedName>
    <definedName name="Excel2">#REF!</definedName>
    <definedName name="Renta" localSheetId="4">#REF!</definedName>
    <definedName name="Renta">#REF!</definedName>
  </definedNames>
  <calcPr fullCalcOnLoad="1"/>
</workbook>
</file>

<file path=xl/sharedStrings.xml><?xml version="1.0" encoding="utf-8"?>
<sst xmlns="http://schemas.openxmlformats.org/spreadsheetml/2006/main" count="1072" uniqueCount="787">
  <si>
    <t>IMPORT CENTER S.A.</t>
  </si>
  <si>
    <t>ACTIVO</t>
  </si>
  <si>
    <t>PASIVO</t>
  </si>
  <si>
    <t>ACTIVO CORRIENTE</t>
  </si>
  <si>
    <t>PASIVO CORRIENTE</t>
  </si>
  <si>
    <t>Cargas Fiscales a Pagar</t>
  </si>
  <si>
    <t>Dividendos a Pagar</t>
  </si>
  <si>
    <t>Otros Pasivos</t>
  </si>
  <si>
    <t>TOTAL DE ACTIVO CORRIENTE</t>
  </si>
  <si>
    <t>TOTAL PASIVO CORRIENTE</t>
  </si>
  <si>
    <t>ACTIVO NO CORRIENTE</t>
  </si>
  <si>
    <t>PASIVO NO CORRIENTE</t>
  </si>
  <si>
    <t>TOTAL DEL PASIVO NO CORRIENTE</t>
  </si>
  <si>
    <t>TOTAL DEL PASIVO</t>
  </si>
  <si>
    <t>TOTAL DEL ACTIVO NO CORRIENTE</t>
  </si>
  <si>
    <t>TOTAL DEL PATRIMONIO NETO</t>
  </si>
  <si>
    <t>TOTAL DEL ACTIVO</t>
  </si>
  <si>
    <t>TOTAL DEL PASIVO Y PATRIMONIO NETO</t>
  </si>
  <si>
    <t>(En miles de Guaraníes)</t>
  </si>
  <si>
    <t>CONCEPTOS</t>
  </si>
  <si>
    <t>Ejercicio Finalizado el</t>
  </si>
  <si>
    <t>INGRESOS OPERATIVOS</t>
  </si>
  <si>
    <t>Ventas Netas</t>
  </si>
  <si>
    <t>Menos:</t>
  </si>
  <si>
    <t>Utilidad Operativa Bruta</t>
  </si>
  <si>
    <t>Resultado de Inversiones Permanente</t>
  </si>
  <si>
    <t>Ganancia (Pérdida) Ordinaria</t>
  </si>
  <si>
    <t>Impuesto a la Renta</t>
  </si>
  <si>
    <t>Ganancia (Pérdida) del Ejercicio</t>
  </si>
  <si>
    <t>NOTA A LOS ESTADOS CONTABLES</t>
  </si>
  <si>
    <t xml:space="preserve">NOTA 1:  EL ENTE </t>
  </si>
  <si>
    <t>es   una   Entidad   que   fuera    constituída   originalmente   con   la   denominación   de</t>
  </si>
  <si>
    <r>
      <rPr>
        <b/>
        <sz val="11"/>
        <color indexed="8"/>
        <rFont val="Calibri"/>
        <family val="2"/>
      </rPr>
      <t>"CHE TAPYIRA" S.R.L.</t>
    </r>
    <r>
      <rPr>
        <sz val="11"/>
        <color indexed="8"/>
        <rFont val="Calibri"/>
        <family val="2"/>
      </rPr>
      <t>, según consta  en la  Escritura  Pública  Nº 2  de fecha 10 de Enero</t>
    </r>
  </si>
  <si>
    <t>de  1984  y de la cual se   tomó  razón   en la Dirección   General de  Registros    Públicos,</t>
  </si>
  <si>
    <t>Registro  Público de  Comercio, bajo el Nº  94, folio  22 y siguientes, de la Sección Con-</t>
  </si>
  <si>
    <t>tratos, el   24  de  Enero  de  1984.    Luego  por    Escritura Pública  Nº 47 de   fecha  11 de</t>
  </si>
  <si>
    <t>Mayo   de  2000, los   Estatutos  Sociales   fueron    modificados  por   transformación  de:</t>
  </si>
  <si>
    <r>
      <rPr>
        <b/>
        <sz val="11"/>
        <color indexed="8"/>
        <rFont val="Calibri"/>
        <family val="2"/>
      </rPr>
      <t>IMPORT  CENTER  S.R.L.</t>
    </r>
    <r>
      <rPr>
        <sz val="11"/>
        <color indexed="8"/>
        <rFont val="Calibri"/>
        <family val="2"/>
      </rPr>
      <t xml:space="preserve"> a  </t>
    </r>
    <r>
      <rPr>
        <b/>
        <sz val="11"/>
        <color indexed="8"/>
        <rFont val="Calibri"/>
        <family val="2"/>
      </rPr>
      <t>IMPORT CENTER S.A.</t>
    </r>
    <r>
      <rPr>
        <sz val="11"/>
        <color indexed="8"/>
        <rFont val="Calibri"/>
        <family val="2"/>
      </rPr>
      <t>, de cuyo testimonio se tomó razón en la</t>
    </r>
  </si>
  <si>
    <t xml:space="preserve">Dirección  General  de  los  Registros  Públicos,   Sección  Registro  Público de Comercio, </t>
  </si>
  <si>
    <t>anotado bajo el Nº 491, Serie "A" al folio 3787 y siguientes,  Sección  Contratos, el 26 de</t>
  </si>
  <si>
    <t>Mayo de 2000; y en la Sección Personas Jurídicas y Asociaciones, anotado bajo el Nº 352</t>
  </si>
  <si>
    <t>Serie "B" al folio 3489, el 26 de Mayo de 2000.</t>
  </si>
  <si>
    <t>La duración de la Sociedad será de 99 (noventa y nueve)  años a contarse   desde  su ins-</t>
  </si>
  <si>
    <t>cripción en el Registro de Personas Jurídicas y Asociaciones y en el Registro  Público  de</t>
  </si>
  <si>
    <t>Comercio, de la Dirección General de los Registros Públicos.  No obstante, la  Asamblea</t>
  </si>
  <si>
    <t>Extraordinaria de Accionistas puede prorrogar o reducir  la  duración,  o disolver o liqui-</t>
  </si>
  <si>
    <t>dar la Sociedad cuando así lo resolviere de conformidad  con las pertinentes disposicio-</t>
  </si>
  <si>
    <t>nes de la Ley y de estos Estatutos.</t>
  </si>
  <si>
    <t>La Empresa tiene como objeto principal la realización  por cuenta  propia  o de terceros,</t>
  </si>
  <si>
    <t xml:space="preserve">o asociada con  terceros, en  el  país  o  en  el   extranjero,   las  siguientes   operaciones: </t>
  </si>
  <si>
    <t>a)COMERCIALES:   compra,  venta  al  por mayor y menor, permuta, importación y repre-</t>
  </si>
  <si>
    <t>sentación de  repuestos  para  motocicletas,  bicicletas   como así  tambien  repuestos  y</t>
  </si>
  <si>
    <t>accesorios,  cubiertas  para  autos,  motos  y  bicicletas y equipos de gimnasia; b) INDUS-</t>
  </si>
  <si>
    <t>TRIALES: ensamble  de bicicletas; c)MERCADO DE VALORES:  emitir títulos de deuda con</t>
  </si>
  <si>
    <t>o sin garantía para negociarlos en el mercado de valores a través de la Bolsa de Valores;</t>
  </si>
  <si>
    <t>y demás actividades detalladas en el Artículo 4º de los Estatutos Sociales.</t>
  </si>
  <si>
    <t xml:space="preserve">NOTA 2:  COMPOSICION DE DISPONIBILIDADES </t>
  </si>
  <si>
    <t>CUENTAS</t>
  </si>
  <si>
    <t>Caja Moneda Nacional</t>
  </si>
  <si>
    <t>Caja Moneda Extranjera</t>
  </si>
  <si>
    <t>Bancos Moneda Nacional</t>
  </si>
  <si>
    <t>Bancos Moneda Extranjera</t>
  </si>
  <si>
    <t>TOTALES</t>
  </si>
  <si>
    <t>NOTA 3: COMPOSICION DEL CAPITAL SOCIAL</t>
  </si>
  <si>
    <t>NOTA 4: POLITICAS Y PRACTICAS CONTABLES</t>
  </si>
  <si>
    <t>En la preparación y presentación de los Estados Contables, fueron aplicadas las siguien-</t>
  </si>
  <si>
    <t>tes políticas de contabilidad significativas:</t>
  </si>
  <si>
    <t>a.  Moneda de Cuenta</t>
  </si>
  <si>
    <t>La moneda de cuenta utilizada para la elaboración de los Estados Contables es el Guara-</t>
  </si>
  <si>
    <t>ní.</t>
  </si>
  <si>
    <t>b. Valuación</t>
  </si>
  <si>
    <t>Moneda Extranjera</t>
  </si>
  <si>
    <t>MONEDA</t>
  </si>
  <si>
    <t>COMPRA</t>
  </si>
  <si>
    <t>VENTA</t>
  </si>
  <si>
    <t>Dólar Americano</t>
  </si>
  <si>
    <t>c.  Bienes de Cambio</t>
  </si>
  <si>
    <t>Las existencias están valuadas al costo de adquisición más todos  los  gastos  necesarios</t>
  </si>
  <si>
    <t>hasta la pueda en depósito de la Empresa.  La salida de las existencias es registrada uti-</t>
  </si>
  <si>
    <t>lizando el sistema de precio promedio ponderado.</t>
  </si>
  <si>
    <t>d.  Bienes de Uso</t>
  </si>
  <si>
    <t>Los Bienes de Uso son valuados a su precio de adquisición, a éste se le adiciona el reva-</t>
  </si>
  <si>
    <t>e.  Depreciaciones</t>
  </si>
  <si>
    <t>El método de depreciación utilizado es el lineal.  Los  bienes  son  depreciados  a  partir</t>
  </si>
  <si>
    <t>del mes siguiente de su alta o incorporación.</t>
  </si>
  <si>
    <t>f.  Reconocimiento de Resultados</t>
  </si>
  <si>
    <t>Las operaciones que implican ingresos y egresos de la Empresa, son reconocidas como</t>
  </si>
  <si>
    <t>resultados teniendo en cuenta el Principio de lo Devengado.</t>
  </si>
  <si>
    <t>NOTA 5: CRÉDITOS</t>
  </si>
  <si>
    <t>Corriente</t>
  </si>
  <si>
    <t>Clientes</t>
  </si>
  <si>
    <t>Cheques Diferidos</t>
  </si>
  <si>
    <t>No Corriente</t>
  </si>
  <si>
    <t>Cheques Devueltos</t>
  </si>
  <si>
    <t>- Previsión para Malos Créditos</t>
  </si>
  <si>
    <t xml:space="preserve">dad teniendo en cuenta el análisis de  la  Gerencia sobre  la  antigüedad  y  cobrabilidad </t>
  </si>
  <si>
    <t>NOTA 6: OTROS CREDITOS</t>
  </si>
  <si>
    <t>expuesta en Guaraníes.</t>
  </si>
  <si>
    <t>Anticipo de Impuesto a la Renta</t>
  </si>
  <si>
    <t>IVA Crédito Fiscal</t>
  </si>
  <si>
    <t>Retenciones de Impuesto a la Renta</t>
  </si>
  <si>
    <t>Retenciones de IVA</t>
  </si>
  <si>
    <t>Anticipos al Personal</t>
  </si>
  <si>
    <t>NOTA 7 : BIENES DE CAMBIO</t>
  </si>
  <si>
    <t>Mercaderías Gravadas</t>
  </si>
  <si>
    <t>Mercaderías RAN - Dcto.21944/98</t>
  </si>
  <si>
    <t>Materia Prima Importada</t>
  </si>
  <si>
    <t>Importaciones en Curso</t>
  </si>
  <si>
    <t>Anticipos a Proveedores</t>
  </si>
  <si>
    <t>NOTA 8 : OTROS ACTIVOS</t>
  </si>
  <si>
    <t>Obras en Curso</t>
  </si>
  <si>
    <t>NOTA 9 : BIENES DE USO</t>
  </si>
  <si>
    <t>VALORES DE ORIGEN</t>
  </si>
  <si>
    <t xml:space="preserve">DESCRIPCION DE </t>
  </si>
  <si>
    <t>AL INICIO</t>
  </si>
  <si>
    <t xml:space="preserve">ALTAS DEL </t>
  </si>
  <si>
    <t xml:space="preserve">REVALUO </t>
  </si>
  <si>
    <t>OTROS AJUSTES    SALDOS AL CIERRE</t>
  </si>
  <si>
    <t>LOS BIENES</t>
  </si>
  <si>
    <t>DEL PERIODO</t>
  </si>
  <si>
    <t>PERIODO</t>
  </si>
  <si>
    <t xml:space="preserve">                                            Y RECLASIF.                 DEL PERIODO</t>
  </si>
  <si>
    <t>Edificios</t>
  </si>
  <si>
    <t>Rodados</t>
  </si>
  <si>
    <t>Maq.e Instalac.</t>
  </si>
  <si>
    <t>Eq.y Herram.</t>
  </si>
  <si>
    <t>Mueb.y Utiles</t>
  </si>
  <si>
    <t>Eq.de Inform.</t>
  </si>
  <si>
    <t>AMORTIZACIONES</t>
  </si>
  <si>
    <t>Proveedores Locales - M/N</t>
  </si>
  <si>
    <t>Proveedores del Exterior - M/E</t>
  </si>
  <si>
    <t>Proveedores Locales - M/E</t>
  </si>
  <si>
    <t>Chqs.Emitidos en Diferido-Regional</t>
  </si>
  <si>
    <t>Sobregiros Bancarios - M/N</t>
  </si>
  <si>
    <t>Sobregiros Bancarios - M/E</t>
  </si>
  <si>
    <t>Préstamos Personales - M/N</t>
  </si>
  <si>
    <t>Préstamos a Bancos - C.P.-M/N</t>
  </si>
  <si>
    <t>No corriente</t>
  </si>
  <si>
    <t>Aporte Patronal 16,5%</t>
  </si>
  <si>
    <t>Aporte Obrero 9%</t>
  </si>
  <si>
    <t>Seguros Pagados</t>
  </si>
  <si>
    <t>Sueldos y Jornales</t>
  </si>
  <si>
    <t>Cargas Sociales</t>
  </si>
  <si>
    <t>Vacaciones Pagadas</t>
  </si>
  <si>
    <t>Indemnizaciones y Preaviso</t>
  </si>
  <si>
    <t>Aguinaldos Pagados</t>
  </si>
  <si>
    <t>Remuneración Personal Superior</t>
  </si>
  <si>
    <t>Gastos de viajes al Exterior</t>
  </si>
  <si>
    <t>Honorarios Profesionales</t>
  </si>
  <si>
    <t>Alquileres Pagados</t>
  </si>
  <si>
    <t>Agua, Luz y Teléfono</t>
  </si>
  <si>
    <t>Gastos de Oficina</t>
  </si>
  <si>
    <t>Impuestos Municipales</t>
  </si>
  <si>
    <t>Impuestos y Tasas</t>
  </si>
  <si>
    <t>Donaciones</t>
  </si>
  <si>
    <t>Gastos Generales</t>
  </si>
  <si>
    <t>Multas y Recargos - G.N.D.</t>
  </si>
  <si>
    <t>Gastos de Mantenim. Edificios</t>
  </si>
  <si>
    <t>Gastos de Limpieza y Cafetería</t>
  </si>
  <si>
    <t>Gastos de Informática</t>
  </si>
  <si>
    <t>Servicios Pagados</t>
  </si>
  <si>
    <t>Gastos de Escibanía</t>
  </si>
  <si>
    <t>Impresos y Formularios</t>
  </si>
  <si>
    <t>Gastos de Informconf</t>
  </si>
  <si>
    <t>Gastos No Deducibles</t>
  </si>
  <si>
    <t>Combustibles y Lubricantes</t>
  </si>
  <si>
    <t>Reparación y Manten. Rodados</t>
  </si>
  <si>
    <t>Mantenim. Y Reprac. En Gral.</t>
  </si>
  <si>
    <t>Gastos de Embalajes y Depósito</t>
  </si>
  <si>
    <t>Comisiones Pagadas sobre Vtas.</t>
  </si>
  <si>
    <t>Publicidad y Propaganda</t>
  </si>
  <si>
    <t>Movilidad y Viáticos</t>
  </si>
  <si>
    <t>Marketing y Publicidad</t>
  </si>
  <si>
    <t>Gastos de Garantía</t>
  </si>
  <si>
    <t>Gastos de Promoción de Vtas.</t>
  </si>
  <si>
    <t>Ingresos No Operativos</t>
  </si>
  <si>
    <t>Descuentos Obtenidos</t>
  </si>
  <si>
    <t>Intereses Cobrados</t>
  </si>
  <si>
    <t>Otros Ingresos</t>
  </si>
  <si>
    <t>Ingresos Varios</t>
  </si>
  <si>
    <t>Egresos No Operativos</t>
  </si>
  <si>
    <t xml:space="preserve">Ingresos </t>
  </si>
  <si>
    <t>Diferencia de Cambio</t>
  </si>
  <si>
    <t xml:space="preserve">Egresos </t>
  </si>
  <si>
    <t>Intereses pagados a Bancos</t>
  </si>
  <si>
    <t>Gastos Bancarios</t>
  </si>
  <si>
    <t>APORTE DE LOS SOCIOS</t>
  </si>
  <si>
    <t>GANANCIAS RESERVADAS</t>
  </si>
  <si>
    <t>RESULTADOS</t>
  </si>
  <si>
    <t>TOTAL</t>
  </si>
  <si>
    <t>RUBROS</t>
  </si>
  <si>
    <t>CAPITAL</t>
  </si>
  <si>
    <t>PRIMAS DE</t>
  </si>
  <si>
    <t>APORTES NO</t>
  </si>
  <si>
    <t>RESERVA</t>
  </si>
  <si>
    <t xml:space="preserve">OTRAS </t>
  </si>
  <si>
    <t xml:space="preserve">NO </t>
  </si>
  <si>
    <t>DEL</t>
  </si>
  <si>
    <t>SOCIAL</t>
  </si>
  <si>
    <t>EMISION</t>
  </si>
  <si>
    <t>CAPITALIZ.</t>
  </si>
  <si>
    <t>REVALUOS</t>
  </si>
  <si>
    <t>LEGAL</t>
  </si>
  <si>
    <t>RESERVAS</t>
  </si>
  <si>
    <t>ASIGNADOS</t>
  </si>
  <si>
    <t>PATR.NETO</t>
  </si>
  <si>
    <t>* Distribución de Resultados Acumulados</t>
  </si>
  <si>
    <t>* Reserva Legal</t>
  </si>
  <si>
    <t>* Otras Reservas</t>
  </si>
  <si>
    <t>* Dividendos  en efectivo</t>
  </si>
  <si>
    <t>Revalúo (Anexo A)</t>
  </si>
  <si>
    <t>Integración de Capital</t>
  </si>
  <si>
    <t>Suscripción de Capital</t>
  </si>
  <si>
    <t>ORIGEN DE FONDOS</t>
  </si>
  <si>
    <t>VARIACION DE FONDOS</t>
  </si>
  <si>
    <t>Fondos al inicio del Ejercicio</t>
  </si>
  <si>
    <t>Ajustes de Ejercicios Anteriores</t>
  </si>
  <si>
    <t>FONDOS AJUSTADOS AL INICIO DEL EJERCICIO</t>
  </si>
  <si>
    <t>Aumento (Disminución) de Fondos</t>
  </si>
  <si>
    <t>FONDOS AL CIERRE DEL EJERCICIO</t>
  </si>
  <si>
    <t>CAUSAS DE VARIACION DE FONDOS</t>
  </si>
  <si>
    <t>Ventas Cobradas</t>
  </si>
  <si>
    <t>Menos: Egresos Ordinarios Pagados</t>
  </si>
  <si>
    <t>Más: Otros Ingresos Ordinarios</t>
  </si>
  <si>
    <t>FONDOS ORIGINADOS(APLICADOS EN OP.ORDIN.</t>
  </si>
  <si>
    <t>Integración de Acciones</t>
  </si>
  <si>
    <t>Nuevas Deudas a Largo Plazo</t>
  </si>
  <si>
    <t>Nuevas Deudas a Corto Plazo</t>
  </si>
  <si>
    <t>Otras causas de Orígenes de Fondos</t>
  </si>
  <si>
    <t>TOTAL DE ORIGENES DE FONDOS</t>
  </si>
  <si>
    <t>Pago de Deudas a Corto Plazo</t>
  </si>
  <si>
    <t>Pago Anticipado de Deudas a Largo Plazo</t>
  </si>
  <si>
    <t>Pagos Por Adquisiciones de Bienes de Uso</t>
  </si>
  <si>
    <t>Pago Impuesto a la Renta</t>
  </si>
  <si>
    <t>Retiros de Socios</t>
  </si>
  <si>
    <t>Compras de Inversiones Permanentes</t>
  </si>
  <si>
    <t>Otras Causas de Aplicaciones de Fondos</t>
  </si>
  <si>
    <t>AUMENTOS (DISMINUCION) DE FONDOS</t>
  </si>
  <si>
    <t>Las Notas y anexos que se acompañan son parte integrante de los Estados Contables.</t>
  </si>
  <si>
    <t>ANEXO A</t>
  </si>
  <si>
    <t>BIENES DE USO</t>
  </si>
  <si>
    <t>ALTAS Y TRANSF.</t>
  </si>
  <si>
    <t xml:space="preserve">BAJAS </t>
  </si>
  <si>
    <t>REVALUO</t>
  </si>
  <si>
    <t>AL CIERRE</t>
  </si>
  <si>
    <t>ACUMULADAS</t>
  </si>
  <si>
    <t xml:space="preserve">ALTAS </t>
  </si>
  <si>
    <t>BAJAS</t>
  </si>
  <si>
    <t>NETO</t>
  </si>
  <si>
    <t xml:space="preserve">DEL </t>
  </si>
  <si>
    <t>AL INICIO DEL</t>
  </si>
  <si>
    <t>%</t>
  </si>
  <si>
    <t>AL CIERRE DEL</t>
  </si>
  <si>
    <t>RESULTANTE</t>
  </si>
  <si>
    <t>MUEBLES Y UTILES</t>
  </si>
  <si>
    <t>EQUIPOS Y HERRAMIENTAS</t>
  </si>
  <si>
    <t>RODADOS</t>
  </si>
  <si>
    <t>MAQUINARIA E INSTALACIONES</t>
  </si>
  <si>
    <t xml:space="preserve">EDIFICIOS </t>
  </si>
  <si>
    <t>INMUEBLES</t>
  </si>
  <si>
    <t>OBRAS EN CURSO</t>
  </si>
  <si>
    <t>EQUIPOS DE INFORMATICA</t>
  </si>
  <si>
    <t>TOTALES EJERCICIO ACTUAL</t>
  </si>
  <si>
    <t>TOTALES EJERCICIO ANTERIOR</t>
  </si>
  <si>
    <t>ANEXO B</t>
  </si>
  <si>
    <t>ACTIVOS INTANGIBLES</t>
  </si>
  <si>
    <t>AUMENTOS</t>
  </si>
  <si>
    <t>DISMINUC.</t>
  </si>
  <si>
    <t>Desarrollo e Imp.Sistema Informático</t>
  </si>
  <si>
    <t>ANEXO C</t>
  </si>
  <si>
    <t>INVERSIONES, ACCIONES, DEBENTURES Y OTROS TITULOS EMITIDOS EN SERIE</t>
  </si>
  <si>
    <t>PARTICIPACION EN OTRAS EMPRESAS</t>
  </si>
  <si>
    <t>INFORMACION SOBRE EL EMISOR</t>
  </si>
  <si>
    <t>DENOMINACION Y CARACTERISTICA DE</t>
  </si>
  <si>
    <t>VALOR</t>
  </si>
  <si>
    <t xml:space="preserve">VALOR </t>
  </si>
  <si>
    <t>% DE</t>
  </si>
  <si>
    <t>ACTIVIDAD</t>
  </si>
  <si>
    <t>SEG.ULTIMO BALANCE</t>
  </si>
  <si>
    <t>LOS VALORES</t>
  </si>
  <si>
    <t>CLASE</t>
  </si>
  <si>
    <t>NOMINAL</t>
  </si>
  <si>
    <t>CANTIDAD</t>
  </si>
  <si>
    <t>PATRIMONIAL</t>
  </si>
  <si>
    <t xml:space="preserve">DE </t>
  </si>
  <si>
    <t>DE</t>
  </si>
  <si>
    <t>EMISOR</t>
  </si>
  <si>
    <t>UNITARIO</t>
  </si>
  <si>
    <t>PROPORCIONAL</t>
  </si>
  <si>
    <t>LIBROS</t>
  </si>
  <si>
    <t>COTIZACION</t>
  </si>
  <si>
    <t>PARTICIPAC.</t>
  </si>
  <si>
    <t>PRINCIPAL</t>
  </si>
  <si>
    <t>RESULTADO</t>
  </si>
  <si>
    <t>INVERSIONES</t>
  </si>
  <si>
    <t>TEMPORARIAS</t>
  </si>
  <si>
    <t>(DETALLAR)</t>
  </si>
  <si>
    <t>N   O          A  P  L  I  C  A  B  L  E</t>
  </si>
  <si>
    <t>TOTAL EJERCICIO ACTUAL</t>
  </si>
  <si>
    <t>TOTAL EJERCICIO ANTERIOR</t>
  </si>
  <si>
    <t>PERMANENTES</t>
  </si>
  <si>
    <t>ANEXO D</t>
  </si>
  <si>
    <t>OTRAS INVERSIONES</t>
  </si>
  <si>
    <t>VALOR DE</t>
  </si>
  <si>
    <t>AMORTIZACION</t>
  </si>
  <si>
    <t>VALOR REGISTRADO</t>
  </si>
  <si>
    <t>COSTO</t>
  </si>
  <si>
    <t>COTIZAC.</t>
  </si>
  <si>
    <t>AÑO ACTUAL</t>
  </si>
  <si>
    <t>AÑO ANTERIOR</t>
  </si>
  <si>
    <t>CORRIENTES</t>
  </si>
  <si>
    <t>SUBTOTAL</t>
  </si>
  <si>
    <t>NO CORRIENTES</t>
  </si>
  <si>
    <t>TOTALES EJERCICIO</t>
  </si>
  <si>
    <t>ANEXO E</t>
  </si>
  <si>
    <t>PREVISIONES</t>
  </si>
  <si>
    <t>SALDOS CIERRE AL</t>
  </si>
  <si>
    <t>(*)</t>
  </si>
  <si>
    <t>DEDUCIDAS DEL ACTIVO</t>
  </si>
  <si>
    <t>Incobrables       (Nota 5)</t>
  </si>
  <si>
    <t>(*) Indicar imputaciones en Nota al pie del Anexo</t>
  </si>
  <si>
    <t>ANEXO F</t>
  </si>
  <si>
    <t>COSTO DE MERCADERIAS O PRODUCTOS VENDIDOS O SERVICIOS PRESTADOS</t>
  </si>
  <si>
    <t>DETALLE</t>
  </si>
  <si>
    <t>I. COSTO DE MERCADERIAS O PRODUCTOS VENDIDOS</t>
  </si>
  <si>
    <t>Existencia  al Comienzo del Período</t>
  </si>
  <si>
    <t>Mercaderías de Reventa</t>
  </si>
  <si>
    <t>Productos Terminados</t>
  </si>
  <si>
    <t>Productos en Proceso</t>
  </si>
  <si>
    <t>Materias Primas y Materiales</t>
  </si>
  <si>
    <t>Otros</t>
  </si>
  <si>
    <t>Compras y Costos de Producción del Ejercicio</t>
  </si>
  <si>
    <t>a) Compras</t>
  </si>
  <si>
    <t>b) Costos de Producción según Anexo H</t>
  </si>
  <si>
    <t>Diferencia de Inventario</t>
  </si>
  <si>
    <t>Resultado por Tenencia</t>
  </si>
  <si>
    <t>Existencia al Cierre del Ejercicio</t>
  </si>
  <si>
    <t>II. COSTO DE SERVICIOS PRESTADOS</t>
  </si>
  <si>
    <t>COSTO DE MERCADERIAS O PRODUCTOS VENDIDOS</t>
  </si>
  <si>
    <t>Y SERVICIOS PRESTADOS</t>
  </si>
  <si>
    <t>ANEXO G</t>
  </si>
  <si>
    <t>ACTIVOS Y PASIVOS EN MONEDA EXTRANJERA</t>
  </si>
  <si>
    <t>MONEDA EXTRANJERA</t>
  </si>
  <si>
    <t>CAMBIO</t>
  </si>
  <si>
    <t>MONEDA LOCAL</t>
  </si>
  <si>
    <t>MONTO</t>
  </si>
  <si>
    <t>VIGENTE</t>
  </si>
  <si>
    <t>DISPONIBILIDADES (Nota 2)</t>
  </si>
  <si>
    <t>Caja</t>
  </si>
  <si>
    <t>U$S</t>
  </si>
  <si>
    <t>Banco Regional Cta. Cte.</t>
  </si>
  <si>
    <t>TOTAL DEL ACTIVO CORRIENTE</t>
  </si>
  <si>
    <t>TOTAL DEL ACTINO NO CORRIENTE</t>
  </si>
  <si>
    <t>Sobregiros Bancarios</t>
  </si>
  <si>
    <t>TOTAL DEL PASIVO CORRIENTE</t>
  </si>
  <si>
    <t>ANEXO H</t>
  </si>
  <si>
    <t>INFORMACION REQUERIDA SOBRE COSTOS Y GASTOS</t>
  </si>
  <si>
    <t>COSTO DE</t>
  </si>
  <si>
    <t xml:space="preserve">GASTOS </t>
  </si>
  <si>
    <t>GASTOS</t>
  </si>
  <si>
    <t>OTROS</t>
  </si>
  <si>
    <t>BIENES DE</t>
  </si>
  <si>
    <t>Ejercicio</t>
  </si>
  <si>
    <t>USO</t>
  </si>
  <si>
    <t>ACTIVOS</t>
  </si>
  <si>
    <t>ADMINISTRAC.</t>
  </si>
  <si>
    <t>COMERCIALIZ.</t>
  </si>
  <si>
    <t>Actual</t>
  </si>
  <si>
    <t>Anterior</t>
  </si>
  <si>
    <t>Remuneraciones de administradores, directores,</t>
  </si>
  <si>
    <t>síndicos y consejo de vigilancia.</t>
  </si>
  <si>
    <t>Honorarios  y remuneraciones por servicios.</t>
  </si>
  <si>
    <t>Sueldos y Jornales.</t>
  </si>
  <si>
    <t>Contribuciones Sociales.</t>
  </si>
  <si>
    <t>Regalías y honorarios por servicios técnicos.</t>
  </si>
  <si>
    <t>Gastos de publicidad y propaganda.</t>
  </si>
  <si>
    <t>Intereses, multas y recargos impositivos.</t>
  </si>
  <si>
    <t>Impuestos, tasas y contribuciones.</t>
  </si>
  <si>
    <t>Amortización bienes de uso.</t>
  </si>
  <si>
    <t>Amortización activos intangibles.</t>
  </si>
  <si>
    <t>Previsiones</t>
  </si>
  <si>
    <t>Otros costos y gastos</t>
  </si>
  <si>
    <t>ANEXO I</t>
  </si>
  <si>
    <t>DATOS ESTADISTICOS</t>
  </si>
  <si>
    <t>INDICADORES ACTIVOS</t>
  </si>
  <si>
    <t>ACUMULADO AL FIN DEL PERIODO</t>
  </si>
  <si>
    <t>Volúmen de Producción en Gs.</t>
  </si>
  <si>
    <t>Volúmen de Ventas en Gs.</t>
  </si>
  <si>
    <t>Cantidad de Empleados y Obreros</t>
  </si>
  <si>
    <t>Consumo de Energía en Gs.</t>
  </si>
  <si>
    <t>Edificios e Inmuebles (*)</t>
  </si>
  <si>
    <t>Distribuidores</t>
  </si>
  <si>
    <t>equivalentes o en algún índice que resulte apropiado para indicar el nivel de actividad.</t>
  </si>
  <si>
    <t>(*) La estructura edilicia de la Empresa, está compuesta por:</t>
  </si>
  <si>
    <t>Casa Matriz - Edificio de 3 plantas con sub-suelo - Asunción</t>
  </si>
  <si>
    <t xml:space="preserve">Planta Industrial - Guarambaré </t>
  </si>
  <si>
    <t>Centro de Distribución - Asunción</t>
  </si>
  <si>
    <t>Depósito 1 - Asunción</t>
  </si>
  <si>
    <t>Depósito 2 - Asunción</t>
  </si>
  <si>
    <t>Disponibilidades   (Nota 2)</t>
  </si>
  <si>
    <t>Créditos por Ventas (Nota 5)</t>
  </si>
  <si>
    <t>Otros Créditos  (Nota 6)</t>
  </si>
  <si>
    <t>Bienes de Cambio (Nota 7)</t>
  </si>
  <si>
    <t>Otros Activos (Nota 8)</t>
  </si>
  <si>
    <t>Bienes de Uso (Anexo A y Nota 9)</t>
  </si>
  <si>
    <t>PATRIMONIO NETO (Según Estado respectivo)</t>
  </si>
  <si>
    <t>Costo de las mercaderías (servicios) vendidas  (Anexo F)</t>
  </si>
  <si>
    <t>Los Activos y Pasivos en moneda  extranjera  se  encuentran valuados al tipo de cambio</t>
  </si>
  <si>
    <t>Guaraní:</t>
  </si>
  <si>
    <t>de Compra y Venta respectivamente  de  acuerdo  al  siguiente  detalle  con  relación al</t>
  </si>
  <si>
    <t>Los Créditos arrojaron  la  siguiente  composición  expuesta en Guaraníes:</t>
  </si>
  <si>
    <t>Los Otros  Créditos  arrojaron   la    siguiente    composición expuesta en Guaraníes:</t>
  </si>
  <si>
    <t>Gastos Pagados por Adelantado</t>
  </si>
  <si>
    <t xml:space="preserve">Los Bienes de  Cambio,  arrojaron la siguiente composición expuesta en Guaraníes: </t>
  </si>
  <si>
    <t xml:space="preserve">Los  Bienes de Uso,   arrojaron  la  siguiente    composición expuesta en Guaraníes: </t>
  </si>
  <si>
    <t>Préstamos a Bancos - L.P.-M/N</t>
  </si>
  <si>
    <t>Préstamos a Bancos - C.P.-M/E</t>
  </si>
  <si>
    <t>Préstamos a Bancos - L.P.-M/E</t>
  </si>
  <si>
    <t xml:space="preserve">Los  Gastos Administrativos y de Comercialización,  arrojaron la siguiente composición </t>
  </si>
  <si>
    <t>La cuenta Remuneraciones y Cargas Sociales a Pagar, arrojó la siguiente composición</t>
  </si>
  <si>
    <t xml:space="preserve">Las Deudas Financieras,  arrojaron la siguiente composición expuesta en Guaraníes: </t>
  </si>
  <si>
    <t>Las Deudas Comerciales,  arrojaron la siguiente composición  expuesta en Guaraníes:</t>
  </si>
  <si>
    <t>Equipo de Ciclismo</t>
  </si>
  <si>
    <t>Gastos del Personal</t>
  </si>
  <si>
    <t>Los Resultados Extraordinarios,  arrojaron  la siguiente composición expuesta en Gua-</t>
  </si>
  <si>
    <t>raníes.</t>
  </si>
  <si>
    <t>Los Resultados Financieros, arrojaron  la siguiente composición expuesta en Guaranies:</t>
  </si>
  <si>
    <t>TOTALES PERIODO ACTUAL</t>
  </si>
  <si>
    <t>Diferencia</t>
  </si>
  <si>
    <t>S/contabilidad</t>
  </si>
  <si>
    <t>Saldo Anterior</t>
  </si>
  <si>
    <t>-Deprec. Del ejercicio</t>
  </si>
  <si>
    <t>+S. Final Deprec. Acumulada</t>
  </si>
  <si>
    <t>-S. Inic.Dep. Acumulada</t>
  </si>
  <si>
    <t>Depreciación del Ejercicio</t>
  </si>
  <si>
    <t>+S. Fina dividendos a Pag.</t>
  </si>
  <si>
    <t>-S Inic. Dividendos a Pag.</t>
  </si>
  <si>
    <t>+S. Final Reserva Legal</t>
  </si>
  <si>
    <t>+S.Final capital</t>
  </si>
  <si>
    <t>-S.inic.de capital</t>
  </si>
  <si>
    <t>-S Inic. Reserva Legal</t>
  </si>
  <si>
    <t>-S.Inic. Resultado del Ejerc.</t>
  </si>
  <si>
    <t>+S.Final Resultado Acumul</t>
  </si>
  <si>
    <t>-S.Inic.Resultado Acumulado</t>
  </si>
  <si>
    <t>Dividendo a Pagar</t>
  </si>
  <si>
    <t>(-) (+) Dif. De Cambio</t>
  </si>
  <si>
    <t>-Pérdidas Extraordinarias</t>
  </si>
  <si>
    <t>- Gastos Financieros</t>
  </si>
  <si>
    <t>+S.Final Intereses a Vencer</t>
  </si>
  <si>
    <t>-S.Inic. Interes a Vencer</t>
  </si>
  <si>
    <t>+S.Final Ptmos</t>
  </si>
  <si>
    <t>-S Inic. Ptmo</t>
  </si>
  <si>
    <t>Prestamos e Intereses</t>
  </si>
  <si>
    <t>-S Final. Inversiones CDA</t>
  </si>
  <si>
    <t>+S Inic. Inversiones CDA</t>
  </si>
  <si>
    <t>Inversiones temporarias</t>
  </si>
  <si>
    <t>-S.Final Obras en Curso</t>
  </si>
  <si>
    <t>+S. Inicial Obras en Curso</t>
  </si>
  <si>
    <t>+Utiliz. Res.Revalúo P/ aum.capital</t>
  </si>
  <si>
    <t>+S.Final Reserva Revaluo</t>
  </si>
  <si>
    <t>-S. Inicial Reserva Revaluo</t>
  </si>
  <si>
    <t>(-) S. Final Desarrollo e Impl.Sistem.</t>
  </si>
  <si>
    <t>(+)S Inic. Desarrollo e Impl.Sistem</t>
  </si>
  <si>
    <t>(-) S. Final Mejoras en Pr.Aj.</t>
  </si>
  <si>
    <t>(+)S Inic. Mejoras en Pr.Aj.</t>
  </si>
  <si>
    <t>- S. Final Bienes de Uso</t>
  </si>
  <si>
    <t>+S Inic. Bienes de Uso</t>
  </si>
  <si>
    <t>Activo Fijo</t>
  </si>
  <si>
    <t>- Imp. a la Rta. del Ejerc.</t>
  </si>
  <si>
    <t>- S Final Anticipo Rta.</t>
  </si>
  <si>
    <t>+S. Inic.Anticipo Rta</t>
  </si>
  <si>
    <t>+S. Final Imp.a la Rta.a Pag.</t>
  </si>
  <si>
    <t>-S Inic. Imp. a la Rta a Pag.</t>
  </si>
  <si>
    <t>- S. Final Act. Intangible</t>
  </si>
  <si>
    <t>+ S. Inic. Biene fuera de operac. Act. Intang.</t>
  </si>
  <si>
    <t xml:space="preserve"> + Préstamos de Terceros</t>
  </si>
  <si>
    <t xml:space="preserve"> - Préstamos de Terceros</t>
  </si>
  <si>
    <t xml:space="preserve"> + Deuda x Comp. Act. Fijo</t>
  </si>
  <si>
    <t xml:space="preserve"> - Deuda x Comp. Act. Fijo</t>
  </si>
  <si>
    <t>+S.final alq.cobr.por adel.</t>
  </si>
  <si>
    <t>-S.inicial Alq.cobr.por adel.</t>
  </si>
  <si>
    <t>+S. Final Previsiones</t>
  </si>
  <si>
    <t>- S. Inic. Previsiones</t>
  </si>
  <si>
    <t>+S.final Provisiones varias</t>
  </si>
  <si>
    <t>-S.inicial Provisiones varias</t>
  </si>
  <si>
    <t xml:space="preserve"> + Gtos.Acumulados a Pag.</t>
  </si>
  <si>
    <t xml:space="preserve"> - Gastos Acumulados a Pag.</t>
  </si>
  <si>
    <t>+ S. Final  Prov. del Exterior</t>
  </si>
  <si>
    <t>- S. Inic. Prov. del Exterior</t>
  </si>
  <si>
    <t>+S. Final Antic. Clientes</t>
  </si>
  <si>
    <t>-S. Inic.Antic.Clientes</t>
  </si>
  <si>
    <t>-S. Final Gastos no Deveng.</t>
  </si>
  <si>
    <t>+S. Inic. Gastos no Deveng.</t>
  </si>
  <si>
    <t>- S. Final Anticipo Proveed.</t>
  </si>
  <si>
    <t>-S. Fina Imp. en Curso</t>
  </si>
  <si>
    <t>+S. Inic. Anticipo Proveed.</t>
  </si>
  <si>
    <t>+ S. Inic. Import.en curso</t>
  </si>
  <si>
    <t>+Gasto Impuestos</t>
  </si>
  <si>
    <t>+ Gasto de sueldos</t>
  </si>
  <si>
    <t>+Depreciacion del Ejercicio</t>
  </si>
  <si>
    <t>-Otros Gtos.</t>
  </si>
  <si>
    <t>- Gastos de Ventas</t>
  </si>
  <si>
    <t>- Gastos Administrativos</t>
  </si>
  <si>
    <t>-Gastos Operacionales</t>
  </si>
  <si>
    <t>Pago a Proveedores</t>
  </si>
  <si>
    <t>-Impuestos</t>
  </si>
  <si>
    <t>+S. Final de Ret. Imp.</t>
  </si>
  <si>
    <t>- S.Inic. Ret. De Imp.</t>
  </si>
  <si>
    <t>Impuestos</t>
  </si>
  <si>
    <t>-S.final adel.vacac.</t>
  </si>
  <si>
    <t>+ S. Final Ap. y Ret a Pagar</t>
  </si>
  <si>
    <t>+ Saldo final redondeo</t>
  </si>
  <si>
    <t>+S.Final Oblig.Legal Personal</t>
  </si>
  <si>
    <t>Comisiones</t>
  </si>
  <si>
    <t>Remuneración Gerentes</t>
  </si>
  <si>
    <t>Remuneración Directores</t>
  </si>
  <si>
    <t>Beneficios Sociales</t>
  </si>
  <si>
    <t>Indemnizaciones</t>
  </si>
  <si>
    <t>Vacaciones</t>
  </si>
  <si>
    <t>Aguinaldos</t>
  </si>
  <si>
    <t>Sueldos</t>
  </si>
  <si>
    <t>-S.Inicial Redondeo</t>
  </si>
  <si>
    <t>-S.Inicial Oblig.legal pnal.</t>
  </si>
  <si>
    <t>-S.Inic. Ap. y Ret. A pag.</t>
  </si>
  <si>
    <t>-S. Inicial Antic.a Empleados</t>
  </si>
  <si>
    <t>Pago a Empleados</t>
  </si>
  <si>
    <t>-Costo de Ventas</t>
  </si>
  <si>
    <t>- S.Final Mercaderias</t>
  </si>
  <si>
    <t>+S. Inic. Mercaderías</t>
  </si>
  <si>
    <t>COSTO DE VENTAS</t>
  </si>
  <si>
    <t>- S.FINAL CLIENTES</t>
  </si>
  <si>
    <t xml:space="preserve"> - Créditos en Gestión</t>
  </si>
  <si>
    <t xml:space="preserve"> +Créditos en Gestión</t>
  </si>
  <si>
    <t xml:space="preserve"> - Otros Valores(en suspenso)</t>
  </si>
  <si>
    <t xml:space="preserve"> + Otros Valores(en suspenso)</t>
  </si>
  <si>
    <t>- Saldo Final. Gtia.de Alquiler</t>
  </si>
  <si>
    <t xml:space="preserve"> + Saldo Inic. Gtia.de Alquiler</t>
  </si>
  <si>
    <t xml:space="preserve"> - Saldo Final Credito Fiscal</t>
  </si>
  <si>
    <t xml:space="preserve"> + Saldo Inic. Credito Fiscal</t>
  </si>
  <si>
    <t>- Saldo Final Activos Diferidos</t>
  </si>
  <si>
    <t>+ Saldo Inicial Activos Diferidos</t>
  </si>
  <si>
    <t xml:space="preserve"> - Saldo Final Doc.a cobrar a Empl.</t>
  </si>
  <si>
    <t xml:space="preserve"> + Saldo Inic.Doc. a cobrar a Empl.</t>
  </si>
  <si>
    <t>- S. Final Otros Créditos</t>
  </si>
  <si>
    <t>+ S. Inic.Otros Créditos</t>
  </si>
  <si>
    <t>+ Ingresos Varios</t>
  </si>
  <si>
    <t>+ S.INIC. CLIENTES</t>
  </si>
  <si>
    <t>Ingresos por vta</t>
  </si>
  <si>
    <t>1-)</t>
  </si>
  <si>
    <t>AL</t>
  </si>
  <si>
    <t>TOTAL PERIODO ANTERIOR</t>
  </si>
  <si>
    <t>DEUDAS COMERCIALES (Nota 11)</t>
  </si>
  <si>
    <t>DEUDAS FINANCIERAS (Nota 12)</t>
  </si>
  <si>
    <t>ITAU-Préstamo</t>
  </si>
  <si>
    <t xml:space="preserve">ITAU-Préstamo </t>
  </si>
  <si>
    <t>Anticipos de Clientes</t>
  </si>
  <si>
    <t>+S. Final Antic.a Empleados</t>
  </si>
  <si>
    <r>
      <rPr>
        <b/>
        <sz val="14"/>
        <color indexed="8"/>
        <rFont val="Calibri"/>
        <family val="2"/>
      </rPr>
      <t>"IMPORT    CENTER   SOCIEDAD    ANONIMA"</t>
    </r>
    <r>
      <rPr>
        <sz val="14"/>
        <color indexed="8"/>
        <rFont val="Calibri"/>
        <family val="2"/>
      </rPr>
      <t xml:space="preserve">,   </t>
    </r>
    <r>
      <rPr>
        <sz val="11"/>
        <color indexed="8"/>
        <rFont val="Calibri"/>
        <family val="2"/>
      </rPr>
      <t>con  RUC.  Nº  80021505-2</t>
    </r>
  </si>
  <si>
    <t>Otros Gastos a Vencer</t>
  </si>
  <si>
    <t>Seguros a Vencer</t>
  </si>
  <si>
    <t>SALDOS AL CIERRE                  NETO</t>
  </si>
  <si>
    <t xml:space="preserve">                                         DEL PERIODO                    RESULTANTE</t>
  </si>
  <si>
    <t>Desarrollo e Impl.Sist. Inform.</t>
  </si>
  <si>
    <t>FINANCIEROS</t>
  </si>
  <si>
    <t>del periodo</t>
  </si>
  <si>
    <t xml:space="preserve">excluido el Resultado </t>
  </si>
  <si>
    <t xml:space="preserve">        Patrimonio Neto</t>
  </si>
  <si>
    <t xml:space="preserve">           Pasivo Corriente</t>
  </si>
  <si>
    <r>
      <t xml:space="preserve">(3)    </t>
    </r>
    <r>
      <rPr>
        <u val="single"/>
        <sz val="8"/>
        <color indexed="8"/>
        <rFont val="Calibri"/>
        <family val="2"/>
      </rPr>
      <t xml:space="preserve"> Imp. A la Renta</t>
    </r>
  </si>
  <si>
    <r>
      <t xml:space="preserve">(2)   </t>
    </r>
    <r>
      <rPr>
        <u val="single"/>
        <sz val="8"/>
        <color indexed="8"/>
        <rFont val="Calibri"/>
        <family val="2"/>
      </rPr>
      <t>Total del Pasivo</t>
    </r>
  </si>
  <si>
    <r>
      <t xml:space="preserve">(1)      </t>
    </r>
    <r>
      <rPr>
        <u val="single"/>
        <sz val="8"/>
        <color indexed="8"/>
        <rFont val="Calibri"/>
        <family val="2"/>
      </rPr>
      <t>Activo Corriente</t>
    </r>
  </si>
  <si>
    <t xml:space="preserve">     Result.antes del</t>
  </si>
  <si>
    <t>RENTABILIDAD (3)</t>
  </si>
  <si>
    <t>ENDEUDAMIENTO (2)</t>
  </si>
  <si>
    <t>LIQUIDEZ (1)</t>
  </si>
  <si>
    <t>INDICES</t>
  </si>
  <si>
    <t>INDICES ECONOMICOS - FINANCIEROS</t>
  </si>
  <si>
    <t>ANEXO J</t>
  </si>
  <si>
    <t>+ Ventas  Netas del año</t>
  </si>
  <si>
    <t>-Saldo Inicial Aguinal.a Pagar</t>
  </si>
  <si>
    <t>+Saldo final Aguinal.a Pagar</t>
  </si>
  <si>
    <t>(-) S. Inic. Ret.IVA a Pagar</t>
  </si>
  <si>
    <t>(+ )S. Final Ret.IVA a Pagar</t>
  </si>
  <si>
    <t>Depreciaciones</t>
  </si>
  <si>
    <t>IVA Gasto</t>
  </si>
  <si>
    <t>Gastos Judiciales</t>
  </si>
  <si>
    <t>Ganancia del Período según Estado de Resultados</t>
  </si>
  <si>
    <t>Nota:   El volúmen   de   operaciones   podrá   consignarse   en  unidades  físicas, en unidades</t>
  </si>
  <si>
    <t>(+) S. Inicial Créditos Fiscales</t>
  </si>
  <si>
    <t>(-) S. Final Créditos Fiscales</t>
  </si>
  <si>
    <t>(+ )S. Final Deudas Fiscales</t>
  </si>
  <si>
    <t>=-S. Inic.Deudas Comeciales</t>
  </si>
  <si>
    <t>=+ S. Final Deudas Comerciales</t>
  </si>
  <si>
    <t>=- S. Inic. Deudas Bancarias</t>
  </si>
  <si>
    <t>=+S. Final Deudas Bancarias</t>
  </si>
  <si>
    <t>(-) S. Inic. Deudas Fiscales</t>
  </si>
  <si>
    <t>Inter.s/Prést a Devengar - C.P.-M/N</t>
  </si>
  <si>
    <t>Inter. s/Prést.a Pagar - C.P.-M/N</t>
  </si>
  <si>
    <t>Inter.s/Bonos a Pagar - C.P.-M/N</t>
  </si>
  <si>
    <t>Inter.s/Bonos a Devengar - C.P.</t>
  </si>
  <si>
    <t>Bonos a Pagar - L.P.</t>
  </si>
  <si>
    <t>Inter. a Devengar - L.P.-M/N</t>
  </si>
  <si>
    <t>Inter. s/Prést.a Pagar - L.P.-M/N</t>
  </si>
  <si>
    <t>Inter.s/Bonos a Pagar - L.P.-M/N</t>
  </si>
  <si>
    <t>Inter.s/Bonos a Vencer - L.P.</t>
  </si>
  <si>
    <t>Utilidad Vta. Bienes de Uso</t>
  </si>
  <si>
    <t>Intereses s/Bonos Emitidos</t>
  </si>
  <si>
    <t>* Resultado del Periodo</t>
  </si>
  <si>
    <t>Proveedores Locales M/E</t>
  </si>
  <si>
    <t>CREDITOS POR VENTAS (Nota 5)</t>
  </si>
  <si>
    <t>Materia Prima Loc. + Costo de Fabric.</t>
  </si>
  <si>
    <t>PROVIS.DEAC</t>
  </si>
  <si>
    <t>C.A. DEAC PROPORC</t>
  </si>
  <si>
    <t>Inter. s/Prést.a Pagar - L.P.-M/E</t>
  </si>
  <si>
    <t>Inter. s/Prést.a Pagar - C.P.-M/E</t>
  </si>
  <si>
    <t>Cursos de Capacitación</t>
  </si>
  <si>
    <t>Gastos de Suscripciones</t>
  </si>
  <si>
    <t xml:space="preserve">TOTAL DEL PASIVO </t>
  </si>
  <si>
    <t>Intereses s/Préstamo U$S-C.P.</t>
  </si>
  <si>
    <t>Intereses s/Préstamo U$S-L.P.</t>
  </si>
  <si>
    <t>Banco GNB-C.Ah.</t>
  </si>
  <si>
    <t>Fletes y Acarreos</t>
  </si>
  <si>
    <t>Activos Intangibles (Anexo B )</t>
  </si>
  <si>
    <t>Intereses a bancos,instituciones financieras y bonos</t>
  </si>
  <si>
    <t>Inversiones Permanentes  (Anexos C y D )</t>
  </si>
  <si>
    <t>Inversiones Temporarias (Anexo C)</t>
  </si>
  <si>
    <t>Chqs.Emitidos en Difer.Regional U$S</t>
  </si>
  <si>
    <t>Cheques Emitidos Dif.Regional</t>
  </si>
  <si>
    <t>Banco BBVA - C.Ah.</t>
  </si>
  <si>
    <t>Bonos a Pagar - C.P.</t>
  </si>
  <si>
    <t xml:space="preserve">Los  Otros Activos,   arrojaron  la  siguiente    composición expuesta en Guaraníes: </t>
  </si>
  <si>
    <t>Operaciones en Curso</t>
  </si>
  <si>
    <t>NOTA 10: COMERCIALES (ANEXO G)</t>
  </si>
  <si>
    <t>Cuentas a Pagar (Nota 10)</t>
  </si>
  <si>
    <t>NOTA 11: FINANCIERAS</t>
  </si>
  <si>
    <t>Deudas Financieras  (Nota 11)</t>
  </si>
  <si>
    <t>Deudas Financieras (Nota 11)</t>
  </si>
  <si>
    <t>NOTA 12: REMUNERACIONES Y CARGAS SOCIALES A PAGAR</t>
  </si>
  <si>
    <t>Remuneraciones y Cargas Sociales a Pagar (Nota 12)</t>
  </si>
  <si>
    <t>NOTA 13: GASTOS ADMINISTRATIVOS Y DE COMERCIALIZACION (ANEXO H)</t>
  </si>
  <si>
    <t>Gastos Administrativos y de Comercialización (Nota 13)</t>
  </si>
  <si>
    <t>NOTA 14: RESULTADOS EXTRAORDINARIOS</t>
  </si>
  <si>
    <t>Resultados Extraordinarios (Nota 14)</t>
  </si>
  <si>
    <t>NOTA 15: RESULTADOS FINANCIEROS</t>
  </si>
  <si>
    <t>Resultado Financiero y por tenencia (Nota 15)</t>
  </si>
  <si>
    <t>Sueldos y Jornales a Pagar</t>
  </si>
  <si>
    <t>Descuentos Concedidos Gravadas</t>
  </si>
  <si>
    <t>Descuentos Concedidos Exentas</t>
  </si>
  <si>
    <t>SALDOS AL INICIO</t>
  </si>
  <si>
    <t>DEL EJERCICIO</t>
  </si>
  <si>
    <t xml:space="preserve">Impuesto a la Renta </t>
  </si>
  <si>
    <t>Reserva Legal</t>
  </si>
  <si>
    <t xml:space="preserve">TOTAL DEL ACTIVO </t>
  </si>
  <si>
    <t>ORDINARIAS VOTO SIMPLE</t>
  </si>
  <si>
    <t>ORDINARIAS VOTO MULTIPLE</t>
  </si>
  <si>
    <t>cada una</t>
  </si>
  <si>
    <t>Gs.</t>
  </si>
  <si>
    <t>que otorga</t>
  </si>
  <si>
    <t>Tipo</t>
  </si>
  <si>
    <t>Integrado</t>
  </si>
  <si>
    <t>Suscripto</t>
  </si>
  <si>
    <t>Nº de Votos</t>
  </si>
  <si>
    <t>Cantidad</t>
  </si>
  <si>
    <t>Guaraníes un millón cada una.</t>
  </si>
  <si>
    <t>Acciones:</t>
  </si>
  <si>
    <t>Simple.</t>
  </si>
  <si>
    <t xml:space="preserve">Acciones Ordinarias de Voto Múltiple y Acciones Ordinarias de Voto </t>
  </si>
  <si>
    <t>Composición del Capital:</t>
  </si>
  <si>
    <r>
      <rPr>
        <b/>
        <sz val="11"/>
        <color indexed="8"/>
        <rFont val="Calibri"/>
        <family val="2"/>
      </rPr>
      <t>Fecha de Vencimiento del Estatuto o Contrato Social</t>
    </r>
    <r>
      <rPr>
        <sz val="11"/>
        <color theme="1"/>
        <rFont val="Calibri"/>
        <family val="2"/>
      </rPr>
      <t xml:space="preserve">:  </t>
    </r>
  </si>
  <si>
    <t>Resolución Nº 78E/13 del 26-12-13</t>
  </si>
  <si>
    <t>Nacional de Valores</t>
  </si>
  <si>
    <t>Inscripción en la Comisión</t>
  </si>
  <si>
    <t>de Comercio</t>
  </si>
  <si>
    <t>Registro Público</t>
  </si>
  <si>
    <r>
      <rPr>
        <b/>
        <sz val="11"/>
        <color indexed="8"/>
        <rFont val="Calibri"/>
        <family val="2"/>
      </rPr>
      <t>De  los   Estatutos  Sociales o Contrato Social:</t>
    </r>
    <r>
      <rPr>
        <sz val="11"/>
        <color theme="1"/>
        <rFont val="Calibri"/>
        <family val="2"/>
      </rPr>
      <t xml:space="preserve">  Nº   352  del  26-05-2000.</t>
    </r>
  </si>
  <si>
    <t>Inscripción en el</t>
  </si>
  <si>
    <t>Importación,   representación,   distribución   y    producción.</t>
  </si>
  <si>
    <t>Actividad Principal:</t>
  </si>
  <si>
    <t>Avenida   República   Argentina  Nº  1851  casi  Avenida  Eusebio Ayala.</t>
  </si>
  <si>
    <t>Domicilio Legal:</t>
  </si>
  <si>
    <t>Denominación:</t>
  </si>
  <si>
    <t>ESTADOS FINANCIEROS</t>
  </si>
  <si>
    <t xml:space="preserve">Previsiones </t>
  </si>
  <si>
    <t>Créditos por Ventas  (Nota 5 y Anexo E)</t>
  </si>
  <si>
    <t>Inmuebles</t>
  </si>
  <si>
    <t>Aguinaldos a Pagar</t>
  </si>
  <si>
    <t xml:space="preserve">SALDOS  CIERRE </t>
  </si>
  <si>
    <t>Aportes y Retenciones a Pagar</t>
  </si>
  <si>
    <t>Gastos de Informática a Devengar</t>
  </si>
  <si>
    <t>Reclasificación de Cuentas *</t>
  </si>
  <si>
    <t>OTROS CREDITOS (Nota 6)</t>
  </si>
  <si>
    <t>Anticipo a Proveedores</t>
  </si>
  <si>
    <r>
      <rPr>
        <b/>
        <sz val="11"/>
        <color indexed="8"/>
        <rFont val="Calibri"/>
        <family val="2"/>
      </rPr>
      <t>(Guaraníes quince mil millones.-)</t>
    </r>
    <r>
      <rPr>
        <sz val="11"/>
        <color theme="1"/>
        <rFont val="Calibri"/>
        <family val="2"/>
      </rPr>
      <t>, hallándose integrado la totalidad del mismo.-</t>
    </r>
  </si>
  <si>
    <t>Anticipo a Despachante</t>
  </si>
  <si>
    <t>Anticipo de Utilidades Futuras</t>
  </si>
  <si>
    <t>Materia Prima Local en Proceso</t>
  </si>
  <si>
    <t>Proveedores del Exterior</t>
  </si>
  <si>
    <t>Anexo 1 Res. CG Nº 23/16</t>
  </si>
  <si>
    <t>Situación</t>
  </si>
  <si>
    <t>Monto</t>
  </si>
  <si>
    <t>En Guaraníes</t>
  </si>
  <si>
    <t>A.  Cartera no Vencida</t>
  </si>
  <si>
    <t>B.  Cartera Vencida</t>
  </si>
  <si>
    <t>(En Guaraníes)</t>
  </si>
  <si>
    <t>(En Porcentaje)</t>
  </si>
  <si>
    <t>B.1  Normal</t>
  </si>
  <si>
    <t>B.2  En Gestión de Cobro</t>
  </si>
  <si>
    <t>TOTAL DE LA CARTERA</t>
  </si>
  <si>
    <t>Observaciones</t>
  </si>
  <si>
    <t>Criterios de Clasificación Utilizados</t>
  </si>
  <si>
    <t>Normal</t>
  </si>
  <si>
    <t>En Gestión de Cobro</t>
  </si>
  <si>
    <t>En Gestión de Cobro Judicial</t>
  </si>
  <si>
    <t>Gastos de Represent.y Viajes</t>
  </si>
  <si>
    <t>Lic. Cándido Parra</t>
  </si>
  <si>
    <t>Síndico Titular</t>
  </si>
  <si>
    <t>Gabriel Cuttier C.</t>
  </si>
  <si>
    <t>Presidente</t>
  </si>
  <si>
    <t>Clientes Gs.</t>
  </si>
  <si>
    <t>Clientes U$S.</t>
  </si>
  <si>
    <t>Cheques a Depositar - Gs.</t>
  </si>
  <si>
    <t>Cheques a Depositar - U$S.</t>
  </si>
  <si>
    <t>Documentos a Cobrar</t>
  </si>
  <si>
    <t>Anticipo p/ Gtos.a Rendir</t>
  </si>
  <si>
    <t>Préstamos a Directores</t>
  </si>
  <si>
    <t>Gastos Portuarios</t>
  </si>
  <si>
    <t>de 731 días de atraso  en adelante</t>
  </si>
  <si>
    <t>* Liquidación de Créditos de Ejercicios Anteriores</t>
  </si>
  <si>
    <t>de 181  a 365 días de atraso</t>
  </si>
  <si>
    <t>de 366 a 730 días de atraso</t>
  </si>
  <si>
    <t>La cartera No Vencida, la componen los saldos de Clientes y Cheques Rechazados cuyas</t>
  </si>
  <si>
    <t>fechas de cobro no superan el plazo de 180 días</t>
  </si>
  <si>
    <t>B. Total de la Cartera Vencida</t>
  </si>
  <si>
    <t>La Normal está compuesta por saldos con atrasos entre 181 días a 365 días.  Sobre éstos</t>
  </si>
  <si>
    <t>creamos una Previsión para Incobrables del 20%</t>
  </si>
  <si>
    <t xml:space="preserve">La cartera en Gestión de Cobro está compuesta por saldos con atrasos entre 366 días y </t>
  </si>
  <si>
    <t>730 días. La Previsión para Incobrables sobre los mismos es del 50%.</t>
  </si>
  <si>
    <t xml:space="preserve">de cada  uno  de  los  créditos.  </t>
  </si>
  <si>
    <t>La Cartera Vencida está compuesta de acuerdo a la siguiente  clasificación:</t>
  </si>
  <si>
    <t>Activo Corriente</t>
  </si>
  <si>
    <t>Activo No Corriente</t>
  </si>
  <si>
    <t>Previsiones Acumuladas</t>
  </si>
  <si>
    <t>B.3  En Gestión de Cobro Judicial</t>
  </si>
  <si>
    <t>Créditos Vencidos Incobr. - GND</t>
  </si>
  <si>
    <t>Previsión p/Malos Créditos</t>
  </si>
  <si>
    <t>Se constituyen previsiones sobre las cuentas de dudoso cobro o  de  difícil recuperabili-</t>
  </si>
  <si>
    <t>lúo fiscal de acuerdo a la Ley Nº 125/91.</t>
  </si>
  <si>
    <r>
      <rPr>
        <b/>
        <sz val="11"/>
        <color indexed="8"/>
        <rFont val="Calibri"/>
        <family val="2"/>
      </rPr>
      <t>De las Modificaciones:</t>
    </r>
    <r>
      <rPr>
        <sz val="11"/>
        <color theme="1"/>
        <rFont val="Calibri"/>
        <family val="2"/>
      </rPr>
      <t xml:space="preserve">   Escritura   Pública    Nº   14   de   fecha </t>
    </r>
  </si>
  <si>
    <t>31-07-13,     inscripta    bajo   el    Nº   1310,   folio   Nº   14070  de   fecha</t>
  </si>
  <si>
    <t>22-10-13.</t>
  </si>
  <si>
    <t>Garantía de Alquiler</t>
  </si>
  <si>
    <t>OTROS AJUSTES</t>
  </si>
  <si>
    <t>Y RECLASIF.</t>
  </si>
  <si>
    <t>Retenciones IVA a aplicar</t>
  </si>
  <si>
    <t>Retenc. Imp.a la Rta. a aplicar</t>
  </si>
  <si>
    <t>Regional-Tarj.de Credito</t>
  </si>
  <si>
    <t>Servicios Contratados</t>
  </si>
  <si>
    <t>Créditos Vencidos Incobr. - GD</t>
  </si>
  <si>
    <t>Al 31/12/19</t>
  </si>
  <si>
    <t>Mercaderías PAN - Ley 4838/12</t>
  </si>
  <si>
    <t>Total 31/12/19</t>
  </si>
  <si>
    <t>BNF. Gs. - Sobregiro</t>
  </si>
  <si>
    <t>Gastos de Seguridad y Vigilancia</t>
  </si>
  <si>
    <t>Pérdidas por robos y extravíos</t>
  </si>
  <si>
    <t>Saldos al 31 de Diciembre de 2019</t>
  </si>
  <si>
    <t>TOTALES AL 31/12/19</t>
  </si>
  <si>
    <t>ç</t>
  </si>
  <si>
    <t>en forma comparativa con el Ejercicio anterior.</t>
  </si>
  <si>
    <t xml:space="preserve">COMPARATIVO CON EL ESTADO CERRADO AL 31/12/19 </t>
  </si>
  <si>
    <t xml:space="preserve">ESTADO DE EVOLUCION DEL PATRIMONIO NETO POR EL PERIODO COMPRENDIDO ENTRE EL 01/01/20 Y </t>
  </si>
  <si>
    <t>AL 31/12/19</t>
  </si>
  <si>
    <t>Cheques Rechazados</t>
  </si>
  <si>
    <t>COMPARATIVO CON EL PERIODO CERRADO AL 31/12/19</t>
  </si>
  <si>
    <t>Correspondientes  al  período  iniciado  el  1º de Enero del año 2020 al 30 de Junio de 2020,   presentado</t>
  </si>
  <si>
    <r>
      <t xml:space="preserve">Al </t>
    </r>
    <r>
      <rPr>
        <sz val="9"/>
        <color indexed="8"/>
        <rFont val="Calibri"/>
        <family val="2"/>
      </rPr>
      <t>30</t>
    </r>
    <r>
      <rPr>
        <sz val="11"/>
        <color theme="1"/>
        <rFont val="Calibri"/>
        <family val="2"/>
      </rPr>
      <t xml:space="preserve"> de Junio </t>
    </r>
    <r>
      <rPr>
        <sz val="9"/>
        <color indexed="8"/>
        <rFont val="Calibri"/>
        <family val="2"/>
      </rPr>
      <t>2020</t>
    </r>
    <r>
      <rPr>
        <sz val="11"/>
        <color theme="1"/>
        <rFont val="Calibri"/>
        <family val="2"/>
      </rPr>
      <t xml:space="preserve"> y al </t>
    </r>
    <r>
      <rPr>
        <sz val="9"/>
        <color indexed="8"/>
        <rFont val="Calibri"/>
        <family val="2"/>
      </rPr>
      <t>31</t>
    </r>
    <r>
      <rPr>
        <sz val="11"/>
        <color theme="1"/>
        <rFont val="Calibri"/>
        <family val="2"/>
      </rPr>
      <t xml:space="preserve"> de Diciembre  </t>
    </r>
    <r>
      <rPr>
        <sz val="9"/>
        <color indexed="8"/>
        <rFont val="Calibri"/>
        <family val="2"/>
      </rPr>
      <t>2019</t>
    </r>
    <r>
      <rPr>
        <sz val="11"/>
        <color theme="1"/>
        <rFont val="Calibri"/>
        <family val="2"/>
      </rPr>
      <t>, la disponibilidad está compuesta por:</t>
    </r>
  </si>
  <si>
    <r>
      <t xml:space="preserve">Al  </t>
    </r>
    <r>
      <rPr>
        <sz val="9"/>
        <color indexed="8"/>
        <rFont val="Calibri"/>
        <family val="2"/>
      </rPr>
      <t>30</t>
    </r>
    <r>
      <rPr>
        <sz val="11"/>
        <color theme="1"/>
        <rFont val="Calibri"/>
        <family val="2"/>
      </rPr>
      <t xml:space="preserve">  de  Junio de  </t>
    </r>
    <r>
      <rPr>
        <sz val="9"/>
        <color indexed="8"/>
        <rFont val="Calibri"/>
        <family val="2"/>
      </rPr>
      <t>2020</t>
    </r>
    <r>
      <rPr>
        <sz val="11"/>
        <color theme="1"/>
        <rFont val="Calibri"/>
        <family val="2"/>
      </rPr>
      <t xml:space="preserve">, el Capital  Social  asciende a la  suma  de </t>
    </r>
    <r>
      <rPr>
        <b/>
        <sz val="9"/>
        <color indexed="8"/>
        <rFont val="Calibri"/>
        <family val="2"/>
      </rPr>
      <t>Gs.15.000.000.000</t>
    </r>
    <r>
      <rPr>
        <sz val="9"/>
        <color indexed="8"/>
        <rFont val="Calibri"/>
        <family val="2"/>
      </rPr>
      <t>.-</t>
    </r>
  </si>
  <si>
    <t>Al 30/06/20</t>
  </si>
  <si>
    <t>Composición de la Cartera de Créditos al 30/06/20</t>
  </si>
  <si>
    <t>Total 30/06/20</t>
  </si>
  <si>
    <t>EL 30/06/20 CON CIFRAS COMPARATIVAS AL 31/12/2019</t>
  </si>
  <si>
    <t>Saldos al 30 de Junio de 2020</t>
  </si>
  <si>
    <t>BALANCE GENERAL AL 30/06/20</t>
  </si>
  <si>
    <t>TOTALES AL 30/06/20</t>
  </si>
  <si>
    <t>ESTADO DE SITUACIÓN PATRIMONIAL AL 30/06/20</t>
  </si>
  <si>
    <t>ESTADO DE RESULTADOS AL 30/06/20</t>
  </si>
  <si>
    <t>COMPARATIVO CON EL ESTADO CERRADO AL 30/06/19</t>
  </si>
  <si>
    <t>ESTADO DE ORIGEN Y APLICACIÓN DE FONDOS AL 30/06/20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</si>
</sst>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[$-C0A]dddd\,\ dd&quot; de &quot;mmmm&quot; de &quot;yyyy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color indexed="8"/>
      <name val="Arial"/>
      <family val="2"/>
    </font>
    <font>
      <i/>
      <sz val="10"/>
      <color indexed="8"/>
      <name val="Arial"/>
      <family val="2"/>
    </font>
    <font>
      <u val="single"/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6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sz val="28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1"/>
      <color indexed="8"/>
      <name val="Calibri"/>
      <family val="2"/>
    </font>
    <font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8"/>
      <color indexed="8"/>
      <name val="Calibri"/>
      <family val="2"/>
    </font>
    <font>
      <b/>
      <sz val="11"/>
      <color indexed="10"/>
      <name val="Calibri"/>
      <family val="2"/>
    </font>
    <font>
      <b/>
      <sz val="20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28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u val="single"/>
      <sz val="11"/>
      <color theme="1"/>
      <name val="Calibri"/>
      <family val="2"/>
    </font>
    <font>
      <sz val="12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8"/>
      <color theme="1"/>
      <name val="Calibri"/>
      <family val="2"/>
    </font>
    <font>
      <b/>
      <sz val="11"/>
      <color rgb="FFFF0000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580">
    <xf numFmtId="0" fontId="0" fillId="0" borderId="0" xfId="0" applyFont="1" applyAlignment="1">
      <alignment/>
    </xf>
    <xf numFmtId="0" fontId="60" fillId="0" borderId="10" xfId="0" applyFont="1" applyBorder="1" applyAlignment="1">
      <alignment/>
    </xf>
    <xf numFmtId="0" fontId="60" fillId="0" borderId="11" xfId="0" applyFont="1" applyBorder="1" applyAlignment="1">
      <alignment/>
    </xf>
    <xf numFmtId="0" fontId="60" fillId="0" borderId="12" xfId="0" applyFont="1" applyBorder="1" applyAlignment="1">
      <alignment/>
    </xf>
    <xf numFmtId="14" fontId="60" fillId="0" borderId="13" xfId="0" applyNumberFormat="1" applyFont="1" applyBorder="1" applyAlignment="1">
      <alignment/>
    </xf>
    <xf numFmtId="0" fontId="60" fillId="0" borderId="14" xfId="0" applyFont="1" applyBorder="1" applyAlignment="1">
      <alignment/>
    </xf>
    <xf numFmtId="0" fontId="60" fillId="0" borderId="0" xfId="0" applyFont="1" applyAlignment="1">
      <alignment/>
    </xf>
    <xf numFmtId="3" fontId="60" fillId="0" borderId="14" xfId="0" applyNumberFormat="1" applyFont="1" applyBorder="1" applyAlignment="1">
      <alignment/>
    </xf>
    <xf numFmtId="3" fontId="60" fillId="0" borderId="15" xfId="0" applyNumberFormat="1" applyFont="1" applyBorder="1" applyAlignment="1">
      <alignment/>
    </xf>
    <xf numFmtId="3" fontId="60" fillId="0" borderId="0" xfId="0" applyNumberFormat="1" applyFont="1" applyAlignment="1">
      <alignment/>
    </xf>
    <xf numFmtId="3" fontId="60" fillId="0" borderId="16" xfId="0" applyNumberFormat="1" applyFont="1" applyBorder="1" applyAlignment="1">
      <alignment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7" xfId="0" applyNumberFormat="1" applyBorder="1" applyAlignment="1">
      <alignment/>
    </xf>
    <xf numFmtId="3" fontId="60" fillId="0" borderId="13" xfId="0" applyNumberFormat="1" applyFont="1" applyBorder="1" applyAlignment="1">
      <alignment/>
    </xf>
    <xf numFmtId="3" fontId="60" fillId="0" borderId="17" xfId="0" applyNumberFormat="1" applyFont="1" applyBorder="1" applyAlignment="1">
      <alignment/>
    </xf>
    <xf numFmtId="3" fontId="60" fillId="0" borderId="12" xfId="0" applyNumberFormat="1" applyFont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Border="1" applyAlignment="1">
      <alignment/>
    </xf>
    <xf numFmtId="3" fontId="60" fillId="0" borderId="0" xfId="0" applyNumberFormat="1" applyFont="1" applyBorder="1" applyAlignment="1">
      <alignment/>
    </xf>
    <xf numFmtId="3" fontId="60" fillId="0" borderId="14" xfId="0" applyNumberFormat="1" applyFont="1" applyFill="1" applyBorder="1" applyAlignment="1">
      <alignment/>
    </xf>
    <xf numFmtId="0" fontId="60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3" fontId="60" fillId="0" borderId="19" xfId="0" applyNumberFormat="1" applyFon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14" fontId="60" fillId="0" borderId="12" xfId="0" applyNumberFormat="1" applyFont="1" applyBorder="1" applyAlignment="1">
      <alignment/>
    </xf>
    <xf numFmtId="0" fontId="60" fillId="0" borderId="14" xfId="0" applyFont="1" applyBorder="1" applyAlignment="1">
      <alignment horizontal="left"/>
    </xf>
    <xf numFmtId="0" fontId="60" fillId="0" borderId="0" xfId="0" applyFont="1" applyBorder="1" applyAlignment="1">
      <alignment horizontal="center"/>
    </xf>
    <xf numFmtId="14" fontId="60" fillId="0" borderId="14" xfId="0" applyNumberFormat="1" applyFont="1" applyBorder="1" applyAlignment="1">
      <alignment/>
    </xf>
    <xf numFmtId="3" fontId="60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14" fontId="60" fillId="0" borderId="22" xfId="0" applyNumberFormat="1" applyFont="1" applyBorder="1" applyAlignment="1">
      <alignment/>
    </xf>
    <xf numFmtId="14" fontId="60" fillId="0" borderId="13" xfId="0" applyNumberFormat="1" applyFont="1" applyBorder="1" applyAlignment="1">
      <alignment horizontal="center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14" fontId="0" fillId="0" borderId="13" xfId="0" applyNumberFormat="1" applyBorder="1" applyAlignment="1">
      <alignment/>
    </xf>
    <xf numFmtId="3" fontId="0" fillId="0" borderId="23" xfId="0" applyNumberFormat="1" applyBorder="1" applyAlignment="1">
      <alignment/>
    </xf>
    <xf numFmtId="0" fontId="60" fillId="0" borderId="0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/>
    </xf>
    <xf numFmtId="4" fontId="0" fillId="0" borderId="13" xfId="0" applyNumberFormat="1" applyBorder="1" applyAlignment="1">
      <alignment horizontal="center"/>
    </xf>
    <xf numFmtId="4" fontId="0" fillId="0" borderId="0" xfId="0" applyNumberFormat="1" applyBorder="1" applyAlignment="1">
      <alignment/>
    </xf>
    <xf numFmtId="14" fontId="60" fillId="0" borderId="13" xfId="0" applyNumberFormat="1" applyFont="1" applyBorder="1" applyAlignment="1">
      <alignment/>
    </xf>
    <xf numFmtId="3" fontId="60" fillId="0" borderId="13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0" xfId="0" applyBorder="1" applyAlignment="1">
      <alignment horizontal="left"/>
    </xf>
    <xf numFmtId="3" fontId="0" fillId="0" borderId="13" xfId="0" applyNumberFormat="1" applyFont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3" fillId="0" borderId="15" xfId="0" applyFont="1" applyBorder="1" applyAlignment="1">
      <alignment horizontal="center"/>
    </xf>
    <xf numFmtId="0" fontId="63" fillId="0" borderId="14" xfId="0" applyFont="1" applyBorder="1" applyAlignment="1">
      <alignment horizontal="center"/>
    </xf>
    <xf numFmtId="0" fontId="63" fillId="0" borderId="0" xfId="0" applyFont="1" applyBorder="1" applyAlignment="1">
      <alignment horizontal="center"/>
    </xf>
    <xf numFmtId="0" fontId="63" fillId="0" borderId="0" xfId="0" applyFont="1" applyBorder="1" applyAlignment="1">
      <alignment/>
    </xf>
    <xf numFmtId="0" fontId="63" fillId="0" borderId="17" xfId="0" applyFont="1" applyBorder="1" applyAlignment="1">
      <alignment/>
    </xf>
    <xf numFmtId="0" fontId="64" fillId="0" borderId="16" xfId="0" applyFont="1" applyBorder="1" applyAlignment="1">
      <alignment/>
    </xf>
    <xf numFmtId="0" fontId="64" fillId="0" borderId="0" xfId="0" applyFont="1" applyAlignment="1">
      <alignment/>
    </xf>
    <xf numFmtId="0" fontId="63" fillId="0" borderId="24" xfId="0" applyFont="1" applyBorder="1" applyAlignment="1">
      <alignment horizontal="center"/>
    </xf>
    <xf numFmtId="0" fontId="63" fillId="0" borderId="19" xfId="0" applyFont="1" applyBorder="1" applyAlignment="1">
      <alignment horizontal="center"/>
    </xf>
    <xf numFmtId="0" fontId="63" fillId="0" borderId="20" xfId="0" applyFont="1" applyBorder="1" applyAlignment="1">
      <alignment horizontal="center"/>
    </xf>
    <xf numFmtId="0" fontId="63" fillId="0" borderId="20" xfId="0" applyFont="1" applyBorder="1" applyAlignment="1">
      <alignment/>
    </xf>
    <xf numFmtId="0" fontId="63" fillId="0" borderId="21" xfId="0" applyFont="1" applyBorder="1" applyAlignment="1">
      <alignment horizontal="center"/>
    </xf>
    <xf numFmtId="0" fontId="64" fillId="0" borderId="24" xfId="0" applyFont="1" applyBorder="1" applyAlignment="1">
      <alignment/>
    </xf>
    <xf numFmtId="0" fontId="64" fillId="0" borderId="18" xfId="0" applyFont="1" applyBorder="1" applyAlignment="1">
      <alignment/>
    </xf>
    <xf numFmtId="3" fontId="64" fillId="0" borderId="14" xfId="0" applyNumberFormat="1" applyFont="1" applyBorder="1" applyAlignment="1">
      <alignment/>
    </xf>
    <xf numFmtId="3" fontId="64" fillId="0" borderId="0" xfId="0" applyNumberFormat="1" applyFont="1" applyBorder="1" applyAlignment="1">
      <alignment/>
    </xf>
    <xf numFmtId="0" fontId="0" fillId="0" borderId="17" xfId="0" applyBorder="1" applyAlignment="1">
      <alignment/>
    </xf>
    <xf numFmtId="0" fontId="63" fillId="0" borderId="13" xfId="0" applyFont="1" applyBorder="1" applyAlignment="1">
      <alignment/>
    </xf>
    <xf numFmtId="3" fontId="63" fillId="0" borderId="10" xfId="0" applyNumberFormat="1" applyFont="1" applyBorder="1" applyAlignment="1">
      <alignment/>
    </xf>
    <xf numFmtId="3" fontId="63" fillId="0" borderId="11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3" fontId="64" fillId="0" borderId="16" xfId="0" applyNumberFormat="1" applyFont="1" applyBorder="1" applyAlignment="1">
      <alignment/>
    </xf>
    <xf numFmtId="0" fontId="0" fillId="0" borderId="18" xfId="0" applyBorder="1" applyAlignment="1">
      <alignment/>
    </xf>
    <xf numFmtId="3" fontId="63" fillId="0" borderId="19" xfId="0" applyNumberFormat="1" applyFont="1" applyBorder="1" applyAlignment="1">
      <alignment/>
    </xf>
    <xf numFmtId="3" fontId="63" fillId="0" borderId="20" xfId="0" applyNumberFormat="1" applyFont="1" applyBorder="1" applyAlignment="1">
      <alignment/>
    </xf>
    <xf numFmtId="0" fontId="0" fillId="0" borderId="10" xfId="0" applyFill="1" applyBorder="1" applyAlignment="1">
      <alignment horizontal="left"/>
    </xf>
    <xf numFmtId="0" fontId="64" fillId="0" borderId="22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64" fillId="0" borderId="16" xfId="0" applyFont="1" applyBorder="1" applyAlignment="1">
      <alignment horizontal="center"/>
    </xf>
    <xf numFmtId="0" fontId="64" fillId="0" borderId="22" xfId="0" applyFont="1" applyBorder="1" applyAlignment="1">
      <alignment/>
    </xf>
    <xf numFmtId="0" fontId="64" fillId="0" borderId="18" xfId="0" applyFont="1" applyFill="1" applyBorder="1" applyAlignment="1">
      <alignment horizontal="center"/>
    </xf>
    <xf numFmtId="0" fontId="64" fillId="0" borderId="17" xfId="0" applyFont="1" applyBorder="1" applyAlignment="1">
      <alignment horizontal="center"/>
    </xf>
    <xf numFmtId="0" fontId="64" fillId="0" borderId="18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64" fillId="0" borderId="24" xfId="0" applyFont="1" applyBorder="1" applyAlignment="1">
      <alignment horizontal="center"/>
    </xf>
    <xf numFmtId="0" fontId="64" fillId="0" borderId="21" xfId="0" applyFont="1" applyBorder="1" applyAlignment="1">
      <alignment horizontal="center"/>
    </xf>
    <xf numFmtId="0" fontId="60" fillId="0" borderId="13" xfId="0" applyFont="1" applyBorder="1" applyAlignment="1">
      <alignment/>
    </xf>
    <xf numFmtId="0" fontId="60" fillId="0" borderId="23" xfId="0" applyFont="1" applyBorder="1" applyAlignment="1">
      <alignment/>
    </xf>
    <xf numFmtId="3" fontId="60" fillId="0" borderId="23" xfId="0" applyNumberFormat="1" applyFont="1" applyBorder="1" applyAlignment="1">
      <alignment/>
    </xf>
    <xf numFmtId="0" fontId="60" fillId="0" borderId="15" xfId="0" applyFont="1" applyBorder="1" applyAlignment="1">
      <alignment/>
    </xf>
    <xf numFmtId="0" fontId="60" fillId="0" borderId="25" xfId="0" applyFont="1" applyBorder="1" applyAlignment="1">
      <alignment/>
    </xf>
    <xf numFmtId="0" fontId="0" fillId="0" borderId="25" xfId="0" applyBorder="1" applyAlignment="1">
      <alignment/>
    </xf>
    <xf numFmtId="3" fontId="0" fillId="0" borderId="15" xfId="0" applyNumberFormat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2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60" fillId="0" borderId="13" xfId="0" applyNumberFormat="1" applyFont="1" applyFill="1" applyBorder="1" applyAlignment="1">
      <alignment/>
    </xf>
    <xf numFmtId="0" fontId="64" fillId="0" borderId="0" xfId="0" applyFont="1" applyBorder="1" applyAlignment="1">
      <alignment horizontal="center"/>
    </xf>
    <xf numFmtId="0" fontId="60" fillId="0" borderId="24" xfId="0" applyFont="1" applyBorder="1" applyAlignment="1">
      <alignment/>
    </xf>
    <xf numFmtId="3" fontId="3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3" fontId="0" fillId="0" borderId="22" xfId="0" applyNumberFormat="1" applyBorder="1" applyAlignment="1">
      <alignment/>
    </xf>
    <xf numFmtId="3" fontId="65" fillId="0" borderId="17" xfId="0" applyNumberFormat="1" applyFont="1" applyBorder="1" applyAlignment="1">
      <alignment/>
    </xf>
    <xf numFmtId="3" fontId="65" fillId="0" borderId="18" xfId="0" applyNumberFormat="1" applyFont="1" applyBorder="1" applyAlignment="1">
      <alignment/>
    </xf>
    <xf numFmtId="0" fontId="60" fillId="0" borderId="16" xfId="0" applyFont="1" applyBorder="1" applyAlignment="1">
      <alignment/>
    </xf>
    <xf numFmtId="0" fontId="60" fillId="0" borderId="22" xfId="0" applyFont="1" applyBorder="1" applyAlignment="1">
      <alignment/>
    </xf>
    <xf numFmtId="0" fontId="60" fillId="0" borderId="15" xfId="0" applyFont="1" applyBorder="1" applyAlignment="1">
      <alignment/>
    </xf>
    <xf numFmtId="0" fontId="64" fillId="0" borderId="14" xfId="0" applyFont="1" applyBorder="1" applyAlignment="1">
      <alignment horizontal="center"/>
    </xf>
    <xf numFmtId="0" fontId="60" fillId="0" borderId="0" xfId="0" applyFont="1" applyAlignment="1">
      <alignment horizontal="right"/>
    </xf>
    <xf numFmtId="0" fontId="0" fillId="0" borderId="16" xfId="0" applyBorder="1" applyAlignment="1">
      <alignment/>
    </xf>
    <xf numFmtId="14" fontId="0" fillId="0" borderId="24" xfId="0" applyNumberFormat="1" applyBorder="1" applyAlignment="1">
      <alignment horizontal="center"/>
    </xf>
    <xf numFmtId="3" fontId="62" fillId="0" borderId="18" xfId="0" applyNumberFormat="1" applyFont="1" applyBorder="1" applyAlignment="1">
      <alignment/>
    </xf>
    <xf numFmtId="0" fontId="60" fillId="0" borderId="18" xfId="0" applyFont="1" applyBorder="1" applyAlignment="1">
      <alignment/>
    </xf>
    <xf numFmtId="0" fontId="0" fillId="0" borderId="14" xfId="0" applyFont="1" applyBorder="1" applyAlignment="1">
      <alignment/>
    </xf>
    <xf numFmtId="3" fontId="60" fillId="0" borderId="18" xfId="0" applyNumberFormat="1" applyFont="1" applyBorder="1" applyAlignment="1">
      <alignment/>
    </xf>
    <xf numFmtId="0" fontId="60" fillId="0" borderId="0" xfId="0" applyFont="1" applyFill="1" applyBorder="1" applyAlignment="1">
      <alignment/>
    </xf>
    <xf numFmtId="0" fontId="60" fillId="0" borderId="17" xfId="0" applyFont="1" applyBorder="1" applyAlignment="1">
      <alignment/>
    </xf>
    <xf numFmtId="3" fontId="60" fillId="0" borderId="26" xfId="0" applyNumberFormat="1" applyFont="1" applyBorder="1" applyAlignment="1">
      <alignment/>
    </xf>
    <xf numFmtId="0" fontId="0" fillId="0" borderId="19" xfId="0" applyBorder="1" applyAlignment="1">
      <alignment/>
    </xf>
    <xf numFmtId="14" fontId="60" fillId="0" borderId="24" xfId="0" applyNumberFormat="1" applyFont="1" applyBorder="1" applyAlignment="1">
      <alignment horizontal="center"/>
    </xf>
    <xf numFmtId="0" fontId="60" fillId="0" borderId="13" xfId="0" applyFont="1" applyBorder="1" applyAlignment="1">
      <alignment horizontal="center"/>
    </xf>
    <xf numFmtId="0" fontId="0" fillId="0" borderId="18" xfId="0" applyFont="1" applyBorder="1" applyAlignment="1">
      <alignment/>
    </xf>
    <xf numFmtId="4" fontId="0" fillId="0" borderId="18" xfId="0" applyNumberFormat="1" applyBorder="1" applyAlignment="1">
      <alignment/>
    </xf>
    <xf numFmtId="0" fontId="0" fillId="0" borderId="18" xfId="0" applyFont="1" applyBorder="1" applyAlignment="1">
      <alignment horizontal="center"/>
    </xf>
    <xf numFmtId="3" fontId="0" fillId="0" borderId="18" xfId="0" applyNumberFormat="1" applyFont="1" applyBorder="1" applyAlignment="1">
      <alignment/>
    </xf>
    <xf numFmtId="0" fontId="60" fillId="0" borderId="27" xfId="0" applyFont="1" applyBorder="1" applyAlignment="1">
      <alignment/>
    </xf>
    <xf numFmtId="0" fontId="0" fillId="0" borderId="28" xfId="0" applyBorder="1" applyAlignment="1">
      <alignment/>
    </xf>
    <xf numFmtId="0" fontId="60" fillId="0" borderId="22" xfId="0" applyFont="1" applyBorder="1" applyAlignment="1">
      <alignment/>
    </xf>
    <xf numFmtId="0" fontId="0" fillId="0" borderId="23" xfId="0" applyBorder="1" applyAlignment="1">
      <alignment/>
    </xf>
    <xf numFmtId="3" fontId="0" fillId="0" borderId="18" xfId="0" applyNumberFormat="1" applyFont="1" applyBorder="1" applyAlignment="1">
      <alignment/>
    </xf>
    <xf numFmtId="0" fontId="66" fillId="0" borderId="22" xfId="0" applyFont="1" applyBorder="1" applyAlignment="1">
      <alignment/>
    </xf>
    <xf numFmtId="0" fontId="67" fillId="0" borderId="13" xfId="0" applyFont="1" applyBorder="1" applyAlignment="1">
      <alignment horizontal="center"/>
    </xf>
    <xf numFmtId="0" fontId="67" fillId="0" borderId="12" xfId="0" applyFont="1" applyBorder="1" applyAlignment="1">
      <alignment horizontal="center"/>
    </xf>
    <xf numFmtId="0" fontId="67" fillId="0" borderId="18" xfId="0" applyFont="1" applyBorder="1" applyAlignment="1">
      <alignment horizontal="center"/>
    </xf>
    <xf numFmtId="0" fontId="67" fillId="0" borderId="21" xfId="0" applyFont="1" applyBorder="1" applyAlignment="1">
      <alignment horizontal="center"/>
    </xf>
    <xf numFmtId="0" fontId="66" fillId="0" borderId="24" xfId="0" applyFont="1" applyBorder="1" applyAlignment="1">
      <alignment horizontal="center"/>
    </xf>
    <xf numFmtId="14" fontId="67" fillId="0" borderId="24" xfId="0" applyNumberFormat="1" applyFont="1" applyBorder="1" applyAlignment="1">
      <alignment horizontal="center"/>
    </xf>
    <xf numFmtId="14" fontId="67" fillId="0" borderId="13" xfId="0" applyNumberFormat="1" applyFont="1" applyBorder="1" applyAlignment="1">
      <alignment horizontal="center"/>
    </xf>
    <xf numFmtId="0" fontId="66" fillId="0" borderId="18" xfId="0" applyFont="1" applyBorder="1" applyAlignment="1">
      <alignment/>
    </xf>
    <xf numFmtId="3" fontId="66" fillId="0" borderId="18" xfId="0" applyNumberFormat="1" applyFont="1" applyBorder="1" applyAlignment="1">
      <alignment/>
    </xf>
    <xf numFmtId="3" fontId="66" fillId="0" borderId="0" xfId="0" applyNumberFormat="1" applyFont="1" applyAlignment="1">
      <alignment/>
    </xf>
    <xf numFmtId="0" fontId="66" fillId="0" borderId="24" xfId="0" applyFont="1" applyBorder="1" applyAlignment="1">
      <alignment/>
    </xf>
    <xf numFmtId="3" fontId="66" fillId="0" borderId="24" xfId="0" applyNumberFormat="1" applyFont="1" applyBorder="1" applyAlignment="1">
      <alignment/>
    </xf>
    <xf numFmtId="0" fontId="66" fillId="0" borderId="13" xfId="0" applyFont="1" applyBorder="1" applyAlignment="1">
      <alignment/>
    </xf>
    <xf numFmtId="3" fontId="66" fillId="0" borderId="13" xfId="0" applyNumberFormat="1" applyFont="1" applyBorder="1" applyAlignment="1">
      <alignment/>
    </xf>
    <xf numFmtId="3" fontId="66" fillId="0" borderId="13" xfId="0" applyNumberFormat="1" applyFont="1" applyFill="1" applyBorder="1" applyAlignment="1">
      <alignment/>
    </xf>
    <xf numFmtId="3" fontId="66" fillId="0" borderId="22" xfId="0" applyNumberFormat="1" applyFont="1" applyBorder="1" applyAlignment="1">
      <alignment/>
    </xf>
    <xf numFmtId="0" fontId="67" fillId="0" borderId="23" xfId="0" applyFont="1" applyBorder="1" applyAlignment="1">
      <alignment/>
    </xf>
    <xf numFmtId="3" fontId="67" fillId="0" borderId="23" xfId="0" applyNumberFormat="1" applyFont="1" applyBorder="1" applyAlignment="1">
      <alignment/>
    </xf>
    <xf numFmtId="14" fontId="60" fillId="0" borderId="15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14" fontId="0" fillId="0" borderId="0" xfId="0" applyNumberFormat="1" applyBorder="1" applyAlignment="1">
      <alignment/>
    </xf>
    <xf numFmtId="14" fontId="60" fillId="0" borderId="0" xfId="0" applyNumberFormat="1" applyFont="1" applyBorder="1" applyAlignment="1">
      <alignment/>
    </xf>
    <xf numFmtId="3" fontId="6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14" fontId="60" fillId="0" borderId="13" xfId="0" applyNumberFormat="1" applyFont="1" applyBorder="1" applyAlignment="1">
      <alignment horizontal="center"/>
    </xf>
    <xf numFmtId="3" fontId="63" fillId="0" borderId="12" xfId="0" applyNumberFormat="1" applyFont="1" applyBorder="1" applyAlignment="1">
      <alignment horizontal="right"/>
    </xf>
    <xf numFmtId="3" fontId="63" fillId="0" borderId="13" xfId="0" applyNumberFormat="1" applyFont="1" applyBorder="1" applyAlignment="1">
      <alignment/>
    </xf>
    <xf numFmtId="3" fontId="64" fillId="0" borderId="22" xfId="0" applyNumberFormat="1" applyFont="1" applyBorder="1" applyAlignment="1">
      <alignment/>
    </xf>
    <xf numFmtId="3" fontId="64" fillId="0" borderId="18" xfId="0" applyNumberFormat="1" applyFont="1" applyBorder="1" applyAlignment="1">
      <alignment/>
    </xf>
    <xf numFmtId="14" fontId="60" fillId="0" borderId="13" xfId="0" applyNumberFormat="1" applyFont="1" applyBorder="1" applyAlignment="1">
      <alignment horizontal="center"/>
    </xf>
    <xf numFmtId="14" fontId="60" fillId="0" borderId="0" xfId="0" applyNumberFormat="1" applyFont="1" applyBorder="1" applyAlignment="1">
      <alignment horizontal="center"/>
    </xf>
    <xf numFmtId="0" fontId="68" fillId="0" borderId="0" xfId="0" applyFont="1" applyAlignment="1">
      <alignment/>
    </xf>
    <xf numFmtId="14" fontId="60" fillId="0" borderId="13" xfId="0" applyNumberFormat="1" applyFont="1" applyBorder="1" applyAlignment="1">
      <alignment horizontal="center"/>
    </xf>
    <xf numFmtId="0" fontId="5" fillId="0" borderId="0" xfId="51" applyFont="1" applyBorder="1">
      <alignment/>
      <protection/>
    </xf>
    <xf numFmtId="3" fontId="5" fillId="0" borderId="0" xfId="51" applyNumberFormat="1" applyFont="1" applyBorder="1">
      <alignment/>
      <protection/>
    </xf>
    <xf numFmtId="3" fontId="6" fillId="0" borderId="0" xfId="51" applyNumberFormat="1" applyFont="1" applyFill="1" applyBorder="1">
      <alignment/>
      <protection/>
    </xf>
    <xf numFmtId="0" fontId="6" fillId="0" borderId="0" xfId="51" applyNumberFormat="1" applyFont="1" applyFill="1" applyBorder="1">
      <alignment/>
      <protection/>
    </xf>
    <xf numFmtId="3" fontId="7" fillId="0" borderId="0" xfId="51" applyNumberFormat="1" applyFont="1" applyFill="1" applyBorder="1">
      <alignment/>
      <protection/>
    </xf>
    <xf numFmtId="49" fontId="6" fillId="0" borderId="0" xfId="51" applyNumberFormat="1" applyFont="1" applyFill="1" applyBorder="1">
      <alignment/>
      <protection/>
    </xf>
    <xf numFmtId="0" fontId="7" fillId="0" borderId="0" xfId="51" applyNumberFormat="1" applyFont="1" applyFill="1" applyBorder="1">
      <alignment/>
      <protection/>
    </xf>
    <xf numFmtId="3" fontId="8" fillId="0" borderId="0" xfId="51" applyNumberFormat="1" applyFont="1" applyFill="1" applyBorder="1">
      <alignment/>
      <protection/>
    </xf>
    <xf numFmtId="3" fontId="9" fillId="0" borderId="0" xfId="51" applyNumberFormat="1" applyFont="1" applyFill="1" applyBorder="1">
      <alignment/>
      <protection/>
    </xf>
    <xf numFmtId="0" fontId="5" fillId="0" borderId="0" xfId="51">
      <alignment/>
      <protection/>
    </xf>
    <xf numFmtId="3" fontId="5" fillId="0" borderId="0" xfId="51" applyNumberFormat="1">
      <alignment/>
      <protection/>
    </xf>
    <xf numFmtId="14" fontId="60" fillId="0" borderId="0" xfId="0" applyNumberFormat="1" applyFont="1" applyBorder="1" applyAlignment="1">
      <alignment horizontal="center"/>
    </xf>
    <xf numFmtId="14" fontId="60" fillId="0" borderId="0" xfId="0" applyNumberFormat="1" applyFont="1" applyBorder="1" applyAlignment="1">
      <alignment/>
    </xf>
    <xf numFmtId="14" fontId="67" fillId="0" borderId="10" xfId="0" applyNumberFormat="1" applyFont="1" applyBorder="1" applyAlignment="1">
      <alignment/>
    </xf>
    <xf numFmtId="14" fontId="67" fillId="0" borderId="12" xfId="0" applyNumberFormat="1" applyFont="1" applyBorder="1" applyAlignment="1">
      <alignment/>
    </xf>
    <xf numFmtId="14" fontId="67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69" fillId="0" borderId="0" xfId="0" applyFont="1" applyAlignment="1">
      <alignment/>
    </xf>
    <xf numFmtId="0" fontId="70" fillId="0" borderId="19" xfId="0" applyFont="1" applyBorder="1" applyAlignment="1">
      <alignment/>
    </xf>
    <xf numFmtId="0" fontId="70" fillId="0" borderId="20" xfId="0" applyFont="1" applyBorder="1" applyAlignment="1">
      <alignment/>
    </xf>
    <xf numFmtId="0" fontId="70" fillId="0" borderId="21" xfId="0" applyFont="1" applyBorder="1" applyAlignment="1">
      <alignment/>
    </xf>
    <xf numFmtId="0" fontId="70" fillId="0" borderId="15" xfId="0" applyFont="1" applyBorder="1" applyAlignment="1">
      <alignment/>
    </xf>
    <xf numFmtId="0" fontId="70" fillId="0" borderId="25" xfId="0" applyFont="1" applyBorder="1" applyAlignment="1">
      <alignment/>
    </xf>
    <xf numFmtId="0" fontId="70" fillId="0" borderId="16" xfId="0" applyFont="1" applyBorder="1" applyAlignment="1">
      <alignment/>
    </xf>
    <xf numFmtId="0" fontId="60" fillId="0" borderId="0" xfId="0" applyFont="1" applyBorder="1" applyAlignment="1">
      <alignment/>
    </xf>
    <xf numFmtId="4" fontId="0" fillId="0" borderId="18" xfId="0" applyNumberFormat="1" applyFont="1" applyBorder="1" applyAlignment="1">
      <alignment/>
    </xf>
    <xf numFmtId="14" fontId="7" fillId="0" borderId="0" xfId="51" applyNumberFormat="1" applyFont="1" applyFill="1" applyBorder="1">
      <alignment/>
      <protection/>
    </xf>
    <xf numFmtId="3" fontId="10" fillId="0" borderId="0" xfId="51" applyNumberFormat="1" applyFont="1" applyFill="1" applyBorder="1">
      <alignment/>
      <protection/>
    </xf>
    <xf numFmtId="0" fontId="71" fillId="0" borderId="0" xfId="0" applyFont="1" applyAlignment="1">
      <alignment/>
    </xf>
    <xf numFmtId="14" fontId="60" fillId="0" borderId="13" xfId="0" applyNumberFormat="1" applyFont="1" applyBorder="1" applyAlignment="1">
      <alignment horizontal="center"/>
    </xf>
    <xf numFmtId="3" fontId="60" fillId="0" borderId="13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0" fontId="67" fillId="0" borderId="12" xfId="0" applyFont="1" applyBorder="1" applyAlignment="1">
      <alignment horizontal="center"/>
    </xf>
    <xf numFmtId="3" fontId="63" fillId="0" borderId="21" xfId="0" applyNumberFormat="1" applyFont="1" applyBorder="1" applyAlignment="1">
      <alignment/>
    </xf>
    <xf numFmtId="3" fontId="63" fillId="0" borderId="11" xfId="0" applyNumberFormat="1" applyFont="1" applyBorder="1" applyAlignment="1">
      <alignment horizontal="right"/>
    </xf>
    <xf numFmtId="14" fontId="60" fillId="0" borderId="13" xfId="0" applyNumberFormat="1" applyFont="1" applyBorder="1" applyAlignment="1">
      <alignment horizontal="center"/>
    </xf>
    <xf numFmtId="14" fontId="60" fillId="0" borderId="0" xfId="0" applyNumberFormat="1" applyFont="1" applyBorder="1" applyAlignment="1">
      <alignment horizontal="center"/>
    </xf>
    <xf numFmtId="3" fontId="66" fillId="0" borderId="24" xfId="0" applyNumberFormat="1" applyFont="1" applyFill="1" applyBorder="1" applyAlignment="1">
      <alignment/>
    </xf>
    <xf numFmtId="3" fontId="66" fillId="0" borderId="20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66" fillId="0" borderId="11" xfId="0" applyNumberFormat="1" applyFont="1" applyFill="1" applyBorder="1" applyAlignment="1">
      <alignment/>
    </xf>
    <xf numFmtId="3" fontId="66" fillId="0" borderId="18" xfId="0" applyNumberFormat="1" applyFont="1" applyFill="1" applyBorder="1" applyAlignment="1">
      <alignment/>
    </xf>
    <xf numFmtId="3" fontId="66" fillId="0" borderId="0" xfId="0" applyNumberFormat="1" applyFont="1" applyFill="1" applyAlignment="1">
      <alignment/>
    </xf>
    <xf numFmtId="3" fontId="66" fillId="0" borderId="12" xfId="0" applyNumberFormat="1" applyFont="1" applyFill="1" applyBorder="1" applyAlignment="1">
      <alignment/>
    </xf>
    <xf numFmtId="3" fontId="66" fillId="0" borderId="22" xfId="0" applyNumberFormat="1" applyFont="1" applyFill="1" applyBorder="1" applyAlignment="1">
      <alignment/>
    </xf>
    <xf numFmtId="0" fontId="64" fillId="0" borderId="0" xfId="0" applyFont="1" applyBorder="1" applyAlignment="1">
      <alignment horizontal="right"/>
    </xf>
    <xf numFmtId="0" fontId="64" fillId="0" borderId="18" xfId="0" applyFont="1" applyBorder="1" applyAlignment="1">
      <alignment horizontal="right"/>
    </xf>
    <xf numFmtId="0" fontId="64" fillId="0" borderId="14" xfId="0" applyFont="1" applyBorder="1" applyAlignment="1">
      <alignment/>
    </xf>
    <xf numFmtId="0" fontId="60" fillId="0" borderId="10" xfId="0" applyFont="1" applyBorder="1" applyAlignment="1">
      <alignment horizontal="center" vertical="center"/>
    </xf>
    <xf numFmtId="4" fontId="0" fillId="0" borderId="14" xfId="0" applyNumberFormat="1" applyBorder="1" applyAlignment="1">
      <alignment/>
    </xf>
    <xf numFmtId="4" fontId="0" fillId="0" borderId="14" xfId="0" applyNumberFormat="1" applyFont="1" applyBorder="1" applyAlignment="1">
      <alignment/>
    </xf>
    <xf numFmtId="3" fontId="60" fillId="0" borderId="24" xfId="0" applyNumberFormat="1" applyFont="1" applyBorder="1" applyAlignment="1">
      <alignment/>
    </xf>
    <xf numFmtId="0" fontId="72" fillId="0" borderId="0" xfId="0" applyFont="1" applyAlignment="1">
      <alignment/>
    </xf>
    <xf numFmtId="0" fontId="0" fillId="0" borderId="24" xfId="0" applyBorder="1" applyAlignment="1">
      <alignment horizontal="center"/>
    </xf>
    <xf numFmtId="0" fontId="64" fillId="0" borderId="21" xfId="0" applyFont="1" applyBorder="1" applyAlignment="1">
      <alignment horizontal="center"/>
    </xf>
    <xf numFmtId="4" fontId="60" fillId="0" borderId="23" xfId="0" applyNumberFormat="1" applyFont="1" applyBorder="1" applyAlignment="1">
      <alignment/>
    </xf>
    <xf numFmtId="4" fontId="60" fillId="0" borderId="24" xfId="0" applyNumberFormat="1" applyFont="1" applyBorder="1" applyAlignment="1">
      <alignment/>
    </xf>
    <xf numFmtId="3" fontId="60" fillId="0" borderId="24" xfId="0" applyNumberFormat="1" applyFont="1" applyBorder="1" applyAlignment="1">
      <alignment/>
    </xf>
    <xf numFmtId="4" fontId="60" fillId="0" borderId="28" xfId="0" applyNumberFormat="1" applyFont="1" applyBorder="1" applyAlignment="1">
      <alignment/>
    </xf>
    <xf numFmtId="0" fontId="60" fillId="0" borderId="0" xfId="0" applyFont="1" applyBorder="1" applyAlignment="1">
      <alignment horizontal="center"/>
    </xf>
    <xf numFmtId="0" fontId="71" fillId="0" borderId="21" xfId="0" applyFont="1" applyBorder="1" applyAlignment="1">
      <alignment/>
    </xf>
    <xf numFmtId="0" fontId="73" fillId="0" borderId="24" xfId="0" applyFont="1" applyBorder="1" applyAlignment="1">
      <alignment/>
    </xf>
    <xf numFmtId="3" fontId="60" fillId="0" borderId="28" xfId="0" applyNumberFormat="1" applyFont="1" applyBorder="1" applyAlignment="1">
      <alignment/>
    </xf>
    <xf numFmtId="3" fontId="60" fillId="0" borderId="0" xfId="0" applyNumberFormat="1" applyFont="1" applyBorder="1" applyAlignment="1">
      <alignment horizontal="right"/>
    </xf>
    <xf numFmtId="0" fontId="60" fillId="0" borderId="0" xfId="0" applyFont="1" applyBorder="1" applyAlignment="1">
      <alignment horizontal="right"/>
    </xf>
    <xf numFmtId="0" fontId="0" fillId="0" borderId="10" xfId="0" applyBorder="1" applyAlignment="1">
      <alignment horizontal="left"/>
    </xf>
    <xf numFmtId="2" fontId="0" fillId="0" borderId="18" xfId="0" applyNumberFormat="1" applyBorder="1" applyAlignment="1">
      <alignment/>
    </xf>
    <xf numFmtId="0" fontId="60" fillId="0" borderId="0" xfId="0" applyFont="1" applyFill="1" applyAlignment="1">
      <alignment/>
    </xf>
    <xf numFmtId="0" fontId="0" fillId="0" borderId="10" xfId="0" applyBorder="1" applyAlignment="1">
      <alignment horizontal="left"/>
    </xf>
    <xf numFmtId="14" fontId="60" fillId="0" borderId="13" xfId="0" applyNumberFormat="1" applyFont="1" applyBorder="1" applyAlignment="1">
      <alignment horizontal="center"/>
    </xf>
    <xf numFmtId="3" fontId="0" fillId="0" borderId="14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22" xfId="0" applyBorder="1" applyAlignment="1">
      <alignment horizontal="center"/>
    </xf>
    <xf numFmtId="3" fontId="60" fillId="0" borderId="29" xfId="0" applyNumberFormat="1" applyFont="1" applyBorder="1" applyAlignment="1">
      <alignment/>
    </xf>
    <xf numFmtId="3" fontId="0" fillId="0" borderId="18" xfId="0" applyNumberFormat="1" applyBorder="1" applyAlignment="1">
      <alignment horizontal="center"/>
    </xf>
    <xf numFmtId="0" fontId="60" fillId="0" borderId="21" xfId="0" applyFont="1" applyBorder="1" applyAlignment="1">
      <alignment/>
    </xf>
    <xf numFmtId="0" fontId="60" fillId="0" borderId="21" xfId="0" applyFont="1" applyBorder="1" applyAlignment="1">
      <alignment/>
    </xf>
    <xf numFmtId="0" fontId="60" fillId="0" borderId="20" xfId="0" applyFont="1" applyBorder="1" applyAlignment="1">
      <alignment/>
    </xf>
    <xf numFmtId="0" fontId="60" fillId="0" borderId="19" xfId="0" applyFont="1" applyBorder="1" applyAlignment="1">
      <alignment/>
    </xf>
    <xf numFmtId="0" fontId="60" fillId="0" borderId="18" xfId="0" applyFont="1" applyBorder="1" applyAlignment="1">
      <alignment horizontal="center"/>
    </xf>
    <xf numFmtId="0" fontId="0" fillId="0" borderId="0" xfId="0" applyFill="1" applyBorder="1" applyAlignment="1">
      <alignment/>
    </xf>
    <xf numFmtId="14" fontId="0" fillId="0" borderId="0" xfId="0" applyNumberFormat="1" applyFill="1" applyBorder="1" applyAlignment="1">
      <alignment/>
    </xf>
    <xf numFmtId="0" fontId="61" fillId="0" borderId="0" xfId="0" applyFont="1" applyBorder="1" applyAlignment="1">
      <alignment/>
    </xf>
    <xf numFmtId="0" fontId="60" fillId="0" borderId="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60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0" fillId="0" borderId="19" xfId="0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3" fontId="32" fillId="0" borderId="24" xfId="0" applyNumberFormat="1" applyFont="1" applyFill="1" applyBorder="1" applyAlignment="1">
      <alignment/>
    </xf>
    <xf numFmtId="3" fontId="0" fillId="0" borderId="24" xfId="0" applyNumberForma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60" fillId="0" borderId="0" xfId="0" applyFont="1" applyBorder="1" applyAlignment="1">
      <alignment horizontal="center"/>
    </xf>
    <xf numFmtId="0" fontId="60" fillId="0" borderId="1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14" fontId="60" fillId="0" borderId="0" xfId="0" applyNumberFormat="1" applyFont="1" applyBorder="1" applyAlignment="1">
      <alignment horizontal="center"/>
    </xf>
    <xf numFmtId="0" fontId="60" fillId="0" borderId="22" xfId="0" applyFont="1" applyBorder="1" applyAlignment="1">
      <alignment horizontal="center"/>
    </xf>
    <xf numFmtId="0" fontId="60" fillId="0" borderId="24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63" fillId="0" borderId="0" xfId="0" applyFont="1" applyBorder="1" applyAlignment="1">
      <alignment/>
    </xf>
    <xf numFmtId="3" fontId="63" fillId="0" borderId="0" xfId="0" applyNumberFormat="1" applyFont="1" applyBorder="1" applyAlignment="1">
      <alignment/>
    </xf>
    <xf numFmtId="3" fontId="63" fillId="0" borderId="0" xfId="0" applyNumberFormat="1" applyFont="1" applyBorder="1" applyAlignment="1">
      <alignment horizontal="right"/>
    </xf>
    <xf numFmtId="0" fontId="60" fillId="0" borderId="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3" fontId="0" fillId="0" borderId="10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60" fillId="0" borderId="13" xfId="0" applyNumberFormat="1" applyFont="1" applyBorder="1" applyAlignment="1">
      <alignment horizontal="right"/>
    </xf>
    <xf numFmtId="0" fontId="60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3" fontId="64" fillId="0" borderId="17" xfId="0" applyNumberFormat="1" applyFont="1" applyFill="1" applyBorder="1" applyAlignment="1">
      <alignment/>
    </xf>
    <xf numFmtId="0" fontId="0" fillId="0" borderId="15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60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60" fillId="0" borderId="0" xfId="0" applyFont="1" applyBorder="1" applyAlignment="1">
      <alignment horizontal="center"/>
    </xf>
    <xf numFmtId="0" fontId="69" fillId="0" borderId="18" xfId="0" applyFont="1" applyBorder="1" applyAlignment="1">
      <alignment/>
    </xf>
    <xf numFmtId="3" fontId="69" fillId="0" borderId="18" xfId="0" applyNumberFormat="1" applyFont="1" applyBorder="1" applyAlignment="1">
      <alignment/>
    </xf>
    <xf numFmtId="3" fontId="69" fillId="0" borderId="0" xfId="0" applyNumberFormat="1" applyFont="1" applyAlignment="1">
      <alignment/>
    </xf>
    <xf numFmtId="0" fontId="70" fillId="0" borderId="13" xfId="0" applyFont="1" applyBorder="1" applyAlignment="1">
      <alignment/>
    </xf>
    <xf numFmtId="3" fontId="69" fillId="0" borderId="13" xfId="0" applyNumberFormat="1" applyFont="1" applyBorder="1" applyAlignment="1">
      <alignment/>
    </xf>
    <xf numFmtId="0" fontId="70" fillId="0" borderId="24" xfId="0" applyFont="1" applyBorder="1" applyAlignment="1">
      <alignment/>
    </xf>
    <xf numFmtId="3" fontId="40" fillId="0" borderId="13" xfId="0" applyNumberFormat="1" applyFont="1" applyBorder="1" applyAlignment="1">
      <alignment/>
    </xf>
    <xf numFmtId="0" fontId="60" fillId="0" borderId="16" xfId="0" applyFont="1" applyBorder="1" applyAlignment="1">
      <alignment horizontal="center"/>
    </xf>
    <xf numFmtId="0" fontId="60" fillId="0" borderId="17" xfId="0" applyFont="1" applyBorder="1" applyAlignment="1">
      <alignment horizontal="center"/>
    </xf>
    <xf numFmtId="0" fontId="60" fillId="0" borderId="22" xfId="0" applyFont="1" applyBorder="1" applyAlignment="1">
      <alignment horizontal="center"/>
    </xf>
    <xf numFmtId="0" fontId="60" fillId="0" borderId="24" xfId="0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60" fillId="0" borderId="0" xfId="0" applyFont="1" applyBorder="1" applyAlignment="1">
      <alignment horizontal="left"/>
    </xf>
    <xf numFmtId="0" fontId="74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4" fontId="0" fillId="0" borderId="0" xfId="0" applyNumberFormat="1" applyFont="1" applyBorder="1" applyAlignment="1">
      <alignment/>
    </xf>
    <xf numFmtId="3" fontId="64" fillId="0" borderId="19" xfId="0" applyNumberFormat="1" applyFont="1" applyBorder="1" applyAlignment="1">
      <alignment/>
    </xf>
    <xf numFmtId="3" fontId="64" fillId="0" borderId="21" xfId="0" applyNumberFormat="1" applyFont="1" applyFill="1" applyBorder="1" applyAlignment="1">
      <alignment/>
    </xf>
    <xf numFmtId="0" fontId="64" fillId="0" borderId="13" xfId="0" applyFont="1" applyBorder="1" applyAlignment="1">
      <alignment/>
    </xf>
    <xf numFmtId="3" fontId="64" fillId="0" borderId="10" xfId="0" applyNumberFormat="1" applyFont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4" fontId="0" fillId="0" borderId="13" xfId="0" applyNumberFormat="1" applyBorder="1" applyAlignment="1">
      <alignment/>
    </xf>
    <xf numFmtId="3" fontId="0" fillId="0" borderId="17" xfId="0" applyNumberFormat="1" applyFont="1" applyBorder="1" applyAlignment="1">
      <alignment/>
    </xf>
    <xf numFmtId="4" fontId="60" fillId="0" borderId="18" xfId="0" applyNumberFormat="1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60" fillId="0" borderId="11" xfId="0" applyFont="1" applyBorder="1" applyAlignment="1">
      <alignment horizontal="left"/>
    </xf>
    <xf numFmtId="0" fontId="60" fillId="0" borderId="12" xfId="0" applyFont="1" applyBorder="1" applyAlignment="1">
      <alignment horizontal="left"/>
    </xf>
    <xf numFmtId="3" fontId="0" fillId="0" borderId="20" xfId="0" applyNumberFormat="1" applyFont="1" applyBorder="1" applyAlignment="1">
      <alignment horizontal="right"/>
    </xf>
    <xf numFmtId="3" fontId="0" fillId="0" borderId="20" xfId="0" applyNumberFormat="1" applyFont="1" applyBorder="1" applyAlignment="1">
      <alignment/>
    </xf>
    <xf numFmtId="3" fontId="64" fillId="0" borderId="16" xfId="0" applyNumberFormat="1" applyFont="1" applyFill="1" applyBorder="1" applyAlignment="1">
      <alignment/>
    </xf>
    <xf numFmtId="0" fontId="64" fillId="0" borderId="13" xfId="0" applyFont="1" applyBorder="1" applyAlignment="1">
      <alignment horizontal="left"/>
    </xf>
    <xf numFmtId="3" fontId="64" fillId="0" borderId="12" xfId="0" applyNumberFormat="1" applyFont="1" applyFill="1" applyBorder="1" applyAlignment="1">
      <alignment/>
    </xf>
    <xf numFmtId="3" fontId="64" fillId="0" borderId="15" xfId="0" applyNumberFormat="1" applyFont="1" applyFill="1" applyBorder="1" applyAlignment="1">
      <alignment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5" xfId="0" applyFill="1" applyBorder="1" applyAlignment="1">
      <alignment/>
    </xf>
    <xf numFmtId="3" fontId="0" fillId="0" borderId="17" xfId="0" applyNumberFormat="1" applyFill="1" applyBorder="1" applyAlignment="1">
      <alignment/>
    </xf>
    <xf numFmtId="3" fontId="60" fillId="0" borderId="13" xfId="0" applyNumberFormat="1" applyFont="1" applyFill="1" applyBorder="1" applyAlignment="1">
      <alignment horizontal="center"/>
    </xf>
    <xf numFmtId="3" fontId="70" fillId="0" borderId="13" xfId="0" applyNumberFormat="1" applyFont="1" applyFill="1" applyBorder="1" applyAlignment="1">
      <alignment horizontal="center"/>
    </xf>
    <xf numFmtId="3" fontId="0" fillId="0" borderId="18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4" fontId="0" fillId="0" borderId="24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60" fillId="0" borderId="24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0" fontId="60" fillId="0" borderId="0" xfId="0" applyFont="1" applyFill="1" applyBorder="1" applyAlignment="1">
      <alignment horizontal="left"/>
    </xf>
    <xf numFmtId="3" fontId="6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10" xfId="0" applyBorder="1" applyAlignment="1">
      <alignment horizontal="left"/>
    </xf>
    <xf numFmtId="3" fontId="64" fillId="0" borderId="0" xfId="0" applyNumberFormat="1" applyFont="1" applyFill="1" applyBorder="1" applyAlignment="1">
      <alignment/>
    </xf>
    <xf numFmtId="3" fontId="64" fillId="0" borderId="0" xfId="0" applyNumberFormat="1" applyFont="1" applyFill="1" applyAlignment="1">
      <alignment/>
    </xf>
    <xf numFmtId="3" fontId="64" fillId="0" borderId="17" xfId="0" applyNumberFormat="1" applyFont="1" applyFill="1" applyBorder="1" applyAlignment="1">
      <alignment horizontal="right"/>
    </xf>
    <xf numFmtId="0" fontId="63" fillId="0" borderId="20" xfId="0" applyFont="1" applyFill="1" applyBorder="1" applyAlignment="1">
      <alignment horizontal="center"/>
    </xf>
    <xf numFmtId="0" fontId="63" fillId="0" borderId="20" xfId="0" applyFont="1" applyFill="1" applyBorder="1" applyAlignment="1">
      <alignment/>
    </xf>
    <xf numFmtId="0" fontId="63" fillId="0" borderId="21" xfId="0" applyFont="1" applyFill="1" applyBorder="1" applyAlignment="1">
      <alignment horizontal="center"/>
    </xf>
    <xf numFmtId="0" fontId="64" fillId="0" borderId="24" xfId="0" applyFont="1" applyFill="1" applyBorder="1" applyAlignment="1">
      <alignment/>
    </xf>
    <xf numFmtId="3" fontId="64" fillId="0" borderId="11" xfId="0" applyNumberFormat="1" applyFont="1" applyFill="1" applyBorder="1" applyAlignment="1">
      <alignment/>
    </xf>
    <xf numFmtId="3" fontId="64" fillId="0" borderId="25" xfId="0" applyNumberFormat="1" applyFont="1" applyFill="1" applyBorder="1" applyAlignment="1">
      <alignment/>
    </xf>
    <xf numFmtId="3" fontId="64" fillId="0" borderId="20" xfId="0" applyNumberFormat="1" applyFont="1" applyFill="1" applyBorder="1" applyAlignment="1">
      <alignment/>
    </xf>
    <xf numFmtId="0" fontId="60" fillId="0" borderId="0" xfId="0" applyFont="1" applyBorder="1" applyAlignment="1">
      <alignment horizontal="center"/>
    </xf>
    <xf numFmtId="3" fontId="64" fillId="0" borderId="20" xfId="0" applyNumberFormat="1" applyFont="1" applyBorder="1" applyAlignment="1">
      <alignment/>
    </xf>
    <xf numFmtId="3" fontId="64" fillId="0" borderId="15" xfId="0" applyNumberFormat="1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3" fontId="32" fillId="0" borderId="14" xfId="0" applyNumberFormat="1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22" xfId="0" applyBorder="1" applyAlignment="1">
      <alignment horizontal="center"/>
    </xf>
    <xf numFmtId="3" fontId="0" fillId="0" borderId="13" xfId="0" applyNumberFormat="1" applyFont="1" applyBorder="1" applyAlignment="1">
      <alignment/>
    </xf>
    <xf numFmtId="14" fontId="60" fillId="0" borderId="13" xfId="0" applyNumberFormat="1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4" fontId="75" fillId="0" borderId="0" xfId="0" applyNumberFormat="1" applyFont="1" applyBorder="1" applyAlignment="1">
      <alignment/>
    </xf>
    <xf numFmtId="0" fontId="60" fillId="0" borderId="0" xfId="0" applyFont="1" applyAlignment="1">
      <alignment horizontal="center"/>
    </xf>
    <xf numFmtId="0" fontId="61" fillId="0" borderId="14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61" fillId="0" borderId="17" xfId="0" applyFont="1" applyBorder="1" applyAlignment="1">
      <alignment horizontal="center"/>
    </xf>
    <xf numFmtId="0" fontId="60" fillId="0" borderId="15" xfId="0" applyFont="1" applyBorder="1" applyAlignment="1">
      <alignment horizontal="center"/>
    </xf>
    <xf numFmtId="0" fontId="60" fillId="0" borderId="25" xfId="0" applyFont="1" applyBorder="1" applyAlignment="1">
      <alignment horizontal="center"/>
    </xf>
    <xf numFmtId="0" fontId="60" fillId="0" borderId="16" xfId="0" applyFont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16" xfId="0" applyBorder="1" applyAlignment="1">
      <alignment horizontal="left"/>
    </xf>
    <xf numFmtId="0" fontId="60" fillId="0" borderId="30" xfId="0" applyFont="1" applyBorder="1" applyAlignment="1">
      <alignment horizontal="center"/>
    </xf>
    <xf numFmtId="0" fontId="60" fillId="0" borderId="28" xfId="0" applyFont="1" applyBorder="1" applyAlignment="1">
      <alignment horizontal="center"/>
    </xf>
    <xf numFmtId="0" fontId="60" fillId="0" borderId="29" xfId="0" applyFont="1" applyBorder="1" applyAlignment="1">
      <alignment horizontal="center"/>
    </xf>
    <xf numFmtId="0" fontId="60" fillId="0" borderId="14" xfId="0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60" fillId="0" borderId="17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left"/>
    </xf>
    <xf numFmtId="0" fontId="76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60" fillId="0" borderId="19" xfId="0" applyFont="1" applyBorder="1" applyAlignment="1">
      <alignment horizontal="center"/>
    </xf>
    <xf numFmtId="0" fontId="60" fillId="0" borderId="20" xfId="0" applyFont="1" applyBorder="1" applyAlignment="1">
      <alignment horizontal="center"/>
    </xf>
    <xf numFmtId="0" fontId="60" fillId="0" borderId="21" xfId="0" applyFont="1" applyBorder="1" applyAlignment="1">
      <alignment horizontal="center"/>
    </xf>
    <xf numFmtId="0" fontId="60" fillId="0" borderId="10" xfId="0" applyFont="1" applyBorder="1" applyAlignment="1">
      <alignment horizontal="center"/>
    </xf>
    <xf numFmtId="0" fontId="60" fillId="0" borderId="12" xfId="0" applyFont="1" applyBorder="1" applyAlignment="1">
      <alignment horizontal="center"/>
    </xf>
    <xf numFmtId="0" fontId="60" fillId="0" borderId="11" xfId="0" applyFont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64" fillId="0" borderId="12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3" fontId="0" fillId="0" borderId="19" xfId="0" applyNumberFormat="1" applyBorder="1" applyAlignment="1">
      <alignment horizontal="left"/>
    </xf>
    <xf numFmtId="3" fontId="0" fillId="0" borderId="21" xfId="0" applyNumberFormat="1" applyBorder="1" applyAlignment="1">
      <alignment horizontal="left"/>
    </xf>
    <xf numFmtId="0" fontId="0" fillId="0" borderId="15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14" fontId="0" fillId="0" borderId="14" xfId="0" applyNumberFormat="1" applyBorder="1" applyAlignment="1">
      <alignment horizontal="center"/>
    </xf>
    <xf numFmtId="14" fontId="0" fillId="0" borderId="17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14" xfId="0" applyNumberFormat="1" applyBorder="1" applyAlignment="1">
      <alignment horizontal="left"/>
    </xf>
    <xf numFmtId="3" fontId="0" fillId="0" borderId="17" xfId="0" applyNumberFormat="1" applyBorder="1" applyAlignment="1">
      <alignment horizontal="left"/>
    </xf>
    <xf numFmtId="0" fontId="60" fillId="0" borderId="13" xfId="0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65" fillId="0" borderId="11" xfId="0" applyFont="1" applyBorder="1" applyAlignment="1">
      <alignment horizontal="center"/>
    </xf>
    <xf numFmtId="0" fontId="65" fillId="0" borderId="1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4" fontId="60" fillId="0" borderId="10" xfId="0" applyNumberFormat="1" applyFont="1" applyBorder="1" applyAlignment="1">
      <alignment horizontal="center"/>
    </xf>
    <xf numFmtId="14" fontId="60" fillId="0" borderId="12" xfId="0" applyNumberFormat="1" applyFont="1" applyBorder="1" applyAlignment="1">
      <alignment horizontal="center"/>
    </xf>
    <xf numFmtId="14" fontId="60" fillId="0" borderId="0" xfId="0" applyNumberFormat="1" applyFont="1" applyBorder="1" applyAlignment="1">
      <alignment horizontal="center"/>
    </xf>
    <xf numFmtId="0" fontId="60" fillId="0" borderId="22" xfId="0" applyFont="1" applyBorder="1" applyAlignment="1">
      <alignment horizontal="center"/>
    </xf>
    <xf numFmtId="0" fontId="60" fillId="0" borderId="24" xfId="0" applyFont="1" applyBorder="1" applyAlignment="1">
      <alignment horizontal="center"/>
    </xf>
    <xf numFmtId="0" fontId="67" fillId="0" borderId="10" xfId="0" applyFont="1" applyBorder="1" applyAlignment="1">
      <alignment horizontal="center"/>
    </xf>
    <xf numFmtId="0" fontId="67" fillId="0" borderId="12" xfId="0" applyFont="1" applyBorder="1" applyAlignment="1">
      <alignment horizontal="center"/>
    </xf>
    <xf numFmtId="0" fontId="60" fillId="0" borderId="15" xfId="0" applyFont="1" applyBorder="1" applyAlignment="1">
      <alignment horizontal="center" vertical="center"/>
    </xf>
    <xf numFmtId="0" fontId="60" fillId="0" borderId="25" xfId="0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0" fontId="60" fillId="0" borderId="19" xfId="0" applyFont="1" applyBorder="1" applyAlignment="1">
      <alignment horizontal="center" vertical="center"/>
    </xf>
    <xf numFmtId="0" fontId="60" fillId="0" borderId="20" xfId="0" applyFont="1" applyBorder="1" applyAlignment="1">
      <alignment horizontal="center" vertical="center"/>
    </xf>
    <xf numFmtId="0" fontId="60" fillId="0" borderId="21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49" fontId="0" fillId="0" borderId="10" xfId="0" applyNumberFormat="1" applyBorder="1" applyAlignment="1">
      <alignment horizontal="left"/>
    </xf>
    <xf numFmtId="49" fontId="0" fillId="0" borderId="11" xfId="0" applyNumberFormat="1" applyBorder="1" applyAlignment="1">
      <alignment horizontal="left"/>
    </xf>
    <xf numFmtId="49" fontId="0" fillId="0" borderId="12" xfId="0" applyNumberFormat="1" applyBorder="1" applyAlignment="1">
      <alignment horizontal="left"/>
    </xf>
    <xf numFmtId="14" fontId="60" fillId="0" borderId="19" xfId="0" applyNumberFormat="1" applyFont="1" applyFill="1" applyBorder="1" applyAlignment="1">
      <alignment horizontal="center"/>
    </xf>
    <xf numFmtId="14" fontId="60" fillId="0" borderId="20" xfId="0" applyNumberFormat="1" applyFont="1" applyFill="1" applyBorder="1" applyAlignment="1">
      <alignment horizontal="center"/>
    </xf>
    <xf numFmtId="14" fontId="60" fillId="0" borderId="21" xfId="0" applyNumberFormat="1" applyFont="1" applyFill="1" applyBorder="1" applyAlignment="1">
      <alignment horizontal="center"/>
    </xf>
    <xf numFmtId="0" fontId="65" fillId="0" borderId="0" xfId="0" applyFont="1" applyFill="1" applyAlignment="1">
      <alignment horizontal="center"/>
    </xf>
    <xf numFmtId="0" fontId="60" fillId="0" borderId="0" xfId="0" applyFont="1" applyFill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3" fontId="0" fillId="0" borderId="10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73" fillId="0" borderId="10" xfId="0" applyFont="1" applyBorder="1" applyAlignment="1">
      <alignment horizontal="left"/>
    </xf>
    <xf numFmtId="0" fontId="73" fillId="0" borderId="11" xfId="0" applyFont="1" applyBorder="1" applyAlignment="1">
      <alignment horizontal="left"/>
    </xf>
    <xf numFmtId="0" fontId="73" fillId="0" borderId="12" xfId="0" applyFont="1" applyBorder="1" applyAlignment="1">
      <alignment horizontal="left"/>
    </xf>
    <xf numFmtId="3" fontId="60" fillId="0" borderId="10" xfId="0" applyNumberFormat="1" applyFont="1" applyBorder="1" applyAlignment="1">
      <alignment horizontal="right"/>
    </xf>
    <xf numFmtId="3" fontId="60" fillId="0" borderId="12" xfId="0" applyNumberFormat="1" applyFont="1" applyBorder="1" applyAlignment="1">
      <alignment horizontal="right"/>
    </xf>
    <xf numFmtId="0" fontId="60" fillId="0" borderId="10" xfId="0" applyFont="1" applyBorder="1" applyAlignment="1">
      <alignment horizontal="left"/>
    </xf>
    <xf numFmtId="0" fontId="60" fillId="0" borderId="11" xfId="0" applyFont="1" applyBorder="1" applyAlignment="1">
      <alignment horizontal="left"/>
    </xf>
    <xf numFmtId="0" fontId="60" fillId="0" borderId="12" xfId="0" applyFont="1" applyBorder="1" applyAlignment="1">
      <alignment horizontal="left"/>
    </xf>
    <xf numFmtId="3" fontId="60" fillId="0" borderId="13" xfId="0" applyNumberFormat="1" applyFont="1" applyBorder="1" applyAlignment="1">
      <alignment horizontal="right"/>
    </xf>
    <xf numFmtId="0" fontId="60" fillId="0" borderId="13" xfId="0" applyFont="1" applyBorder="1" applyAlignment="1">
      <alignment horizontal="right"/>
    </xf>
    <xf numFmtId="14" fontId="44" fillId="0" borderId="13" xfId="0" applyNumberFormat="1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3" fontId="0" fillId="0" borderId="13" xfId="0" applyNumberFormat="1" applyBorder="1" applyAlignment="1">
      <alignment horizontal="right"/>
    </xf>
    <xf numFmtId="3" fontId="0" fillId="0" borderId="13" xfId="0" applyNumberFormat="1" applyFill="1" applyBorder="1" applyAlignment="1">
      <alignment horizontal="right"/>
    </xf>
    <xf numFmtId="14" fontId="60" fillId="0" borderId="13" xfId="0" applyNumberFormat="1" applyFont="1" applyBorder="1" applyAlignment="1">
      <alignment horizontal="center"/>
    </xf>
    <xf numFmtId="0" fontId="63" fillId="0" borderId="10" xfId="0" applyFont="1" applyBorder="1" applyAlignment="1">
      <alignment horizontal="center"/>
    </xf>
    <xf numFmtId="0" fontId="63" fillId="0" borderId="11" xfId="0" applyFont="1" applyBorder="1" applyAlignment="1">
      <alignment horizontal="center"/>
    </xf>
    <xf numFmtId="0" fontId="63" fillId="0" borderId="12" xfId="0" applyFont="1" applyBorder="1" applyAlignment="1">
      <alignment horizontal="center"/>
    </xf>
    <xf numFmtId="3" fontId="0" fillId="0" borderId="10" xfId="0" applyNumberFormat="1" applyFill="1" applyBorder="1" applyAlignment="1">
      <alignment horizontal="right"/>
    </xf>
    <xf numFmtId="3" fontId="0" fillId="0" borderId="12" xfId="0" applyNumberFormat="1" applyFill="1" applyBorder="1" applyAlignment="1">
      <alignment horizontal="right"/>
    </xf>
    <xf numFmtId="3" fontId="60" fillId="0" borderId="19" xfId="0" applyNumberFormat="1" applyFont="1" applyBorder="1" applyAlignment="1">
      <alignment horizontal="right"/>
    </xf>
    <xf numFmtId="3" fontId="60" fillId="0" borderId="21" xfId="0" applyNumberFormat="1" applyFont="1" applyBorder="1" applyAlignment="1">
      <alignment horizontal="right"/>
    </xf>
    <xf numFmtId="0" fontId="60" fillId="0" borderId="10" xfId="0" applyFont="1" applyFill="1" applyBorder="1" applyAlignment="1">
      <alignment horizontal="left"/>
    </xf>
    <xf numFmtId="0" fontId="60" fillId="0" borderId="11" xfId="0" applyFont="1" applyFill="1" applyBorder="1" applyAlignment="1">
      <alignment horizontal="left"/>
    </xf>
    <xf numFmtId="0" fontId="60" fillId="0" borderId="14" xfId="0" applyFont="1" applyFill="1" applyBorder="1" applyAlignment="1">
      <alignment horizontal="left"/>
    </xf>
    <xf numFmtId="0" fontId="60" fillId="0" borderId="0" xfId="0" applyFont="1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3" fontId="0" fillId="0" borderId="10" xfId="0" applyNumberFormat="1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3" fontId="60" fillId="0" borderId="15" xfId="0" applyNumberFormat="1" applyFont="1" applyFill="1" applyBorder="1" applyAlignment="1">
      <alignment horizontal="center"/>
    </xf>
    <xf numFmtId="3" fontId="60" fillId="0" borderId="16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0" fontId="74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3" fontId="0" fillId="0" borderId="10" xfId="0" applyNumberFormat="1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 horizontal="right"/>
    </xf>
    <xf numFmtId="0" fontId="60" fillId="0" borderId="15" xfId="0" applyFont="1" applyFill="1" applyBorder="1" applyAlignment="1">
      <alignment horizontal="center" vertical="center"/>
    </xf>
    <xf numFmtId="0" fontId="60" fillId="0" borderId="25" xfId="0" applyFont="1" applyFill="1" applyBorder="1" applyAlignment="1">
      <alignment horizontal="center" vertical="center"/>
    </xf>
    <xf numFmtId="0" fontId="60" fillId="0" borderId="15" xfId="0" applyFont="1" applyFill="1" applyBorder="1" applyAlignment="1">
      <alignment horizontal="center"/>
    </xf>
    <xf numFmtId="0" fontId="60" fillId="0" borderId="25" xfId="0" applyFont="1" applyFill="1" applyBorder="1" applyAlignment="1">
      <alignment horizontal="center"/>
    </xf>
    <xf numFmtId="0" fontId="60" fillId="0" borderId="16" xfId="0" applyFon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60" fillId="0" borderId="12" xfId="0" applyFont="1" applyFill="1" applyBorder="1" applyAlignment="1">
      <alignment horizontal="lef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loria\Documents\Balance_Impositivo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 2006 y 2007"/>
      <sheetName val="Resultados 2006 y 2007"/>
      <sheetName val="Balance Gral Comparativo"/>
      <sheetName val="Renta"/>
      <sheetName val="Patrimonio"/>
      <sheetName val="Calculo Renta"/>
      <sheetName val="EstadodeResultados"/>
      <sheetName val="BalanceGeneral"/>
      <sheetName val="Calculo auxiliar"/>
      <sheetName val="Flujosdeefect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B10" sqref="B10"/>
    </sheetView>
  </sheetViews>
  <sheetFormatPr defaultColWidth="11.421875" defaultRowHeight="15"/>
  <cols>
    <col min="1" max="1" width="8.57421875" style="0" customWidth="1"/>
    <col min="3" max="3" width="17.57421875" style="0" customWidth="1"/>
    <col min="4" max="4" width="11.421875" style="0" customWidth="1"/>
    <col min="6" max="6" width="13.7109375" style="0" customWidth="1"/>
    <col min="7" max="7" width="14.421875" style="0" customWidth="1"/>
    <col min="8" max="8" width="14.8515625" style="0" customWidth="1"/>
  </cols>
  <sheetData>
    <row r="1" ht="15">
      <c r="A1" s="37"/>
    </row>
    <row r="2" ht="15">
      <c r="A2" s="37"/>
    </row>
    <row r="3" ht="15">
      <c r="A3" s="37"/>
    </row>
    <row r="4" ht="15">
      <c r="A4" s="37"/>
    </row>
    <row r="5" spans="1:8" ht="15">
      <c r="A5" s="37"/>
      <c r="B5" s="37"/>
      <c r="C5" s="37"/>
      <c r="D5" s="37"/>
      <c r="E5" s="37"/>
      <c r="F5" s="37"/>
      <c r="G5" s="37"/>
      <c r="H5" s="37"/>
    </row>
    <row r="6" spans="1:8" ht="15">
      <c r="A6" s="37"/>
      <c r="B6" s="37"/>
      <c r="C6" s="37"/>
      <c r="D6" s="37"/>
      <c r="E6" s="37"/>
      <c r="F6" s="37"/>
      <c r="G6" s="37"/>
      <c r="H6" s="37"/>
    </row>
    <row r="7" spans="1:8" ht="15">
      <c r="A7" s="37"/>
      <c r="B7" s="168"/>
      <c r="C7" s="106"/>
      <c r="D7" s="106"/>
      <c r="E7" s="106"/>
      <c r="F7" s="106"/>
      <c r="G7" s="106"/>
      <c r="H7" s="127"/>
    </row>
    <row r="8" spans="1:9" ht="21">
      <c r="A8" s="37"/>
      <c r="B8" s="428" t="s">
        <v>681</v>
      </c>
      <c r="C8" s="429"/>
      <c r="D8" s="429"/>
      <c r="E8" s="429"/>
      <c r="F8" s="429"/>
      <c r="G8" s="429"/>
      <c r="H8" s="430"/>
      <c r="I8" s="43"/>
    </row>
    <row r="9" spans="1:8" ht="15">
      <c r="A9" s="37"/>
      <c r="B9" s="11"/>
      <c r="C9" s="37"/>
      <c r="D9" s="37"/>
      <c r="E9" s="37"/>
      <c r="F9" s="37"/>
      <c r="G9" s="37"/>
      <c r="H9" s="79"/>
    </row>
    <row r="10" spans="1:8" ht="15">
      <c r="A10" s="37"/>
      <c r="B10" s="11" t="s">
        <v>773</v>
      </c>
      <c r="C10" s="37"/>
      <c r="D10" s="37"/>
      <c r="E10" s="37"/>
      <c r="F10" s="37"/>
      <c r="G10" s="37"/>
      <c r="H10" s="79"/>
    </row>
    <row r="11" spans="1:8" ht="15">
      <c r="A11" s="37"/>
      <c r="B11" s="11" t="s">
        <v>767</v>
      </c>
      <c r="C11" s="37"/>
      <c r="D11" s="37"/>
      <c r="E11" s="37"/>
      <c r="F11" s="37"/>
      <c r="G11" s="37"/>
      <c r="H11" s="79"/>
    </row>
    <row r="12" spans="1:8" ht="15">
      <c r="A12" s="37"/>
      <c r="B12" s="11"/>
      <c r="C12" s="37"/>
      <c r="D12" s="37"/>
      <c r="E12" s="37"/>
      <c r="F12" s="37"/>
      <c r="G12" s="37"/>
      <c r="H12" s="79"/>
    </row>
    <row r="13" spans="1:8" ht="21">
      <c r="A13" s="37"/>
      <c r="B13" s="5" t="s">
        <v>680</v>
      </c>
      <c r="C13" s="37"/>
      <c r="D13" s="278" t="s">
        <v>0</v>
      </c>
      <c r="E13" s="37"/>
      <c r="F13" s="37"/>
      <c r="G13" s="37"/>
      <c r="H13" s="79"/>
    </row>
    <row r="14" spans="1:8" ht="15">
      <c r="A14" s="37"/>
      <c r="B14" s="11"/>
      <c r="C14" s="37"/>
      <c r="D14" s="37"/>
      <c r="E14" s="37"/>
      <c r="F14" s="37"/>
      <c r="G14" s="37"/>
      <c r="H14" s="79"/>
    </row>
    <row r="15" spans="1:8" ht="15">
      <c r="A15" s="37"/>
      <c r="B15" s="5" t="s">
        <v>679</v>
      </c>
      <c r="C15" s="37"/>
      <c r="D15" s="37" t="s">
        <v>678</v>
      </c>
      <c r="E15" s="37"/>
      <c r="F15" s="37"/>
      <c r="G15" s="37"/>
      <c r="H15" s="79"/>
    </row>
    <row r="16" spans="1:8" ht="15">
      <c r="A16" s="37"/>
      <c r="B16" s="11"/>
      <c r="C16" s="37"/>
      <c r="D16" s="37"/>
      <c r="E16" s="37"/>
      <c r="F16" s="37"/>
      <c r="G16" s="37"/>
      <c r="H16" s="79"/>
    </row>
    <row r="17" spans="1:8" ht="15">
      <c r="A17" s="37"/>
      <c r="B17" s="5" t="s">
        <v>677</v>
      </c>
      <c r="C17" s="37"/>
      <c r="D17" s="37" t="s">
        <v>676</v>
      </c>
      <c r="E17" s="37"/>
      <c r="F17" s="37"/>
      <c r="G17" s="37"/>
      <c r="H17" s="79"/>
    </row>
    <row r="18" spans="1:8" ht="15">
      <c r="A18" s="37"/>
      <c r="B18" s="11"/>
      <c r="C18" s="37"/>
      <c r="D18" s="37"/>
      <c r="E18" s="37"/>
      <c r="F18" s="37"/>
      <c r="G18" s="37"/>
      <c r="H18" s="79"/>
    </row>
    <row r="19" spans="1:8" ht="15">
      <c r="A19" s="37"/>
      <c r="B19" s="5" t="s">
        <v>675</v>
      </c>
      <c r="C19" s="37"/>
      <c r="D19" s="37" t="s">
        <v>674</v>
      </c>
      <c r="E19" s="37"/>
      <c r="F19" s="37"/>
      <c r="G19" s="37"/>
      <c r="H19" s="79"/>
    </row>
    <row r="20" spans="1:8" ht="15">
      <c r="A20" s="37"/>
      <c r="B20" s="5" t="s">
        <v>673</v>
      </c>
      <c r="C20" s="37"/>
      <c r="D20" s="37"/>
      <c r="E20" s="37"/>
      <c r="F20" s="37"/>
      <c r="G20" s="37"/>
      <c r="H20" s="79"/>
    </row>
    <row r="21" spans="1:8" ht="15">
      <c r="A21" s="37"/>
      <c r="B21" s="5" t="s">
        <v>672</v>
      </c>
      <c r="C21" s="37"/>
      <c r="D21" s="37" t="s">
        <v>747</v>
      </c>
      <c r="E21" s="37"/>
      <c r="F21" s="37"/>
      <c r="G21" s="37"/>
      <c r="H21" s="79"/>
    </row>
    <row r="22" spans="1:8" ht="15">
      <c r="A22" s="37"/>
      <c r="B22" s="5"/>
      <c r="C22" s="37"/>
      <c r="D22" s="37" t="s">
        <v>748</v>
      </c>
      <c r="E22" s="37"/>
      <c r="F22" s="37"/>
      <c r="G22" s="37"/>
      <c r="H22" s="79"/>
    </row>
    <row r="23" spans="1:8" ht="15">
      <c r="A23" s="37"/>
      <c r="B23" s="5"/>
      <c r="C23" s="37"/>
      <c r="D23" s="37" t="s">
        <v>749</v>
      </c>
      <c r="E23" s="37"/>
      <c r="F23" s="37"/>
      <c r="G23" s="37"/>
      <c r="H23" s="79"/>
    </row>
    <row r="24" spans="1:8" ht="15">
      <c r="A24" s="37"/>
      <c r="B24" s="5"/>
      <c r="C24" s="37"/>
      <c r="D24" s="37"/>
      <c r="E24" s="37"/>
      <c r="F24" s="37"/>
      <c r="G24" s="37"/>
      <c r="H24" s="79"/>
    </row>
    <row r="25" spans="1:8" ht="15">
      <c r="A25" s="37"/>
      <c r="B25" s="5" t="s">
        <v>671</v>
      </c>
      <c r="C25" s="37"/>
      <c r="D25" s="37"/>
      <c r="E25" s="37"/>
      <c r="F25" s="37"/>
      <c r="G25" s="37"/>
      <c r="H25" s="79"/>
    </row>
    <row r="26" spans="1:8" ht="15">
      <c r="A26" s="37"/>
      <c r="B26" s="5" t="s">
        <v>670</v>
      </c>
      <c r="C26" s="37"/>
      <c r="D26" s="276" t="s">
        <v>669</v>
      </c>
      <c r="E26" s="37"/>
      <c r="F26" s="37"/>
      <c r="G26" s="37"/>
      <c r="H26" s="79"/>
    </row>
    <row r="27" spans="1:8" ht="15">
      <c r="A27" s="37"/>
      <c r="B27" s="5"/>
      <c r="C27" s="37"/>
      <c r="D27" s="37"/>
      <c r="E27" s="37"/>
      <c r="F27" s="37"/>
      <c r="G27" s="37"/>
      <c r="H27" s="79"/>
    </row>
    <row r="28" spans="1:8" ht="15">
      <c r="A28" s="37"/>
      <c r="B28" s="11" t="s">
        <v>668</v>
      </c>
      <c r="C28" s="37"/>
      <c r="D28" s="37"/>
      <c r="E28" s="37"/>
      <c r="F28" s="37"/>
      <c r="G28" s="37"/>
      <c r="H28" s="79"/>
    </row>
    <row r="29" spans="1:8" ht="15">
      <c r="A29" s="37"/>
      <c r="B29" s="11"/>
      <c r="C29" s="37"/>
      <c r="D29" s="277">
        <v>77728</v>
      </c>
      <c r="E29" s="37"/>
      <c r="F29" s="37"/>
      <c r="G29" s="37"/>
      <c r="H29" s="79"/>
    </row>
    <row r="30" spans="1:8" ht="15">
      <c r="A30" s="37"/>
      <c r="B30" s="11"/>
      <c r="C30" s="37"/>
      <c r="D30" s="276"/>
      <c r="E30" s="37"/>
      <c r="F30" s="37"/>
      <c r="G30" s="37"/>
      <c r="H30" s="79"/>
    </row>
    <row r="31" spans="1:8" ht="15">
      <c r="A31" s="37"/>
      <c r="B31" s="5" t="s">
        <v>667</v>
      </c>
      <c r="C31" s="37"/>
      <c r="D31" s="37" t="s">
        <v>666</v>
      </c>
      <c r="E31" s="37"/>
      <c r="F31" s="37"/>
      <c r="G31" s="37"/>
      <c r="H31" s="79"/>
    </row>
    <row r="32" spans="1:8" ht="15">
      <c r="A32" s="37"/>
      <c r="B32" s="11"/>
      <c r="C32" s="37"/>
      <c r="D32" s="37" t="s">
        <v>665</v>
      </c>
      <c r="E32" s="37"/>
      <c r="F32" s="37"/>
      <c r="G32" s="37"/>
      <c r="H32" s="79"/>
    </row>
    <row r="33" spans="1:8" ht="15">
      <c r="A33" s="37"/>
      <c r="B33" s="5"/>
      <c r="C33" s="37"/>
      <c r="D33" s="37"/>
      <c r="E33" s="37"/>
      <c r="F33" s="337"/>
      <c r="G33" s="337"/>
      <c r="H33" s="79"/>
    </row>
    <row r="34" spans="1:8" ht="15">
      <c r="A34" s="37"/>
      <c r="B34" s="5" t="s">
        <v>664</v>
      </c>
      <c r="C34" s="37"/>
      <c r="D34" s="37" t="s">
        <v>663</v>
      </c>
      <c r="E34" s="37"/>
      <c r="F34" s="337"/>
      <c r="G34" s="337"/>
      <c r="H34" s="79"/>
    </row>
    <row r="35" spans="1:8" ht="15">
      <c r="A35" s="37"/>
      <c r="B35" s="5"/>
      <c r="C35" s="37"/>
      <c r="D35" s="37"/>
      <c r="E35" s="37"/>
      <c r="F35" s="337"/>
      <c r="G35" s="337"/>
      <c r="H35" s="79"/>
    </row>
    <row r="36" spans="1:8" ht="15">
      <c r="A36" s="37"/>
      <c r="B36" s="11"/>
      <c r="C36" s="37"/>
      <c r="D36" s="37"/>
      <c r="E36" s="37"/>
      <c r="F36" s="337"/>
      <c r="G36" s="337"/>
      <c r="H36" s="79"/>
    </row>
    <row r="37" spans="1:8" ht="15">
      <c r="A37" s="37"/>
      <c r="B37" s="347" t="s">
        <v>662</v>
      </c>
      <c r="C37" s="431"/>
      <c r="D37" s="432"/>
      <c r="E37" s="433"/>
      <c r="F37" s="347" t="s">
        <v>661</v>
      </c>
      <c r="G37" s="347" t="s">
        <v>660</v>
      </c>
      <c r="H37" s="345" t="s">
        <v>659</v>
      </c>
    </row>
    <row r="38" spans="1:8" ht="15">
      <c r="A38" s="37"/>
      <c r="B38" s="130"/>
      <c r="C38" s="440" t="s">
        <v>658</v>
      </c>
      <c r="D38" s="441"/>
      <c r="E38" s="442"/>
      <c r="F38" s="275" t="s">
        <v>657</v>
      </c>
      <c r="G38" s="275" t="s">
        <v>656</v>
      </c>
      <c r="H38" s="346" t="s">
        <v>656</v>
      </c>
    </row>
    <row r="39" spans="1:8" ht="15">
      <c r="A39" s="37"/>
      <c r="B39" s="113"/>
      <c r="C39" s="274"/>
      <c r="D39" s="273"/>
      <c r="E39" s="272"/>
      <c r="F39" s="348" t="s">
        <v>655</v>
      </c>
      <c r="G39" s="113"/>
      <c r="H39" s="271"/>
    </row>
    <row r="40" spans="1:8" ht="15">
      <c r="A40" s="37"/>
      <c r="B40" s="12">
        <v>3000</v>
      </c>
      <c r="C40" s="434" t="s">
        <v>654</v>
      </c>
      <c r="D40" s="435"/>
      <c r="E40" s="436"/>
      <c r="F40" s="270">
        <v>5</v>
      </c>
      <c r="G40" s="18">
        <v>3000000000</v>
      </c>
      <c r="H40" s="14">
        <f>+G40</f>
        <v>3000000000</v>
      </c>
    </row>
    <row r="41" spans="1:8" ht="15">
      <c r="A41" s="37"/>
      <c r="B41" s="12">
        <v>12000</v>
      </c>
      <c r="C41" s="443" t="s">
        <v>653</v>
      </c>
      <c r="D41" s="444"/>
      <c r="E41" s="445"/>
      <c r="F41" s="270">
        <v>1</v>
      </c>
      <c r="G41" s="18">
        <v>12000000000</v>
      </c>
      <c r="H41" s="14">
        <f>+G41</f>
        <v>12000000000</v>
      </c>
    </row>
    <row r="42" spans="1:8" ht="15">
      <c r="A42" s="37"/>
      <c r="B42" s="136"/>
      <c r="C42" s="136"/>
      <c r="D42" s="23"/>
      <c r="E42" s="24"/>
      <c r="F42" s="85"/>
      <c r="G42" s="85"/>
      <c r="H42" s="24"/>
    </row>
    <row r="43" spans="1:8" ht="15.75" thickBot="1">
      <c r="A43" s="37"/>
      <c r="B43" s="103">
        <f>SUM(B40:B41)</f>
        <v>15000</v>
      </c>
      <c r="C43" s="437" t="s">
        <v>62</v>
      </c>
      <c r="D43" s="438"/>
      <c r="E43" s="439"/>
      <c r="F43" s="103"/>
      <c r="G43" s="103">
        <f>SUM(G40:G41)</f>
        <v>15000000000</v>
      </c>
      <c r="H43" s="269">
        <f>SUM(H40:H41)</f>
        <v>15000000000</v>
      </c>
    </row>
    <row r="44" spans="1:8" ht="15.75" thickTop="1">
      <c r="A44" s="37"/>
      <c r="B44" s="136"/>
      <c r="C44" s="23"/>
      <c r="D44" s="23"/>
      <c r="E44" s="23"/>
      <c r="F44" s="23"/>
      <c r="G44" s="23"/>
      <c r="H44" s="24"/>
    </row>
    <row r="45" ht="15">
      <c r="A45" s="37"/>
    </row>
    <row r="46" ht="15">
      <c r="A46" s="37"/>
    </row>
    <row r="49" spans="4:7" ht="15">
      <c r="D49" s="427" t="s">
        <v>714</v>
      </c>
      <c r="E49" s="427"/>
      <c r="F49" s="427" t="s">
        <v>716</v>
      </c>
      <c r="G49" s="427"/>
    </row>
    <row r="50" spans="4:7" ht="15">
      <c r="D50" s="427" t="s">
        <v>715</v>
      </c>
      <c r="E50" s="427"/>
      <c r="F50" s="427" t="s">
        <v>717</v>
      </c>
      <c r="G50" s="427"/>
    </row>
  </sheetData>
  <sheetProtection/>
  <mergeCells count="10">
    <mergeCell ref="D49:E49"/>
    <mergeCell ref="F49:G49"/>
    <mergeCell ref="D50:E50"/>
    <mergeCell ref="F50:G50"/>
    <mergeCell ref="B8:H8"/>
    <mergeCell ref="C37:E37"/>
    <mergeCell ref="C40:E40"/>
    <mergeCell ref="C43:E43"/>
    <mergeCell ref="C38:E38"/>
    <mergeCell ref="C41:E41"/>
  </mergeCells>
  <printOptions/>
  <pageMargins left="0.31496062992125984" right="0" top="0.7480314960629921" bottom="0.7480314960629921" header="0.31496062992125984" footer="0.31496062992125984"/>
  <pageSetup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E21" sqref="E21"/>
    </sheetView>
  </sheetViews>
  <sheetFormatPr defaultColWidth="11.421875" defaultRowHeight="15"/>
  <cols>
    <col min="1" max="1" width="5.00390625" style="0" customWidth="1"/>
    <col min="2" max="2" width="40.7109375" style="0" customWidth="1"/>
    <col min="3" max="3" width="21.421875" style="0" customWidth="1"/>
    <col min="4" max="4" width="16.00390625" style="0" customWidth="1"/>
    <col min="6" max="7" width="19.28125" style="0" customWidth="1"/>
  </cols>
  <sheetData>
    <row r="1" ht="15">
      <c r="G1" s="126" t="s">
        <v>314</v>
      </c>
    </row>
    <row r="2" spans="1:7" ht="21">
      <c r="A2" s="43"/>
      <c r="B2" s="447" t="s">
        <v>0</v>
      </c>
      <c r="C2" s="447"/>
      <c r="D2" s="447"/>
      <c r="E2" s="447"/>
      <c r="F2" s="447"/>
      <c r="G2" s="447"/>
    </row>
    <row r="3" spans="1:7" ht="21">
      <c r="A3" s="43"/>
      <c r="B3" s="447" t="s">
        <v>781</v>
      </c>
      <c r="C3" s="447"/>
      <c r="D3" s="447"/>
      <c r="E3" s="447"/>
      <c r="F3" s="447"/>
      <c r="G3" s="447"/>
    </row>
    <row r="4" spans="1:7" ht="21">
      <c r="A4" s="43"/>
      <c r="B4" s="447" t="s">
        <v>315</v>
      </c>
      <c r="C4" s="447"/>
      <c r="D4" s="447"/>
      <c r="E4" s="447"/>
      <c r="F4" s="447"/>
      <c r="G4" s="447"/>
    </row>
    <row r="5" spans="1:7" ht="15">
      <c r="A5" s="42"/>
      <c r="B5" s="427" t="s">
        <v>18</v>
      </c>
      <c r="C5" s="427"/>
      <c r="D5" s="427"/>
      <c r="E5" s="427"/>
      <c r="F5" s="427"/>
      <c r="G5" s="427"/>
    </row>
    <row r="8" spans="2:7" ht="15">
      <c r="B8" s="488" t="s">
        <v>190</v>
      </c>
      <c r="C8" s="268" t="s">
        <v>648</v>
      </c>
      <c r="D8" s="116" t="s">
        <v>266</v>
      </c>
      <c r="E8" s="116" t="s">
        <v>247</v>
      </c>
      <c r="F8" s="116" t="s">
        <v>316</v>
      </c>
      <c r="G8" s="421" t="s">
        <v>686</v>
      </c>
    </row>
    <row r="9" spans="2:7" ht="15">
      <c r="B9" s="489"/>
      <c r="C9" s="128" t="s">
        <v>649</v>
      </c>
      <c r="D9" s="98" t="s">
        <v>317</v>
      </c>
      <c r="E9" s="98" t="s">
        <v>317</v>
      </c>
      <c r="F9" s="128">
        <v>43921</v>
      </c>
      <c r="G9" s="128" t="s">
        <v>770</v>
      </c>
    </row>
    <row r="10" spans="2:7" ht="15">
      <c r="B10" s="84"/>
      <c r="C10" s="84"/>
      <c r="D10" s="84"/>
      <c r="E10" s="84"/>
      <c r="F10" s="84"/>
      <c r="G10" s="84"/>
    </row>
    <row r="11" spans="2:7" ht="15">
      <c r="B11" s="85" t="s">
        <v>318</v>
      </c>
      <c r="C11" s="110">
        <f>+C13+C15</f>
        <v>238271</v>
      </c>
      <c r="D11" s="110">
        <f>+D13+D15</f>
        <v>0</v>
      </c>
      <c r="E11" s="110">
        <f>+E13+E15</f>
        <v>0</v>
      </c>
      <c r="F11" s="110">
        <f>+C11+D11+E11</f>
        <v>238271</v>
      </c>
      <c r="G11" s="110">
        <f>+G13+G15</f>
        <v>238271</v>
      </c>
    </row>
    <row r="12" spans="2:7" ht="15">
      <c r="B12" s="130" t="s">
        <v>739</v>
      </c>
      <c r="C12" s="18"/>
      <c r="D12" s="18"/>
      <c r="E12" s="18"/>
      <c r="F12" s="18"/>
      <c r="G12" s="18"/>
    </row>
    <row r="13" spans="2:7" ht="15">
      <c r="B13" s="87" t="s">
        <v>319</v>
      </c>
      <c r="C13" s="18">
        <v>184210</v>
      </c>
      <c r="D13" s="18">
        <v>0</v>
      </c>
      <c r="E13" s="18">
        <v>0</v>
      </c>
      <c r="F13" s="110">
        <f>+C13+D13+E13</f>
        <v>184210</v>
      </c>
      <c r="G13" s="18">
        <v>184210</v>
      </c>
    </row>
    <row r="14" spans="2:7" ht="18.75">
      <c r="B14" s="130" t="s">
        <v>740</v>
      </c>
      <c r="C14" s="129"/>
      <c r="D14" s="129"/>
      <c r="E14" s="129"/>
      <c r="F14" s="110">
        <f>+C14+D14+E14</f>
        <v>0</v>
      </c>
      <c r="G14" s="129"/>
    </row>
    <row r="15" spans="2:7" ht="15">
      <c r="B15" s="87" t="s">
        <v>319</v>
      </c>
      <c r="C15" s="18">
        <v>54061</v>
      </c>
      <c r="D15" s="18">
        <v>0</v>
      </c>
      <c r="E15" s="18">
        <v>0</v>
      </c>
      <c r="F15" s="110">
        <f>+C15+D15+E15</f>
        <v>54061</v>
      </c>
      <c r="G15" s="18">
        <v>54061</v>
      </c>
    </row>
    <row r="16" spans="2:7" ht="15">
      <c r="B16" s="87"/>
      <c r="C16" s="110"/>
      <c r="D16" s="110"/>
      <c r="E16" s="110"/>
      <c r="F16" s="110">
        <f>+C16+D16+E16</f>
        <v>0</v>
      </c>
      <c r="G16" s="110"/>
    </row>
    <row r="17" spans="2:7" ht="15">
      <c r="B17" s="50" t="s">
        <v>189</v>
      </c>
      <c r="C17" s="34">
        <f>+C11</f>
        <v>238271</v>
      </c>
      <c r="D17" s="34">
        <f>+D13+D15</f>
        <v>0</v>
      </c>
      <c r="E17" s="34">
        <f>+E13+E15</f>
        <v>0</v>
      </c>
      <c r="F17" s="110">
        <f>+C17+D17+E17</f>
        <v>238271</v>
      </c>
      <c r="G17" s="34">
        <f>+G11</f>
        <v>238271</v>
      </c>
    </row>
    <row r="18" spans="1:7" ht="15">
      <c r="A18" s="37"/>
      <c r="B18" s="37"/>
      <c r="C18" s="37"/>
      <c r="D18" s="37"/>
      <c r="E18" s="37"/>
      <c r="F18" s="37"/>
      <c r="G18" s="37"/>
    </row>
    <row r="19" ht="15">
      <c r="B19" t="s">
        <v>320</v>
      </c>
    </row>
    <row r="26" spans="4:7" ht="15">
      <c r="D26" s="427" t="s">
        <v>714</v>
      </c>
      <c r="E26" s="427"/>
      <c r="F26" s="427" t="s">
        <v>716</v>
      </c>
      <c r="G26" s="427"/>
    </row>
    <row r="27" spans="4:7" ht="15">
      <c r="D27" s="427" t="s">
        <v>715</v>
      </c>
      <c r="E27" s="427"/>
      <c r="F27" s="427" t="s">
        <v>717</v>
      </c>
      <c r="G27" s="427"/>
    </row>
  </sheetData>
  <sheetProtection/>
  <mergeCells count="9">
    <mergeCell ref="D27:E27"/>
    <mergeCell ref="F27:G27"/>
    <mergeCell ref="B2:G2"/>
    <mergeCell ref="B3:G3"/>
    <mergeCell ref="B4:G4"/>
    <mergeCell ref="B5:G5"/>
    <mergeCell ref="B8:B9"/>
    <mergeCell ref="D26:E26"/>
    <mergeCell ref="F26:G26"/>
  </mergeCells>
  <printOptions/>
  <pageMargins left="1.299212598425197" right="0" top="1.3385826771653544" bottom="0.7480314960629921" header="0.31496062992125984" footer="0.31496062992125984"/>
  <pageSetup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H42" sqref="H42:I42"/>
    </sheetView>
  </sheetViews>
  <sheetFormatPr defaultColWidth="11.421875" defaultRowHeight="15"/>
  <cols>
    <col min="1" max="1" width="4.7109375" style="0" customWidth="1"/>
    <col min="2" max="2" width="6.28125" style="0" customWidth="1"/>
    <col min="7" max="7" width="4.421875" style="0" customWidth="1"/>
    <col min="8" max="8" width="5.00390625" style="0" customWidth="1"/>
    <col min="9" max="9" width="11.421875" style="0" customWidth="1"/>
    <col min="11" max="11" width="12.7109375" style="0" bestFit="1" customWidth="1"/>
  </cols>
  <sheetData>
    <row r="1" ht="15">
      <c r="L1" s="126" t="s">
        <v>321</v>
      </c>
    </row>
    <row r="2" spans="1:13" ht="21">
      <c r="A2" s="43"/>
      <c r="B2" s="43"/>
      <c r="C2" s="447" t="s">
        <v>0</v>
      </c>
      <c r="D2" s="447"/>
      <c r="E2" s="447"/>
      <c r="F2" s="447"/>
      <c r="G2" s="447"/>
      <c r="H2" s="447"/>
      <c r="I2" s="447"/>
      <c r="J2" s="447"/>
      <c r="K2" s="447"/>
      <c r="L2" s="447"/>
      <c r="M2" s="43"/>
    </row>
    <row r="3" spans="1:13" ht="21">
      <c r="A3" s="43"/>
      <c r="B3" s="43"/>
      <c r="C3" s="447" t="s">
        <v>781</v>
      </c>
      <c r="D3" s="447"/>
      <c r="E3" s="447"/>
      <c r="F3" s="447"/>
      <c r="G3" s="447"/>
      <c r="H3" s="447"/>
      <c r="I3" s="447"/>
      <c r="J3" s="447"/>
      <c r="K3" s="447"/>
      <c r="L3" s="447"/>
      <c r="M3" s="43"/>
    </row>
    <row r="4" spans="1:13" ht="21">
      <c r="A4" s="43"/>
      <c r="B4" s="43"/>
      <c r="C4" s="447" t="s">
        <v>322</v>
      </c>
      <c r="D4" s="447"/>
      <c r="E4" s="447"/>
      <c r="F4" s="447"/>
      <c r="G4" s="447"/>
      <c r="H4" s="447"/>
      <c r="I4" s="447"/>
      <c r="J4" s="447"/>
      <c r="K4" s="447"/>
      <c r="L4" s="447"/>
      <c r="M4" s="43"/>
    </row>
    <row r="5" spans="1:13" ht="15">
      <c r="A5" s="42"/>
      <c r="B5" s="42"/>
      <c r="C5" s="427" t="s">
        <v>18</v>
      </c>
      <c r="D5" s="427"/>
      <c r="E5" s="427"/>
      <c r="F5" s="427"/>
      <c r="G5" s="427"/>
      <c r="H5" s="427"/>
      <c r="I5" s="427"/>
      <c r="J5" s="427"/>
      <c r="K5" s="427"/>
      <c r="L5" s="427"/>
      <c r="M5" s="42"/>
    </row>
    <row r="8" spans="3:14" ht="15">
      <c r="C8" s="431" t="s">
        <v>323</v>
      </c>
      <c r="D8" s="432"/>
      <c r="E8" s="432"/>
      <c r="F8" s="432"/>
      <c r="G8" s="432"/>
      <c r="H8" s="433"/>
      <c r="I8" s="451" t="s">
        <v>549</v>
      </c>
      <c r="J8" s="452"/>
      <c r="K8" s="451" t="s">
        <v>549</v>
      </c>
      <c r="L8" s="452"/>
      <c r="M8" s="441"/>
      <c r="N8" s="441"/>
    </row>
    <row r="9" spans="3:14" ht="15">
      <c r="C9" s="448"/>
      <c r="D9" s="449"/>
      <c r="E9" s="449"/>
      <c r="F9" s="449"/>
      <c r="G9" s="449"/>
      <c r="H9" s="450"/>
      <c r="I9" s="490">
        <v>44012</v>
      </c>
      <c r="J9" s="491"/>
      <c r="K9" s="490">
        <v>43646</v>
      </c>
      <c r="L9" s="491"/>
      <c r="M9" s="492"/>
      <c r="N9" s="492"/>
    </row>
    <row r="10" spans="3:14" ht="15">
      <c r="C10" s="29" t="s">
        <v>324</v>
      </c>
      <c r="D10" s="30"/>
      <c r="E10" s="30"/>
      <c r="F10" s="30"/>
      <c r="G10" s="30"/>
      <c r="H10" s="30"/>
      <c r="I10" s="31"/>
      <c r="J10" s="31"/>
      <c r="K10" s="31"/>
      <c r="L10" s="40"/>
      <c r="M10" s="198"/>
      <c r="N10" s="198"/>
    </row>
    <row r="11" spans="3:14" ht="15">
      <c r="C11" s="5" t="s">
        <v>325</v>
      </c>
      <c r="D11" s="6"/>
      <c r="E11" s="6"/>
      <c r="F11" s="6"/>
      <c r="G11" s="6"/>
      <c r="H11" s="6"/>
      <c r="I11" s="7">
        <f>SUM(I12:I17)</f>
        <v>26755619</v>
      </c>
      <c r="J11" s="130"/>
      <c r="K11" s="7">
        <f>SUM(K12:K17)-1</f>
        <v>25266602</v>
      </c>
      <c r="L11" s="130"/>
      <c r="M11" s="20"/>
      <c r="N11" s="49"/>
    </row>
    <row r="12" spans="3:14" ht="15">
      <c r="C12" s="131" t="s">
        <v>326</v>
      </c>
      <c r="I12" s="18">
        <f>+K27</f>
        <v>23447350</v>
      </c>
      <c r="J12" s="87"/>
      <c r="K12" s="12">
        <v>21237486</v>
      </c>
      <c r="L12" s="87"/>
      <c r="M12" s="37"/>
      <c r="N12" s="37"/>
    </row>
    <row r="13" spans="3:14" ht="15">
      <c r="C13" s="11" t="s">
        <v>327</v>
      </c>
      <c r="I13" s="18">
        <f>+K28</f>
        <v>1231908</v>
      </c>
      <c r="J13" s="87"/>
      <c r="K13" s="12">
        <v>840315</v>
      </c>
      <c r="L13" s="87"/>
      <c r="M13" s="37"/>
      <c r="N13" s="37"/>
    </row>
    <row r="14" spans="3:14" ht="15">
      <c r="C14" s="131" t="s">
        <v>328</v>
      </c>
      <c r="H14" s="79"/>
      <c r="I14" s="18">
        <f>+K29</f>
        <v>45986</v>
      </c>
      <c r="J14" s="87"/>
      <c r="K14" s="18">
        <v>65462</v>
      </c>
      <c r="L14" s="87"/>
      <c r="M14" s="37"/>
      <c r="N14" s="37"/>
    </row>
    <row r="15" spans="3:14" ht="15">
      <c r="C15" s="131" t="s">
        <v>329</v>
      </c>
      <c r="I15" s="18">
        <f>+K30</f>
        <v>1983054</v>
      </c>
      <c r="J15" s="87"/>
      <c r="K15" s="12">
        <v>2969714</v>
      </c>
      <c r="L15" s="87"/>
      <c r="M15" s="37"/>
      <c r="N15" s="37"/>
    </row>
    <row r="16" spans="3:14" ht="15">
      <c r="C16" s="11" t="s">
        <v>330</v>
      </c>
      <c r="I16" s="110">
        <f>+K31</f>
        <v>47321</v>
      </c>
      <c r="J16" s="37"/>
      <c r="K16" s="18">
        <v>153626</v>
      </c>
      <c r="L16" s="79"/>
      <c r="M16" s="37"/>
      <c r="N16" s="37"/>
    </row>
    <row r="17" spans="3:14" ht="15">
      <c r="C17" s="443" t="s">
        <v>689</v>
      </c>
      <c r="D17" s="444"/>
      <c r="E17" s="444"/>
      <c r="F17" s="444"/>
      <c r="I17" s="110">
        <v>0</v>
      </c>
      <c r="J17" s="87"/>
      <c r="K17" s="110">
        <v>0</v>
      </c>
      <c r="L17" s="87"/>
      <c r="M17" s="37"/>
      <c r="N17" s="37"/>
    </row>
    <row r="18" spans="3:14" ht="15">
      <c r="C18" s="11"/>
      <c r="I18" s="5"/>
      <c r="J18" s="130"/>
      <c r="K18" s="5"/>
      <c r="L18" s="130"/>
      <c r="M18" s="49"/>
      <c r="N18" s="49"/>
    </row>
    <row r="19" spans="3:14" ht="15">
      <c r="C19" s="5" t="s">
        <v>331</v>
      </c>
      <c r="I19" s="7">
        <f>+I20+I21</f>
        <v>6666403</v>
      </c>
      <c r="J19" s="132"/>
      <c r="K19" s="7">
        <f>+K20+K21</f>
        <v>9529054</v>
      </c>
      <c r="L19" s="87"/>
      <c r="M19" s="20"/>
      <c r="N19" s="37"/>
    </row>
    <row r="20" spans="3:14" ht="15">
      <c r="C20" s="11" t="s">
        <v>332</v>
      </c>
      <c r="H20" s="79"/>
      <c r="I20" s="18">
        <v>6666403</v>
      </c>
      <c r="J20" s="18"/>
      <c r="K20" s="18">
        <v>9529054</v>
      </c>
      <c r="L20" s="79"/>
      <c r="M20" s="19"/>
      <c r="N20" s="37"/>
    </row>
    <row r="21" spans="3:14" ht="15">
      <c r="C21" s="11" t="s">
        <v>333</v>
      </c>
      <c r="D21" s="39"/>
      <c r="H21" s="79"/>
      <c r="I21" s="293">
        <f>+GASTOS!C25</f>
        <v>0</v>
      </c>
      <c r="J21" s="18"/>
      <c r="K21" s="292">
        <v>0</v>
      </c>
      <c r="L21" s="79"/>
      <c r="M21" s="19"/>
      <c r="N21" s="37"/>
    </row>
    <row r="22" spans="3:14" ht="15">
      <c r="C22" s="5"/>
      <c r="H22" s="79"/>
      <c r="I22" s="87"/>
      <c r="J22" s="87"/>
      <c r="K22" s="87"/>
      <c r="L22" s="79"/>
      <c r="M22" s="37"/>
      <c r="N22" s="37"/>
    </row>
    <row r="23" spans="3:14" ht="15">
      <c r="C23" s="131" t="s">
        <v>334</v>
      </c>
      <c r="H23" s="79"/>
      <c r="I23" s="87">
        <v>0</v>
      </c>
      <c r="J23" s="87"/>
      <c r="K23" s="87">
        <v>0</v>
      </c>
      <c r="L23" s="79"/>
      <c r="M23" s="37"/>
      <c r="N23" s="37"/>
    </row>
    <row r="24" spans="3:14" ht="15">
      <c r="C24" s="11" t="s">
        <v>335</v>
      </c>
      <c r="H24" s="79"/>
      <c r="I24" s="87">
        <v>0</v>
      </c>
      <c r="J24" s="87"/>
      <c r="K24" s="87">
        <v>0</v>
      </c>
      <c r="L24" s="79"/>
      <c r="M24" s="37"/>
      <c r="N24" s="37"/>
    </row>
    <row r="25" spans="3:14" ht="15">
      <c r="C25" s="11"/>
      <c r="H25" s="79"/>
      <c r="I25" s="87"/>
      <c r="J25" s="87"/>
      <c r="K25" s="87"/>
      <c r="L25" s="79"/>
      <c r="M25" s="37"/>
      <c r="N25" s="37"/>
    </row>
    <row r="26" spans="3:14" ht="15">
      <c r="C26" s="5" t="s">
        <v>336</v>
      </c>
      <c r="H26" s="79"/>
      <c r="I26" s="132">
        <f>SUM(I27:I31)</f>
        <v>25432633</v>
      </c>
      <c r="J26" s="18"/>
      <c r="K26" s="132">
        <f>SUM(K27:K31)</f>
        <v>26755619</v>
      </c>
      <c r="L26" s="79"/>
      <c r="M26" s="20"/>
      <c r="N26" s="37"/>
    </row>
    <row r="27" spans="3:14" ht="15">
      <c r="C27" s="131" t="s">
        <v>326</v>
      </c>
      <c r="H27" s="79"/>
      <c r="I27" s="18">
        <v>23645852</v>
      </c>
      <c r="J27" s="18"/>
      <c r="K27" s="18">
        <v>23447350</v>
      </c>
      <c r="L27" s="79"/>
      <c r="M27" s="37"/>
      <c r="N27" s="37"/>
    </row>
    <row r="28" spans="3:14" ht="15">
      <c r="C28" s="11" t="s">
        <v>327</v>
      </c>
      <c r="H28" s="79"/>
      <c r="I28" s="18">
        <v>461695</v>
      </c>
      <c r="J28" s="18"/>
      <c r="K28" s="18">
        <v>1231908</v>
      </c>
      <c r="L28" s="79"/>
      <c r="M28" s="37"/>
      <c r="N28" s="37"/>
    </row>
    <row r="29" spans="3:14" ht="15">
      <c r="C29" s="131" t="s">
        <v>328</v>
      </c>
      <c r="H29" s="79"/>
      <c r="I29" s="18">
        <v>22367</v>
      </c>
      <c r="J29" s="18"/>
      <c r="K29" s="18">
        <v>45986</v>
      </c>
      <c r="L29" s="79"/>
      <c r="M29" s="37"/>
      <c r="N29" s="37"/>
    </row>
    <row r="30" spans="3:14" ht="15">
      <c r="C30" s="131" t="s">
        <v>329</v>
      </c>
      <c r="H30" s="79"/>
      <c r="I30" s="18">
        <f>1138946+83507</f>
        <v>1222453</v>
      </c>
      <c r="J30" s="18"/>
      <c r="K30" s="18">
        <v>1983054</v>
      </c>
      <c r="L30" s="79"/>
      <c r="M30" s="37"/>
      <c r="N30" s="37"/>
    </row>
    <row r="31" spans="2:14" ht="15">
      <c r="B31" s="79"/>
      <c r="C31" s="37" t="s">
        <v>330</v>
      </c>
      <c r="D31" s="37"/>
      <c r="E31" s="37"/>
      <c r="F31" s="37"/>
      <c r="G31" s="37"/>
      <c r="H31" s="79"/>
      <c r="I31" s="110">
        <v>80266</v>
      </c>
      <c r="J31" s="18"/>
      <c r="K31" s="110">
        <v>47321</v>
      </c>
      <c r="L31" s="79"/>
      <c r="M31" s="37"/>
      <c r="N31" s="37"/>
    </row>
    <row r="32" spans="2:14" ht="15">
      <c r="B32" s="79"/>
      <c r="C32" s="37"/>
      <c r="D32" s="37"/>
      <c r="E32" s="37"/>
      <c r="F32" s="37"/>
      <c r="G32" s="37"/>
      <c r="H32" s="79"/>
      <c r="I32" s="11"/>
      <c r="J32" s="85"/>
      <c r="K32" s="87"/>
      <c r="L32" s="85"/>
      <c r="M32" s="37"/>
      <c r="N32" s="37"/>
    </row>
    <row r="33" spans="2:14" ht="15">
      <c r="B33" s="79"/>
      <c r="C33" s="133" t="s">
        <v>337</v>
      </c>
      <c r="D33" s="37"/>
      <c r="E33" s="37"/>
      <c r="F33" s="37"/>
      <c r="G33" s="37"/>
      <c r="H33" s="79"/>
      <c r="I33" s="11"/>
      <c r="J33" s="87"/>
      <c r="K33" s="87"/>
      <c r="L33" s="79"/>
      <c r="M33" s="37"/>
      <c r="N33" s="37"/>
    </row>
    <row r="34" spans="2:14" ht="15">
      <c r="B34" s="79"/>
      <c r="C34" s="37"/>
      <c r="D34" s="37"/>
      <c r="E34" s="37"/>
      <c r="F34" s="37"/>
      <c r="G34" s="37"/>
      <c r="H34" s="79"/>
      <c r="I34" s="87"/>
      <c r="J34" s="87"/>
      <c r="K34" s="87"/>
      <c r="L34" s="87"/>
      <c r="M34" s="37"/>
      <c r="N34" s="37"/>
    </row>
    <row r="35" spans="2:14" ht="15">
      <c r="B35" s="79"/>
      <c r="C35" s="133" t="s">
        <v>338</v>
      </c>
      <c r="D35" s="49"/>
      <c r="E35" s="49"/>
      <c r="F35" s="49"/>
      <c r="G35" s="49"/>
      <c r="H35" s="134"/>
      <c r="I35" s="5"/>
      <c r="J35" s="132"/>
      <c r="K35" s="130"/>
      <c r="L35" s="132"/>
      <c r="M35" s="49"/>
      <c r="N35" s="20"/>
    </row>
    <row r="36" spans="2:14" ht="15.75" thickBot="1">
      <c r="B36" s="79"/>
      <c r="C36" s="133" t="s">
        <v>339</v>
      </c>
      <c r="D36" s="37"/>
      <c r="E36" s="37"/>
      <c r="F36" s="37"/>
      <c r="G36" s="37"/>
      <c r="H36" s="79"/>
      <c r="I36" s="5"/>
      <c r="J36" s="135">
        <f>+I11+I19-I26</f>
        <v>7989389</v>
      </c>
      <c r="K36" s="130"/>
      <c r="L36" s="135">
        <f>+K11+K19-K26-1</f>
        <v>8040036</v>
      </c>
      <c r="M36" s="49"/>
      <c r="N36" s="20"/>
    </row>
    <row r="37" spans="2:14" ht="15.75" thickTop="1">
      <c r="B37" s="79"/>
      <c r="C37" s="136"/>
      <c r="D37" s="23"/>
      <c r="E37" s="23"/>
      <c r="F37" s="23"/>
      <c r="G37" s="23"/>
      <c r="H37" s="24"/>
      <c r="I37" s="136"/>
      <c r="J37" s="85"/>
      <c r="K37" s="85"/>
      <c r="L37" s="24"/>
      <c r="M37" s="37"/>
      <c r="N37" s="37"/>
    </row>
    <row r="38" spans="3:10" ht="15">
      <c r="C38" s="37"/>
      <c r="H38" s="37"/>
      <c r="I38" s="37"/>
      <c r="J38" s="37"/>
    </row>
    <row r="39" spans="3:10" ht="15">
      <c r="C39" s="37"/>
      <c r="H39" s="37"/>
      <c r="I39" s="37"/>
      <c r="J39" s="37"/>
    </row>
    <row r="40" spans="3:10" ht="15">
      <c r="C40" s="37"/>
      <c r="H40" s="37"/>
      <c r="I40" s="37"/>
      <c r="J40" s="37"/>
    </row>
    <row r="41" ht="15">
      <c r="C41" s="133"/>
    </row>
    <row r="42" spans="3:11" ht="15">
      <c r="C42" s="133"/>
      <c r="F42" s="427" t="s">
        <v>714</v>
      </c>
      <c r="G42" s="427"/>
      <c r="H42" s="427"/>
      <c r="I42" s="427"/>
      <c r="J42" s="427" t="s">
        <v>716</v>
      </c>
      <c r="K42" s="427"/>
    </row>
    <row r="43" spans="6:11" ht="15">
      <c r="F43" s="427" t="s">
        <v>715</v>
      </c>
      <c r="G43" s="427"/>
      <c r="H43" s="427"/>
      <c r="I43" s="427"/>
      <c r="J43" s="427" t="s">
        <v>717</v>
      </c>
      <c r="K43" s="427"/>
    </row>
  </sheetData>
  <sheetProtection/>
  <mergeCells count="19">
    <mergeCell ref="C2:L2"/>
    <mergeCell ref="C3:L3"/>
    <mergeCell ref="C4:L4"/>
    <mergeCell ref="C5:L5"/>
    <mergeCell ref="C8:H8"/>
    <mergeCell ref="I8:J8"/>
    <mergeCell ref="K8:L8"/>
    <mergeCell ref="M8:N8"/>
    <mergeCell ref="C9:H9"/>
    <mergeCell ref="I9:J9"/>
    <mergeCell ref="K9:L9"/>
    <mergeCell ref="M9:N9"/>
    <mergeCell ref="C17:F17"/>
    <mergeCell ref="F42:G42"/>
    <mergeCell ref="H42:I42"/>
    <mergeCell ref="F43:G43"/>
    <mergeCell ref="H43:I43"/>
    <mergeCell ref="J42:K42"/>
    <mergeCell ref="J43:K43"/>
  </mergeCells>
  <printOptions/>
  <pageMargins left="0.3937007874015748" right="0" top="1.7322834645669292" bottom="0.15748031496062992" header="0.31496062992125984" footer="0.31496062992125984"/>
  <pageSetup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selection activeCell="D31" sqref="D31"/>
    </sheetView>
  </sheetViews>
  <sheetFormatPr defaultColWidth="11.421875" defaultRowHeight="15"/>
  <cols>
    <col min="1" max="1" width="5.00390625" style="0" customWidth="1"/>
    <col min="2" max="2" width="34.7109375" style="0" customWidth="1"/>
    <col min="3" max="3" width="7.8515625" style="0" customWidth="1"/>
    <col min="4" max="4" width="13.140625" style="0" customWidth="1"/>
    <col min="5" max="5" width="9.7109375" style="0" customWidth="1"/>
    <col min="6" max="6" width="11.421875" style="0" customWidth="1"/>
    <col min="7" max="7" width="12.140625" style="0" customWidth="1"/>
  </cols>
  <sheetData>
    <row r="1" ht="15">
      <c r="G1" s="126" t="s">
        <v>340</v>
      </c>
    </row>
    <row r="2" spans="1:8" ht="21">
      <c r="A2" s="43"/>
      <c r="B2" s="447" t="s">
        <v>0</v>
      </c>
      <c r="C2" s="447"/>
      <c r="D2" s="447"/>
      <c r="E2" s="447"/>
      <c r="F2" s="447"/>
      <c r="G2" s="447"/>
      <c r="H2" s="43"/>
    </row>
    <row r="3" spans="1:8" ht="21">
      <c r="A3" s="43"/>
      <c r="B3" s="447" t="s">
        <v>781</v>
      </c>
      <c r="C3" s="447"/>
      <c r="D3" s="447"/>
      <c r="E3" s="447"/>
      <c r="F3" s="447"/>
      <c r="G3" s="447"/>
      <c r="H3" s="43"/>
    </row>
    <row r="4" spans="1:8" ht="21">
      <c r="A4" s="43"/>
      <c r="B4" s="447" t="s">
        <v>341</v>
      </c>
      <c r="C4" s="447"/>
      <c r="D4" s="447"/>
      <c r="E4" s="447"/>
      <c r="F4" s="447"/>
      <c r="G4" s="447"/>
      <c r="H4" s="43"/>
    </row>
    <row r="5" spans="1:8" ht="15">
      <c r="A5" s="42"/>
      <c r="B5" s="427" t="s">
        <v>18</v>
      </c>
      <c r="C5" s="427"/>
      <c r="D5" s="427"/>
      <c r="E5" s="427"/>
      <c r="F5" s="427"/>
      <c r="G5" s="427"/>
      <c r="H5" s="42"/>
    </row>
    <row r="8" spans="2:8" ht="15">
      <c r="B8" s="493" t="s">
        <v>323</v>
      </c>
      <c r="C8" s="451" t="s">
        <v>342</v>
      </c>
      <c r="D8" s="452"/>
      <c r="E8" s="302" t="s">
        <v>343</v>
      </c>
      <c r="F8" s="451" t="s">
        <v>344</v>
      </c>
      <c r="G8" s="452"/>
      <c r="H8" s="210"/>
    </row>
    <row r="9" spans="2:8" ht="15">
      <c r="B9" s="494"/>
      <c r="C9" s="303" t="s">
        <v>280</v>
      </c>
      <c r="D9" s="303" t="s">
        <v>345</v>
      </c>
      <c r="E9" s="303" t="s">
        <v>346</v>
      </c>
      <c r="F9" s="137">
        <v>44012</v>
      </c>
      <c r="G9" s="137">
        <v>43830</v>
      </c>
      <c r="H9" s="301"/>
    </row>
    <row r="10" spans="2:8" ht="15">
      <c r="B10" s="84"/>
      <c r="C10" s="84"/>
      <c r="D10" s="84"/>
      <c r="E10" s="84"/>
      <c r="F10" s="84"/>
      <c r="G10" s="84"/>
      <c r="H10" s="37"/>
    </row>
    <row r="11" spans="2:8" ht="15">
      <c r="B11" s="299" t="s">
        <v>1</v>
      </c>
      <c r="C11" s="101"/>
      <c r="D11" s="101"/>
      <c r="E11" s="101"/>
      <c r="F11" s="101"/>
      <c r="G11" s="101"/>
      <c r="H11" s="49"/>
    </row>
    <row r="12" spans="2:8" ht="15">
      <c r="B12" s="130" t="s">
        <v>3</v>
      </c>
      <c r="C12" s="87"/>
      <c r="D12" s="87"/>
      <c r="E12" s="87"/>
      <c r="F12" s="87"/>
      <c r="G12" s="87"/>
      <c r="H12" s="37"/>
    </row>
    <row r="13" spans="2:8" ht="15">
      <c r="B13" s="113" t="s">
        <v>347</v>
      </c>
      <c r="C13" s="85"/>
      <c r="D13" s="243">
        <f>SUM(D14:D17)</f>
        <v>40756.989</v>
      </c>
      <c r="E13" s="243">
        <v>6793.79</v>
      </c>
      <c r="F13" s="238">
        <f>SUM(F14:F17)</f>
        <v>276895</v>
      </c>
      <c r="G13" s="238">
        <f>SUM(G14:G17)</f>
        <v>554740</v>
      </c>
      <c r="H13" s="19"/>
    </row>
    <row r="14" spans="2:8" ht="15">
      <c r="B14" s="139" t="s">
        <v>348</v>
      </c>
      <c r="C14" s="92" t="s">
        <v>349</v>
      </c>
      <c r="D14" s="140">
        <v>8332.239</v>
      </c>
      <c r="E14" s="140">
        <f>+$E$13</f>
        <v>6793.79</v>
      </c>
      <c r="F14" s="18">
        <f>55929+679</f>
        <v>56608</v>
      </c>
      <c r="G14" s="18">
        <v>372241</v>
      </c>
      <c r="H14" s="19"/>
    </row>
    <row r="15" spans="2:8" ht="15">
      <c r="B15" s="87" t="s">
        <v>350</v>
      </c>
      <c r="C15" s="92" t="s">
        <v>349</v>
      </c>
      <c r="D15" s="140">
        <v>32424.75</v>
      </c>
      <c r="E15" s="140">
        <f>+$E$13</f>
        <v>6793.79</v>
      </c>
      <c r="F15" s="18">
        <v>220287</v>
      </c>
      <c r="G15" s="18">
        <v>182499</v>
      </c>
      <c r="H15" s="19"/>
    </row>
    <row r="16" spans="2:8" ht="15">
      <c r="B16" s="87" t="s">
        <v>620</v>
      </c>
      <c r="C16" s="92" t="s">
        <v>349</v>
      </c>
      <c r="D16" s="140">
        <v>0</v>
      </c>
      <c r="E16" s="140">
        <v>0</v>
      </c>
      <c r="F16" s="142">
        <v>0</v>
      </c>
      <c r="G16" s="142">
        <v>0</v>
      </c>
      <c r="H16" s="19"/>
    </row>
    <row r="17" spans="2:8" ht="15">
      <c r="B17" s="87" t="s">
        <v>628</v>
      </c>
      <c r="C17" s="141" t="s">
        <v>349</v>
      </c>
      <c r="D17" s="140">
        <v>0</v>
      </c>
      <c r="E17" s="140"/>
      <c r="F17" s="142">
        <v>0</v>
      </c>
      <c r="G17" s="142">
        <v>0</v>
      </c>
      <c r="H17" s="176"/>
    </row>
    <row r="18" spans="2:8" ht="15">
      <c r="B18" s="113" t="s">
        <v>609</v>
      </c>
      <c r="C18" s="303"/>
      <c r="D18" s="243">
        <f>SUM(D19:D20)</f>
        <v>164607.25</v>
      </c>
      <c r="E18" s="243">
        <f aca="true" t="shared" si="0" ref="E18:E23">+$E$13</f>
        <v>6793.79</v>
      </c>
      <c r="F18" s="238">
        <f>SUM(F19:F20)</f>
        <v>1118307</v>
      </c>
      <c r="G18" s="244">
        <f>+G19+G20</f>
        <v>1717760</v>
      </c>
      <c r="H18" s="176"/>
    </row>
    <row r="19" spans="2:8" ht="15">
      <c r="B19" s="87" t="s">
        <v>90</v>
      </c>
      <c r="C19" s="141" t="s">
        <v>349</v>
      </c>
      <c r="D19" s="140">
        <v>163643.61</v>
      </c>
      <c r="E19" s="140">
        <f t="shared" si="0"/>
        <v>6793.79</v>
      </c>
      <c r="F19" s="18">
        <v>1111760</v>
      </c>
      <c r="G19" s="142">
        <v>1653813</v>
      </c>
      <c r="H19" s="176"/>
    </row>
    <row r="20" spans="2:8" ht="15">
      <c r="B20" s="87" t="s">
        <v>91</v>
      </c>
      <c r="C20" s="141" t="s">
        <v>349</v>
      </c>
      <c r="D20" s="236">
        <v>963.64</v>
      </c>
      <c r="E20" s="140">
        <f t="shared" si="0"/>
        <v>6793.79</v>
      </c>
      <c r="F20" s="364">
        <v>6547</v>
      </c>
      <c r="G20" s="142">
        <v>63947</v>
      </c>
      <c r="H20" s="176"/>
    </row>
    <row r="21" spans="2:8" ht="15">
      <c r="B21" s="113" t="s">
        <v>690</v>
      </c>
      <c r="C21" s="303"/>
      <c r="D21" s="243">
        <f>SUM(D22:D22)</f>
        <v>555435.99</v>
      </c>
      <c r="E21" s="365">
        <f t="shared" si="0"/>
        <v>6793.79</v>
      </c>
      <c r="F21" s="238">
        <f>SUM(F22:F22)</f>
        <v>3773516</v>
      </c>
      <c r="G21" s="244">
        <f>+G22</f>
        <v>4626010</v>
      </c>
      <c r="H21" s="176"/>
    </row>
    <row r="22" spans="2:8" ht="15">
      <c r="B22" s="87" t="s">
        <v>691</v>
      </c>
      <c r="C22" s="141" t="s">
        <v>349</v>
      </c>
      <c r="D22" s="140">
        <v>555435.99</v>
      </c>
      <c r="E22" s="363">
        <f t="shared" si="0"/>
        <v>6793.79</v>
      </c>
      <c r="F22" s="18">
        <v>3773516</v>
      </c>
      <c r="G22" s="142">
        <v>4626010</v>
      </c>
      <c r="H22" s="176"/>
    </row>
    <row r="23" spans="2:8" ht="15.75" thickBot="1">
      <c r="B23" s="143" t="s">
        <v>351</v>
      </c>
      <c r="C23" s="144"/>
      <c r="D23" s="245">
        <f>+D13+D18+D21</f>
        <v>760800.229</v>
      </c>
      <c r="E23" s="242">
        <f t="shared" si="0"/>
        <v>6793.79</v>
      </c>
      <c r="F23" s="249">
        <f>+F13+F18+F21</f>
        <v>5168718</v>
      </c>
      <c r="G23" s="249">
        <f>+G13+G18+G21</f>
        <v>6898510</v>
      </c>
      <c r="H23" s="19"/>
    </row>
    <row r="24" spans="1:8" ht="15.75" thickTop="1">
      <c r="A24" s="37"/>
      <c r="B24" s="37"/>
      <c r="C24" s="37"/>
      <c r="D24" s="37"/>
      <c r="E24" s="37"/>
      <c r="F24" s="37"/>
      <c r="G24" s="79"/>
      <c r="H24" s="37"/>
    </row>
    <row r="25" spans="2:8" ht="15">
      <c r="B25" s="145" t="s">
        <v>10</v>
      </c>
      <c r="C25" s="127"/>
      <c r="D25" s="84"/>
      <c r="E25" s="84"/>
      <c r="F25" s="84"/>
      <c r="G25" s="84"/>
      <c r="H25" s="37"/>
    </row>
    <row r="26" spans="2:8" ht="15">
      <c r="B26" s="113" t="s">
        <v>609</v>
      </c>
      <c r="C26" s="247"/>
      <c r="D26" s="243"/>
      <c r="E26" s="248"/>
      <c r="F26" s="238">
        <f>+F27</f>
        <v>0</v>
      </c>
      <c r="G26" s="113">
        <f>+G27</f>
        <v>1568</v>
      </c>
      <c r="H26" s="37"/>
    </row>
    <row r="27" spans="2:8" ht="15">
      <c r="B27" s="87" t="s">
        <v>771</v>
      </c>
      <c r="C27" s="141" t="s">
        <v>349</v>
      </c>
      <c r="D27" s="140"/>
      <c r="E27" s="140"/>
      <c r="F27" s="18"/>
      <c r="G27" s="87">
        <v>1568</v>
      </c>
      <c r="H27" s="37"/>
    </row>
    <row r="28" spans="2:8" ht="15.75" thickBot="1">
      <c r="B28" s="102" t="s">
        <v>352</v>
      </c>
      <c r="C28" s="146"/>
      <c r="D28" s="242">
        <f>+D26</f>
        <v>0</v>
      </c>
      <c r="E28" s="102"/>
      <c r="F28" s="103">
        <f>+F26</f>
        <v>0</v>
      </c>
      <c r="G28" s="102">
        <f>+G26</f>
        <v>1568</v>
      </c>
      <c r="H28" s="37"/>
    </row>
    <row r="29" spans="2:8" ht="16.5" thickBot="1" thickTop="1">
      <c r="B29" s="102" t="s">
        <v>652</v>
      </c>
      <c r="C29" s="146"/>
      <c r="D29" s="242">
        <f>+D23+D28</f>
        <v>760800.229</v>
      </c>
      <c r="E29" s="242">
        <f>+$E$13</f>
        <v>6793.79</v>
      </c>
      <c r="F29" s="103">
        <f>+F23+F28</f>
        <v>5168718</v>
      </c>
      <c r="G29" s="103">
        <f>+G23+G28</f>
        <v>6900078</v>
      </c>
      <c r="H29" s="37"/>
    </row>
    <row r="30" spans="2:8" ht="15.75" thickTop="1">
      <c r="B30" s="87"/>
      <c r="C30" s="87"/>
      <c r="D30" s="87"/>
      <c r="E30" s="87"/>
      <c r="F30" s="87"/>
      <c r="G30" s="87"/>
      <c r="H30" s="37"/>
    </row>
    <row r="31" spans="2:8" ht="15">
      <c r="B31" s="299" t="s">
        <v>2</v>
      </c>
      <c r="C31" s="83"/>
      <c r="D31" s="83"/>
      <c r="E31" s="83"/>
      <c r="F31" s="83"/>
      <c r="G31" s="83"/>
      <c r="H31" s="37"/>
    </row>
    <row r="32" spans="2:8" ht="15">
      <c r="B32" s="130" t="s">
        <v>4</v>
      </c>
      <c r="C32" s="87"/>
      <c r="D32" s="87"/>
      <c r="E32" s="87"/>
      <c r="F32" s="87"/>
      <c r="G32" s="18"/>
      <c r="H32" s="19"/>
    </row>
    <row r="33" spans="2:8" ht="15">
      <c r="B33" s="113" t="s">
        <v>551</v>
      </c>
      <c r="C33" s="113"/>
      <c r="D33" s="243">
        <f>+D34+D35+D37</f>
        <v>-22665.11</v>
      </c>
      <c r="E33" s="243">
        <v>6820.47</v>
      </c>
      <c r="F33" s="238">
        <f>+F34+F35+F37</f>
        <v>-154586</v>
      </c>
      <c r="G33" s="238">
        <f>+G34+G35+G37</f>
        <v>-492417</v>
      </c>
      <c r="H33" s="19"/>
    </row>
    <row r="34" spans="2:8" ht="15">
      <c r="B34" s="87" t="s">
        <v>608</v>
      </c>
      <c r="C34" s="141" t="s">
        <v>349</v>
      </c>
      <c r="D34" s="211">
        <v>-16393.78</v>
      </c>
      <c r="E34" s="211">
        <f>+$E$33</f>
        <v>6820.47</v>
      </c>
      <c r="F34" s="147">
        <v>-111813</v>
      </c>
      <c r="G34" s="147">
        <v>-224474</v>
      </c>
      <c r="H34" s="202"/>
    </row>
    <row r="35" spans="2:8" ht="15">
      <c r="B35" s="87" t="s">
        <v>696</v>
      </c>
      <c r="C35" s="92" t="s">
        <v>349</v>
      </c>
      <c r="D35" s="211">
        <v>-1330</v>
      </c>
      <c r="E35" s="211">
        <f>+$E$33</f>
        <v>6820.47</v>
      </c>
      <c r="F35" s="147">
        <v>-9071</v>
      </c>
      <c r="G35" s="147">
        <v>-18758</v>
      </c>
      <c r="H35" s="202"/>
    </row>
    <row r="36" spans="2:8" ht="15">
      <c r="B36" s="87" t="s">
        <v>353</v>
      </c>
      <c r="C36" s="92" t="s">
        <v>349</v>
      </c>
      <c r="D36" s="139"/>
      <c r="E36" s="211"/>
      <c r="F36" s="139">
        <v>0</v>
      </c>
      <c r="G36" s="147">
        <v>0</v>
      </c>
      <c r="H36" s="202"/>
    </row>
    <row r="37" spans="2:8" ht="15">
      <c r="B37" s="87" t="s">
        <v>627</v>
      </c>
      <c r="C37" s="92" t="s">
        <v>349</v>
      </c>
      <c r="D37" s="140">
        <v>-4941.33</v>
      </c>
      <c r="E37" s="211">
        <f>+E33</f>
        <v>6820.47</v>
      </c>
      <c r="F37" s="18">
        <v>-33702</v>
      </c>
      <c r="G37" s="18">
        <v>-249185</v>
      </c>
      <c r="H37" s="19"/>
    </row>
    <row r="38" spans="2:8" ht="15">
      <c r="B38" s="113" t="s">
        <v>552</v>
      </c>
      <c r="C38" s="300"/>
      <c r="D38" s="243">
        <f>+D40+D39</f>
        <v>0</v>
      </c>
      <c r="E38" s="243"/>
      <c r="F38" s="238">
        <f>+F40+F39</f>
        <v>0</v>
      </c>
      <c r="G38" s="238">
        <f>+G40+G39</f>
        <v>0</v>
      </c>
      <c r="H38" s="19"/>
    </row>
    <row r="39" spans="2:8" ht="15">
      <c r="B39" s="87" t="s">
        <v>553</v>
      </c>
      <c r="C39" s="92" t="s">
        <v>349</v>
      </c>
      <c r="D39" s="140">
        <v>0</v>
      </c>
      <c r="E39" s="211"/>
      <c r="F39" s="18">
        <v>0</v>
      </c>
      <c r="G39" s="18">
        <v>0</v>
      </c>
      <c r="H39" s="19"/>
    </row>
    <row r="40" spans="2:8" ht="15">
      <c r="B40" s="87" t="s">
        <v>618</v>
      </c>
      <c r="C40" s="92" t="s">
        <v>349</v>
      </c>
      <c r="D40" s="140">
        <v>0</v>
      </c>
      <c r="E40" s="211"/>
      <c r="F40" s="18">
        <v>0</v>
      </c>
      <c r="G40" s="18">
        <v>0</v>
      </c>
      <c r="H40" s="19"/>
    </row>
    <row r="41" spans="2:8" ht="15.75" thickBot="1">
      <c r="B41" s="102" t="s">
        <v>354</v>
      </c>
      <c r="C41" s="146"/>
      <c r="D41" s="242">
        <f>+D33+D38</f>
        <v>-22665.11</v>
      </c>
      <c r="E41" s="242">
        <f>+$E$33</f>
        <v>6820.47</v>
      </c>
      <c r="F41" s="103">
        <f>+F33+F38</f>
        <v>-154586</v>
      </c>
      <c r="G41" s="103">
        <f>+G33+G38</f>
        <v>-492417</v>
      </c>
      <c r="H41" s="19"/>
    </row>
    <row r="42" spans="2:8" ht="15.75" thickTop="1">
      <c r="B42" s="37"/>
      <c r="C42" s="87"/>
      <c r="D42" s="87"/>
      <c r="E42" s="87"/>
      <c r="F42" s="87"/>
      <c r="G42" s="87"/>
      <c r="H42" s="37"/>
    </row>
    <row r="43" spans="2:8" ht="15">
      <c r="B43" s="145" t="s">
        <v>11</v>
      </c>
      <c r="C43" s="87"/>
      <c r="D43" s="87"/>
      <c r="E43" s="87"/>
      <c r="F43" s="87"/>
      <c r="G43" s="79"/>
      <c r="H43" s="37"/>
    </row>
    <row r="44" spans="2:8" ht="15.75" thickBot="1">
      <c r="B44" s="113" t="s">
        <v>551</v>
      </c>
      <c r="C44" s="113"/>
      <c r="D44" s="243">
        <f>+D45+D46+D48</f>
        <v>-9042</v>
      </c>
      <c r="E44" s="242">
        <f>+E45</f>
        <v>6820.47</v>
      </c>
      <c r="F44" s="238">
        <f>+F45+F46+F48</f>
        <v>-61671</v>
      </c>
      <c r="G44" s="238">
        <f>+G45+G46+G48</f>
        <v>-102825</v>
      </c>
      <c r="H44" s="37"/>
    </row>
    <row r="45" spans="2:8" ht="15.75" thickTop="1">
      <c r="B45" s="87" t="s">
        <v>608</v>
      </c>
      <c r="C45" s="141" t="s">
        <v>349</v>
      </c>
      <c r="D45" s="211">
        <v>-9042</v>
      </c>
      <c r="E45" s="211">
        <f>+$E$33</f>
        <v>6820.47</v>
      </c>
      <c r="F45" s="147">
        <v>-61671</v>
      </c>
      <c r="G45" s="147">
        <v>-102825</v>
      </c>
      <c r="H45" s="37"/>
    </row>
    <row r="46" spans="2:8" ht="15">
      <c r="B46" s="130"/>
      <c r="C46" s="87"/>
      <c r="D46" s="87"/>
      <c r="E46" s="87"/>
      <c r="F46" s="87"/>
      <c r="G46" s="79"/>
      <c r="H46" s="37"/>
    </row>
    <row r="47" spans="2:8" ht="15">
      <c r="B47" s="130" t="s">
        <v>552</v>
      </c>
      <c r="C47" s="85"/>
      <c r="D47" s="243">
        <f>+D48+D49</f>
        <v>0</v>
      </c>
      <c r="E47" s="113"/>
      <c r="F47" s="238">
        <f>+F48+F49</f>
        <v>0</v>
      </c>
      <c r="G47" s="238">
        <f>+G48+G49</f>
        <v>0</v>
      </c>
      <c r="H47" s="37"/>
    </row>
    <row r="48" spans="2:8" ht="15">
      <c r="B48" s="84" t="s">
        <v>554</v>
      </c>
      <c r="C48" s="92" t="s">
        <v>349</v>
      </c>
      <c r="D48" s="140">
        <v>0</v>
      </c>
      <c r="E48" s="211"/>
      <c r="F48" s="18">
        <v>0</v>
      </c>
      <c r="G48" s="18">
        <v>0</v>
      </c>
      <c r="H48" s="37"/>
    </row>
    <row r="49" spans="2:8" ht="15">
      <c r="B49" s="87" t="s">
        <v>619</v>
      </c>
      <c r="C49" s="92" t="s">
        <v>349</v>
      </c>
      <c r="D49" s="253">
        <v>0</v>
      </c>
      <c r="E49" s="211"/>
      <c r="F49" s="18">
        <v>0</v>
      </c>
      <c r="G49" s="18">
        <v>0</v>
      </c>
      <c r="H49" s="37"/>
    </row>
    <row r="50" spans="2:8" ht="15.75" thickBot="1">
      <c r="B50" s="102" t="s">
        <v>12</v>
      </c>
      <c r="C50" s="146"/>
      <c r="D50" s="242">
        <f>+D44</f>
        <v>-9042</v>
      </c>
      <c r="E50" s="242">
        <f>+E44</f>
        <v>6820.47</v>
      </c>
      <c r="F50" s="103">
        <f>+F44</f>
        <v>-61671</v>
      </c>
      <c r="G50" s="103">
        <f>+G45</f>
        <v>-102825</v>
      </c>
      <c r="H50" s="37"/>
    </row>
    <row r="51" spans="2:7" ht="16.5" thickBot="1" thickTop="1">
      <c r="B51" s="102" t="s">
        <v>617</v>
      </c>
      <c r="C51" s="146"/>
      <c r="D51" s="242">
        <f>+D41+D50</f>
        <v>-31707.11</v>
      </c>
      <c r="E51" s="242">
        <f>+E50</f>
        <v>6820.47</v>
      </c>
      <c r="F51" s="103">
        <f>+F41+F50</f>
        <v>-216257</v>
      </c>
      <c r="G51" s="103">
        <f>+G41+G50</f>
        <v>-595242</v>
      </c>
    </row>
    <row r="52" ht="15.75" thickTop="1"/>
    <row r="55" spans="4:7" ht="15">
      <c r="D55" s="427" t="s">
        <v>714</v>
      </c>
      <c r="E55" s="427"/>
      <c r="F55" s="427" t="s">
        <v>716</v>
      </c>
      <c r="G55" s="427"/>
    </row>
    <row r="56" spans="4:7" ht="15">
      <c r="D56" s="427" t="s">
        <v>715</v>
      </c>
      <c r="E56" s="427"/>
      <c r="F56" s="427" t="s">
        <v>717</v>
      </c>
      <c r="G56" s="427"/>
    </row>
  </sheetData>
  <sheetProtection/>
  <mergeCells count="11">
    <mergeCell ref="C8:D8"/>
    <mergeCell ref="F8:G8"/>
    <mergeCell ref="D55:E55"/>
    <mergeCell ref="F55:G55"/>
    <mergeCell ref="D56:E56"/>
    <mergeCell ref="F56:G56"/>
    <mergeCell ref="B2:G2"/>
    <mergeCell ref="B3:G3"/>
    <mergeCell ref="B4:G4"/>
    <mergeCell ref="B5:G5"/>
    <mergeCell ref="B8:B9"/>
  </mergeCells>
  <printOptions/>
  <pageMargins left="1.1023622047244095" right="0.7086614173228347" top="1.535433070866142" bottom="0.9448818897637796" header="0.31496062992125984" footer="0.31496062992125984"/>
  <pageSetup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I19" sqref="I19"/>
    </sheetView>
  </sheetViews>
  <sheetFormatPr defaultColWidth="11.421875" defaultRowHeight="15"/>
  <cols>
    <col min="1" max="1" width="9.7109375" style="0" customWidth="1"/>
    <col min="2" max="2" width="41.8515625" style="0" customWidth="1"/>
    <col min="3" max="4" width="11.421875" style="0" customWidth="1"/>
    <col min="6" max="6" width="13.28125" style="0" customWidth="1"/>
    <col min="7" max="8" width="12.8515625" style="0" customWidth="1"/>
    <col min="9" max="9" width="10.28125" style="0" customWidth="1"/>
    <col min="10" max="10" width="11.7109375" style="0" customWidth="1"/>
    <col min="11" max="11" width="9.8515625" style="0" customWidth="1"/>
  </cols>
  <sheetData>
    <row r="1" ht="15">
      <c r="K1" s="126" t="s">
        <v>355</v>
      </c>
    </row>
    <row r="2" spans="1:11" ht="21">
      <c r="A2" s="43"/>
      <c r="B2" s="447" t="s">
        <v>0</v>
      </c>
      <c r="C2" s="447"/>
      <c r="D2" s="447"/>
      <c r="E2" s="447"/>
      <c r="F2" s="447"/>
      <c r="G2" s="447"/>
      <c r="H2" s="447"/>
      <c r="I2" s="447"/>
      <c r="J2" s="447"/>
      <c r="K2" s="447"/>
    </row>
    <row r="3" spans="1:11" ht="21">
      <c r="A3" s="43"/>
      <c r="B3" s="447" t="s">
        <v>781</v>
      </c>
      <c r="C3" s="447"/>
      <c r="D3" s="447"/>
      <c r="E3" s="447"/>
      <c r="F3" s="447"/>
      <c r="G3" s="447"/>
      <c r="H3" s="447"/>
      <c r="I3" s="447"/>
      <c r="J3" s="447"/>
      <c r="K3" s="447"/>
    </row>
    <row r="4" spans="1:11" ht="21">
      <c r="A4" s="43"/>
      <c r="B4" s="447" t="s">
        <v>356</v>
      </c>
      <c r="C4" s="447"/>
      <c r="D4" s="447"/>
      <c r="E4" s="447"/>
      <c r="F4" s="447"/>
      <c r="G4" s="447"/>
      <c r="H4" s="447"/>
      <c r="I4" s="447"/>
      <c r="J4" s="447"/>
      <c r="K4" s="447"/>
    </row>
    <row r="5" spans="1:11" ht="15">
      <c r="A5" s="42"/>
      <c r="B5" s="427" t="s">
        <v>18</v>
      </c>
      <c r="C5" s="427"/>
      <c r="D5" s="427"/>
      <c r="E5" s="427"/>
      <c r="F5" s="427"/>
      <c r="G5" s="427"/>
      <c r="H5" s="427"/>
      <c r="I5" s="427"/>
      <c r="J5" s="427"/>
      <c r="K5" s="427"/>
    </row>
    <row r="8" spans="2:11" ht="15">
      <c r="B8" s="148"/>
      <c r="C8" s="149" t="s">
        <v>357</v>
      </c>
      <c r="D8" s="149" t="s">
        <v>357</v>
      </c>
      <c r="E8" s="149" t="s">
        <v>357</v>
      </c>
      <c r="F8" s="149" t="s">
        <v>358</v>
      </c>
      <c r="G8" s="150" t="s">
        <v>359</v>
      </c>
      <c r="H8" s="219" t="s">
        <v>358</v>
      </c>
      <c r="I8" s="150" t="s">
        <v>360</v>
      </c>
      <c r="J8" s="495" t="s">
        <v>189</v>
      </c>
      <c r="K8" s="496"/>
    </row>
    <row r="9" spans="2:11" ht="15">
      <c r="B9" s="151" t="s">
        <v>190</v>
      </c>
      <c r="C9" s="149" t="s">
        <v>361</v>
      </c>
      <c r="D9" s="150" t="s">
        <v>361</v>
      </c>
      <c r="E9" s="149" t="s">
        <v>360</v>
      </c>
      <c r="F9" s="150" t="s">
        <v>285</v>
      </c>
      <c r="G9" s="149" t="s">
        <v>285</v>
      </c>
      <c r="H9" s="219"/>
      <c r="I9" s="150"/>
      <c r="J9" s="149" t="s">
        <v>362</v>
      </c>
      <c r="K9" s="152" t="s">
        <v>362</v>
      </c>
    </row>
    <row r="10" spans="2:11" ht="15">
      <c r="B10" s="153"/>
      <c r="C10" s="154" t="s">
        <v>343</v>
      </c>
      <c r="D10" s="154" t="s">
        <v>363</v>
      </c>
      <c r="E10" s="154" t="s">
        <v>364</v>
      </c>
      <c r="F10" s="154" t="s">
        <v>365</v>
      </c>
      <c r="G10" s="155" t="s">
        <v>366</v>
      </c>
      <c r="H10" s="154" t="s">
        <v>563</v>
      </c>
      <c r="I10" s="154" t="s">
        <v>359</v>
      </c>
      <c r="J10" s="154" t="s">
        <v>367</v>
      </c>
      <c r="K10" s="154" t="s">
        <v>368</v>
      </c>
    </row>
    <row r="11" spans="2:11" ht="15">
      <c r="B11" s="156" t="s">
        <v>369</v>
      </c>
      <c r="C11" s="157"/>
      <c r="D11" s="157"/>
      <c r="E11" s="157"/>
      <c r="F11" s="157"/>
      <c r="G11" s="164"/>
      <c r="H11" s="158"/>
      <c r="I11" s="157"/>
      <c r="J11" s="158"/>
      <c r="K11" s="157"/>
    </row>
    <row r="12" spans="2:12" ht="15">
      <c r="B12" s="159" t="s">
        <v>370</v>
      </c>
      <c r="C12" s="160"/>
      <c r="D12" s="160"/>
      <c r="E12" s="160"/>
      <c r="F12" s="224">
        <v>235000</v>
      </c>
      <c r="G12" s="224"/>
      <c r="H12" s="225"/>
      <c r="I12" s="224"/>
      <c r="J12" s="225">
        <f>SUM(F12:I12)</f>
        <v>235000</v>
      </c>
      <c r="K12" s="224">
        <v>240000</v>
      </c>
      <c r="L12" s="226"/>
    </row>
    <row r="13" spans="2:12" ht="15">
      <c r="B13" s="161" t="s">
        <v>371</v>
      </c>
      <c r="C13" s="162"/>
      <c r="D13" s="162"/>
      <c r="E13" s="162"/>
      <c r="F13" s="163">
        <f>79920+191677</f>
        <v>271597</v>
      </c>
      <c r="G13" s="163">
        <v>205057</v>
      </c>
      <c r="H13" s="227"/>
      <c r="I13" s="163"/>
      <c r="J13" s="225">
        <f aca="true" t="shared" si="0" ref="J13:J24">SUM(F13:I13)</f>
        <v>476654</v>
      </c>
      <c r="K13" s="163">
        <v>333230</v>
      </c>
      <c r="L13" s="226"/>
    </row>
    <row r="14" spans="2:12" ht="15">
      <c r="B14" s="161" t="s">
        <v>372</v>
      </c>
      <c r="C14" s="162"/>
      <c r="D14" s="162"/>
      <c r="E14" s="162"/>
      <c r="F14" s="163">
        <v>318496</v>
      </c>
      <c r="G14" s="163"/>
      <c r="H14" s="227"/>
      <c r="I14" s="163"/>
      <c r="J14" s="225">
        <f t="shared" si="0"/>
        <v>318496</v>
      </c>
      <c r="K14" s="163">
        <v>489125</v>
      </c>
      <c r="L14" s="226"/>
    </row>
    <row r="15" spans="2:12" ht="15">
      <c r="B15" s="161" t="s">
        <v>373</v>
      </c>
      <c r="C15" s="162"/>
      <c r="D15" s="162"/>
      <c r="E15" s="162"/>
      <c r="F15" s="163">
        <v>55170</v>
      </c>
      <c r="G15" s="163"/>
      <c r="H15" s="227"/>
      <c r="I15" s="163"/>
      <c r="J15" s="225">
        <f t="shared" si="0"/>
        <v>55170</v>
      </c>
      <c r="K15" s="163">
        <v>85076</v>
      </c>
      <c r="L15" s="226"/>
    </row>
    <row r="16" spans="2:12" ht="15">
      <c r="B16" s="161" t="s">
        <v>374</v>
      </c>
      <c r="C16" s="162"/>
      <c r="D16" s="162"/>
      <c r="E16" s="162"/>
      <c r="F16" s="163">
        <v>46500</v>
      </c>
      <c r="G16" s="163"/>
      <c r="H16" s="227"/>
      <c r="I16" s="163"/>
      <c r="J16" s="225">
        <f t="shared" si="0"/>
        <v>46500</v>
      </c>
      <c r="K16" s="163">
        <v>277325</v>
      </c>
      <c r="L16" s="226"/>
    </row>
    <row r="17" spans="2:12" ht="15">
      <c r="B17" s="161" t="s">
        <v>375</v>
      </c>
      <c r="C17" s="162"/>
      <c r="D17" s="163"/>
      <c r="E17" s="163"/>
      <c r="F17" s="163"/>
      <c r="G17" s="163">
        <f>7905+7958+10296+31674</f>
        <v>57833</v>
      </c>
      <c r="H17" s="227"/>
      <c r="I17" s="163"/>
      <c r="J17" s="225">
        <f t="shared" si="0"/>
        <v>57833</v>
      </c>
      <c r="K17" s="163">
        <v>208506</v>
      </c>
      <c r="L17" s="226"/>
    </row>
    <row r="18" spans="2:12" ht="15">
      <c r="B18" s="161" t="s">
        <v>376</v>
      </c>
      <c r="C18" s="162"/>
      <c r="D18" s="162"/>
      <c r="E18" s="162"/>
      <c r="F18" s="163">
        <v>0</v>
      </c>
      <c r="G18" s="163"/>
      <c r="H18" s="227"/>
      <c r="I18" s="163"/>
      <c r="J18" s="225">
        <f t="shared" si="0"/>
        <v>0</v>
      </c>
      <c r="K18" s="163">
        <v>0</v>
      </c>
      <c r="L18" s="226"/>
    </row>
    <row r="19" spans="2:12" ht="15">
      <c r="B19" s="161" t="s">
        <v>377</v>
      </c>
      <c r="C19" s="162"/>
      <c r="D19" s="162"/>
      <c r="E19" s="162"/>
      <c r="F19" s="163">
        <f>42019+30663</f>
        <v>72682</v>
      </c>
      <c r="G19" s="163"/>
      <c r="H19" s="227"/>
      <c r="I19" s="163">
        <v>0</v>
      </c>
      <c r="J19" s="225">
        <f t="shared" si="0"/>
        <v>72682</v>
      </c>
      <c r="K19" s="163">
        <v>83206</v>
      </c>
      <c r="L19" s="226"/>
    </row>
    <row r="20" spans="2:12" ht="15">
      <c r="B20" s="161" t="s">
        <v>623</v>
      </c>
      <c r="C20" s="162"/>
      <c r="D20" s="162"/>
      <c r="E20" s="163"/>
      <c r="F20" s="163"/>
      <c r="G20" s="163"/>
      <c r="H20" s="227">
        <f>865383+76240+169890</f>
        <v>1111513</v>
      </c>
      <c r="I20" s="163">
        <v>0</v>
      </c>
      <c r="J20" s="225">
        <f t="shared" si="0"/>
        <v>1111513</v>
      </c>
      <c r="K20" s="163">
        <v>1114899</v>
      </c>
      <c r="L20" s="226"/>
    </row>
    <row r="21" spans="2:12" ht="15">
      <c r="B21" s="161" t="s">
        <v>378</v>
      </c>
      <c r="C21" s="162"/>
      <c r="D21" s="162"/>
      <c r="E21" s="162"/>
      <c r="F21" s="163">
        <v>226191</v>
      </c>
      <c r="G21" s="163"/>
      <c r="H21" s="227"/>
      <c r="I21" s="163"/>
      <c r="J21" s="225">
        <f>+F21</f>
        <v>226191</v>
      </c>
      <c r="K21" s="163">
        <v>195327</v>
      </c>
      <c r="L21" s="226"/>
    </row>
    <row r="22" spans="2:12" ht="15">
      <c r="B22" s="156" t="s">
        <v>379</v>
      </c>
      <c r="C22" s="157"/>
      <c r="D22" s="157"/>
      <c r="E22" s="157"/>
      <c r="F22" s="228">
        <v>0</v>
      </c>
      <c r="G22" s="228"/>
      <c r="H22" s="229"/>
      <c r="I22" s="228"/>
      <c r="J22" s="225">
        <f t="shared" si="0"/>
        <v>0</v>
      </c>
      <c r="K22" s="228">
        <v>0</v>
      </c>
      <c r="L22" s="226"/>
    </row>
    <row r="23" spans="2:12" ht="15">
      <c r="B23" s="161" t="s">
        <v>380</v>
      </c>
      <c r="C23" s="162"/>
      <c r="D23" s="162"/>
      <c r="E23" s="162"/>
      <c r="F23" s="163">
        <v>0</v>
      </c>
      <c r="G23" s="163"/>
      <c r="H23" s="230"/>
      <c r="I23" s="163">
        <v>0</v>
      </c>
      <c r="J23" s="225">
        <f t="shared" si="0"/>
        <v>0</v>
      </c>
      <c r="K23" s="163">
        <v>0</v>
      </c>
      <c r="L23" s="226"/>
    </row>
    <row r="24" spans="2:12" ht="15">
      <c r="B24" s="148" t="s">
        <v>381</v>
      </c>
      <c r="C24" s="164"/>
      <c r="D24" s="164"/>
      <c r="E24" s="164"/>
      <c r="F24" s="231">
        <f>28433+15867+27790+7008+21329+40009+5797+200+243+13302+3665+21925+436+1803+19970+13226+19701+43591+86</f>
        <v>284381</v>
      </c>
      <c r="G24" s="231">
        <f>20359+90167+41774+10593+43003+5310</f>
        <v>211206</v>
      </c>
      <c r="H24" s="231">
        <v>102727</v>
      </c>
      <c r="I24" s="231">
        <v>18791</v>
      </c>
      <c r="J24" s="225">
        <f t="shared" si="0"/>
        <v>617105</v>
      </c>
      <c r="K24" s="231">
        <v>698781</v>
      </c>
      <c r="L24" s="226"/>
    </row>
    <row r="25" spans="2:11" ht="15.75" thickBot="1">
      <c r="B25" s="165" t="s">
        <v>427</v>
      </c>
      <c r="C25" s="166">
        <v>0</v>
      </c>
      <c r="D25" s="166">
        <f aca="true" t="shared" si="1" ref="D25:I25">SUM(D11:D24)</f>
        <v>0</v>
      </c>
      <c r="E25" s="166">
        <f t="shared" si="1"/>
        <v>0</v>
      </c>
      <c r="F25" s="166">
        <f>SUM(F11:F24)-1</f>
        <v>1510016</v>
      </c>
      <c r="G25" s="166">
        <f t="shared" si="1"/>
        <v>474096</v>
      </c>
      <c r="H25" s="166">
        <f>SUM(H11:H24)</f>
        <v>1214240</v>
      </c>
      <c r="I25" s="166">
        <f t="shared" si="1"/>
        <v>18791</v>
      </c>
      <c r="J25" s="166">
        <f>SUM(J11:J24)+1</f>
        <v>3217145</v>
      </c>
      <c r="K25" s="166"/>
    </row>
    <row r="26" spans="2:12" ht="16.5" thickBot="1" thickTop="1">
      <c r="B26" s="165" t="s">
        <v>550</v>
      </c>
      <c r="C26" s="166">
        <v>0</v>
      </c>
      <c r="D26" s="166">
        <v>0</v>
      </c>
      <c r="E26" s="166"/>
      <c r="F26" s="166">
        <v>1886027</v>
      </c>
      <c r="G26" s="166">
        <v>690021</v>
      </c>
      <c r="H26" s="166">
        <v>1142190</v>
      </c>
      <c r="I26" s="166">
        <v>7237</v>
      </c>
      <c r="J26" s="166"/>
      <c r="K26" s="166">
        <f>SUM(F26:J26)+2</f>
        <v>3725477</v>
      </c>
      <c r="L26" s="13"/>
    </row>
    <row r="27" spans="3:11" ht="15.75" thickTop="1">
      <c r="C27" s="13"/>
      <c r="D27" s="13"/>
      <c r="E27" s="13"/>
      <c r="F27" s="13"/>
      <c r="G27" s="13"/>
      <c r="H27" s="13"/>
      <c r="I27" s="13"/>
      <c r="J27" s="13"/>
      <c r="K27" s="13"/>
    </row>
    <row r="28" spans="3:11" ht="15">
      <c r="C28" s="13"/>
      <c r="D28" s="13"/>
      <c r="E28" s="13"/>
      <c r="F28" s="13"/>
      <c r="G28" s="13"/>
      <c r="H28" s="13"/>
      <c r="I28" s="13"/>
      <c r="J28" s="13"/>
      <c r="K28" s="13"/>
    </row>
    <row r="29" spans="3:11" ht="15">
      <c r="C29" s="13"/>
      <c r="D29" s="427"/>
      <c r="E29" s="427"/>
      <c r="F29" s="427"/>
      <c r="G29" s="427"/>
      <c r="H29" s="13"/>
      <c r="I29" s="13"/>
      <c r="J29" s="13"/>
      <c r="K29" s="13"/>
    </row>
    <row r="30" spans="3:11" ht="15">
      <c r="C30" s="13"/>
      <c r="D30" s="427"/>
      <c r="E30" s="427"/>
      <c r="F30" s="427"/>
      <c r="G30" s="427"/>
      <c r="H30" s="13"/>
      <c r="I30" s="13"/>
      <c r="J30" s="13"/>
      <c r="K30" s="13"/>
    </row>
    <row r="31" spans="3:11" ht="15">
      <c r="C31" s="13"/>
      <c r="D31" s="13"/>
      <c r="E31" s="13"/>
      <c r="F31" s="13"/>
      <c r="G31" s="13"/>
      <c r="H31" s="13"/>
      <c r="I31" s="13"/>
      <c r="J31" s="13"/>
      <c r="K31" s="13"/>
    </row>
    <row r="32" spans="4:9" ht="15">
      <c r="D32" s="427" t="s">
        <v>714</v>
      </c>
      <c r="E32" s="427"/>
      <c r="F32" s="427"/>
      <c r="G32" s="427"/>
      <c r="H32" s="427" t="s">
        <v>716</v>
      </c>
      <c r="I32" s="427"/>
    </row>
    <row r="33" spans="4:9" ht="15">
      <c r="D33" s="427" t="s">
        <v>715</v>
      </c>
      <c r="E33" s="427"/>
      <c r="F33" s="427"/>
      <c r="G33" s="427"/>
      <c r="H33" s="427" t="s">
        <v>717</v>
      </c>
      <c r="I33" s="427"/>
    </row>
  </sheetData>
  <sheetProtection/>
  <mergeCells count="15">
    <mergeCell ref="F32:G32"/>
    <mergeCell ref="D33:E33"/>
    <mergeCell ref="F33:G33"/>
    <mergeCell ref="D30:E30"/>
    <mergeCell ref="F30:G30"/>
    <mergeCell ref="H32:I32"/>
    <mergeCell ref="H33:I33"/>
    <mergeCell ref="D32:E32"/>
    <mergeCell ref="B2:K2"/>
    <mergeCell ref="B3:K3"/>
    <mergeCell ref="B4:K4"/>
    <mergeCell ref="B5:K5"/>
    <mergeCell ref="J8:K8"/>
    <mergeCell ref="D29:E29"/>
    <mergeCell ref="F29:G29"/>
  </mergeCells>
  <printOptions/>
  <pageMargins left="0.7086614173228347" right="0" top="0.7480314960629921" bottom="0.7480314960629921" header="0.31496062992125984" footer="0.31496062992125984"/>
  <pageSetup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G19" sqref="G19"/>
    </sheetView>
  </sheetViews>
  <sheetFormatPr defaultColWidth="11.421875" defaultRowHeight="15"/>
  <cols>
    <col min="1" max="1" width="5.57421875" style="0" customWidth="1"/>
    <col min="2" max="2" width="8.140625" style="0" customWidth="1"/>
    <col min="7" max="7" width="13.8515625" style="0" customWidth="1"/>
    <col min="8" max="8" width="13.7109375" style="0" customWidth="1"/>
  </cols>
  <sheetData>
    <row r="1" ht="15">
      <c r="I1" s="126" t="s">
        <v>382</v>
      </c>
    </row>
    <row r="2" spans="1:13" ht="21">
      <c r="A2" s="43"/>
      <c r="B2" s="447" t="s">
        <v>0</v>
      </c>
      <c r="C2" s="447"/>
      <c r="D2" s="447"/>
      <c r="E2" s="447"/>
      <c r="F2" s="447"/>
      <c r="G2" s="447"/>
      <c r="H2" s="447"/>
      <c r="I2" s="447"/>
      <c r="J2" s="43"/>
      <c r="K2" s="43"/>
      <c r="L2" s="43"/>
      <c r="M2" s="43"/>
    </row>
    <row r="3" spans="1:13" ht="21">
      <c r="A3" s="43"/>
      <c r="B3" s="447" t="s">
        <v>781</v>
      </c>
      <c r="C3" s="447"/>
      <c r="D3" s="447"/>
      <c r="E3" s="447"/>
      <c r="F3" s="447"/>
      <c r="G3" s="447"/>
      <c r="H3" s="447"/>
      <c r="I3" s="447"/>
      <c r="J3" s="43"/>
      <c r="K3" s="43"/>
      <c r="L3" s="43"/>
      <c r="M3" s="43"/>
    </row>
    <row r="4" spans="1:13" ht="21">
      <c r="A4" s="43"/>
      <c r="B4" s="447" t="s">
        <v>383</v>
      </c>
      <c r="C4" s="447"/>
      <c r="D4" s="447"/>
      <c r="E4" s="447"/>
      <c r="F4" s="447"/>
      <c r="G4" s="447"/>
      <c r="H4" s="447"/>
      <c r="I4" s="447"/>
      <c r="J4" s="43"/>
      <c r="K4" s="43"/>
      <c r="L4" s="43"/>
      <c r="M4" s="43"/>
    </row>
    <row r="5" spans="1:13" ht="15">
      <c r="A5" s="42"/>
      <c r="B5" s="427" t="s">
        <v>18</v>
      </c>
      <c r="C5" s="427"/>
      <c r="D5" s="427"/>
      <c r="E5" s="427"/>
      <c r="F5" s="427"/>
      <c r="G5" s="427"/>
      <c r="H5" s="427"/>
      <c r="I5" s="427"/>
      <c r="J5" s="42"/>
      <c r="K5" s="42"/>
      <c r="L5" s="42"/>
      <c r="M5" s="42"/>
    </row>
    <row r="8" spans="3:9" ht="15">
      <c r="C8" s="497" t="s">
        <v>384</v>
      </c>
      <c r="D8" s="498"/>
      <c r="E8" s="498"/>
      <c r="F8" s="499"/>
      <c r="G8" s="199" t="s">
        <v>385</v>
      </c>
      <c r="H8" s="200"/>
      <c r="I8" s="201"/>
    </row>
    <row r="9" spans="3:9" ht="15">
      <c r="C9" s="500"/>
      <c r="D9" s="501"/>
      <c r="E9" s="501"/>
      <c r="F9" s="502"/>
      <c r="G9" s="167">
        <v>44012</v>
      </c>
      <c r="H9" s="185">
        <v>43830</v>
      </c>
      <c r="I9" s="197"/>
    </row>
    <row r="10" spans="3:9" ht="15">
      <c r="C10" s="168"/>
      <c r="D10" s="106"/>
      <c r="E10" s="106"/>
      <c r="F10" s="106"/>
      <c r="G10" s="168"/>
      <c r="H10" s="84"/>
      <c r="I10" s="37"/>
    </row>
    <row r="11" spans="3:9" ht="15">
      <c r="C11" s="11" t="s">
        <v>386</v>
      </c>
      <c r="D11" s="37"/>
      <c r="E11" s="37"/>
      <c r="F11" s="37"/>
      <c r="G11" s="12">
        <v>781896</v>
      </c>
      <c r="H11" s="18">
        <v>1523145</v>
      </c>
      <c r="I11" s="19"/>
    </row>
    <row r="12" spans="3:9" ht="15">
      <c r="C12" s="5"/>
      <c r="D12" s="37"/>
      <c r="E12" s="37"/>
      <c r="F12" s="37"/>
      <c r="G12" s="12"/>
      <c r="H12" s="18"/>
      <c r="I12" s="19"/>
    </row>
    <row r="13" spans="3:9" ht="15">
      <c r="C13" s="131" t="s">
        <v>387</v>
      </c>
      <c r="D13" s="169"/>
      <c r="E13" s="169"/>
      <c r="F13" s="169"/>
      <c r="G13" s="170">
        <v>11151468</v>
      </c>
      <c r="H13" s="147">
        <v>24084971</v>
      </c>
      <c r="I13" s="202"/>
    </row>
    <row r="14" spans="3:9" ht="15">
      <c r="C14" s="11"/>
      <c r="D14" s="37"/>
      <c r="E14" s="37"/>
      <c r="F14" s="37"/>
      <c r="G14" s="12"/>
      <c r="H14" s="18"/>
      <c r="I14" s="19"/>
    </row>
    <row r="15" spans="3:9" ht="15">
      <c r="C15" s="11" t="s">
        <v>388</v>
      </c>
      <c r="D15" s="37"/>
      <c r="E15" s="37"/>
      <c r="F15" s="37"/>
      <c r="G15" s="257">
        <v>50</v>
      </c>
      <c r="H15" s="258">
        <v>51</v>
      </c>
      <c r="I15" s="259"/>
    </row>
    <row r="16" spans="3:9" ht="15">
      <c r="C16" s="11"/>
      <c r="D16" s="37"/>
      <c r="E16" s="37"/>
      <c r="F16" s="37"/>
      <c r="G16" s="257"/>
      <c r="H16" s="258"/>
      <c r="I16" s="259"/>
    </row>
    <row r="17" spans="3:9" ht="15">
      <c r="C17" s="11" t="s">
        <v>389</v>
      </c>
      <c r="D17" s="37"/>
      <c r="E17" s="37"/>
      <c r="F17" s="37"/>
      <c r="G17" s="257">
        <v>21329</v>
      </c>
      <c r="H17" s="258">
        <v>55186</v>
      </c>
      <c r="I17" s="259"/>
    </row>
    <row r="18" spans="3:9" ht="15">
      <c r="C18" s="5"/>
      <c r="D18" s="37"/>
      <c r="E18" s="37"/>
      <c r="F18" s="37"/>
      <c r="G18" s="257"/>
      <c r="H18" s="258"/>
      <c r="I18" s="259"/>
    </row>
    <row r="19" spans="3:9" ht="15">
      <c r="C19" s="11" t="s">
        <v>390</v>
      </c>
      <c r="D19" s="169"/>
      <c r="E19" s="169"/>
      <c r="F19" s="169"/>
      <c r="G19" s="260">
        <v>15645422</v>
      </c>
      <c r="H19" s="261">
        <v>15645422</v>
      </c>
      <c r="I19" s="262"/>
    </row>
    <row r="20" spans="3:9" ht="15">
      <c r="C20" s="131"/>
      <c r="D20" s="169"/>
      <c r="E20" s="169"/>
      <c r="F20" s="169"/>
      <c r="G20" s="260"/>
      <c r="H20" s="261"/>
      <c r="I20" s="262"/>
    </row>
    <row r="21" spans="3:9" ht="15">
      <c r="C21" s="11" t="s">
        <v>391</v>
      </c>
      <c r="D21" s="37"/>
      <c r="E21" s="37"/>
      <c r="F21" s="37"/>
      <c r="G21" s="257">
        <v>1975</v>
      </c>
      <c r="H21" s="258">
        <v>1975</v>
      </c>
      <c r="I21" s="259"/>
    </row>
    <row r="22" spans="3:9" ht="15">
      <c r="C22" s="136"/>
      <c r="D22" s="23"/>
      <c r="E22" s="23"/>
      <c r="F22" s="23"/>
      <c r="G22" s="171"/>
      <c r="H22" s="110"/>
      <c r="I22" s="19"/>
    </row>
    <row r="23" ht="15">
      <c r="H23" s="37"/>
    </row>
    <row r="24" spans="3:9" ht="15">
      <c r="C24" s="207" t="s">
        <v>587</v>
      </c>
      <c r="D24" s="208"/>
      <c r="E24" s="208"/>
      <c r="F24" s="208"/>
      <c r="G24" s="208"/>
      <c r="H24" s="209"/>
      <c r="I24" s="203"/>
    </row>
    <row r="25" spans="3:9" ht="15">
      <c r="C25" s="204" t="s">
        <v>392</v>
      </c>
      <c r="D25" s="205"/>
      <c r="E25" s="205"/>
      <c r="F25" s="205"/>
      <c r="G25" s="205"/>
      <c r="H25" s="206"/>
      <c r="I25" s="203"/>
    </row>
    <row r="27" ht="15">
      <c r="C27" s="6" t="s">
        <v>393</v>
      </c>
    </row>
    <row r="28" ht="15">
      <c r="C28" s="6" t="s">
        <v>394</v>
      </c>
    </row>
    <row r="29" ht="15">
      <c r="C29" s="6" t="s">
        <v>395</v>
      </c>
    </row>
    <row r="30" ht="15">
      <c r="C30" s="6" t="s">
        <v>396</v>
      </c>
    </row>
    <row r="31" ht="15">
      <c r="C31" s="6" t="s">
        <v>397</v>
      </c>
    </row>
    <row r="32" ht="15">
      <c r="C32" s="6" t="s">
        <v>398</v>
      </c>
    </row>
    <row r="36" spans="5:8" ht="15">
      <c r="E36" s="427" t="s">
        <v>714</v>
      </c>
      <c r="F36" s="427"/>
      <c r="G36" s="427" t="s">
        <v>716</v>
      </c>
      <c r="H36" s="427"/>
    </row>
    <row r="37" spans="5:8" ht="15">
      <c r="E37" s="427" t="s">
        <v>715</v>
      </c>
      <c r="F37" s="427"/>
      <c r="G37" s="427" t="s">
        <v>717</v>
      </c>
      <c r="H37" s="427"/>
    </row>
  </sheetData>
  <sheetProtection/>
  <mergeCells count="9">
    <mergeCell ref="E37:F37"/>
    <mergeCell ref="G37:H37"/>
    <mergeCell ref="B2:I2"/>
    <mergeCell ref="B3:I3"/>
    <mergeCell ref="B4:I4"/>
    <mergeCell ref="B5:I5"/>
    <mergeCell ref="C8:F9"/>
    <mergeCell ref="E36:F36"/>
    <mergeCell ref="G36:H36"/>
  </mergeCells>
  <printOptions/>
  <pageMargins left="0.7086614173228347" right="0" top="2.3228346456692917" bottom="0.7480314960629921" header="0.31496062992125984" footer="0.31496062992125984"/>
  <pageSetup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C8" sqref="C8"/>
    </sheetView>
  </sheetViews>
  <sheetFormatPr defaultColWidth="11.421875" defaultRowHeight="15"/>
  <cols>
    <col min="2" max="2" width="24.28125" style="0" customWidth="1"/>
    <col min="3" max="3" width="17.140625" style="0" customWidth="1"/>
    <col min="4" max="4" width="16.7109375" style="0" customWidth="1"/>
    <col min="5" max="5" width="7.421875" style="0" customWidth="1"/>
    <col min="6" max="6" width="8.7109375" style="0" customWidth="1"/>
  </cols>
  <sheetData>
    <row r="1" ht="15">
      <c r="E1" s="126" t="s">
        <v>577</v>
      </c>
    </row>
    <row r="2" spans="1:9" ht="21">
      <c r="A2" s="447" t="s">
        <v>0</v>
      </c>
      <c r="B2" s="447"/>
      <c r="C2" s="447"/>
      <c r="D2" s="447"/>
      <c r="E2" s="447"/>
      <c r="F2" s="43"/>
      <c r="G2" s="43"/>
      <c r="H2" s="43"/>
      <c r="I2" s="43"/>
    </row>
    <row r="3" spans="1:9" ht="21">
      <c r="A3" s="447" t="s">
        <v>781</v>
      </c>
      <c r="B3" s="447"/>
      <c r="C3" s="447"/>
      <c r="D3" s="447"/>
      <c r="E3" s="447"/>
      <c r="F3" s="43"/>
      <c r="G3" s="43"/>
      <c r="H3" s="43"/>
      <c r="I3" s="43"/>
    </row>
    <row r="4" spans="1:9" ht="21">
      <c r="A4" s="447" t="s">
        <v>576</v>
      </c>
      <c r="B4" s="447"/>
      <c r="C4" s="447"/>
      <c r="D4" s="447"/>
      <c r="E4" s="447"/>
      <c r="F4" s="43"/>
      <c r="G4" s="43"/>
      <c r="H4" s="43"/>
      <c r="I4" s="43"/>
    </row>
    <row r="7" spans="2:5" ht="15">
      <c r="B7" s="235" t="s">
        <v>575</v>
      </c>
      <c r="C7" s="167">
        <v>44012</v>
      </c>
      <c r="D7" s="222">
        <v>43830</v>
      </c>
      <c r="E7" s="223"/>
    </row>
    <row r="8" spans="2:5" ht="15">
      <c r="B8" s="168"/>
      <c r="C8" s="168"/>
      <c r="D8" s="84"/>
      <c r="E8" s="37"/>
    </row>
    <row r="9" spans="2:5" ht="15">
      <c r="B9" s="11"/>
      <c r="C9" s="11"/>
      <c r="D9" s="87"/>
      <c r="E9" s="37"/>
    </row>
    <row r="10" spans="2:5" ht="15">
      <c r="B10" s="5" t="s">
        <v>574</v>
      </c>
      <c r="C10" s="236">
        <f>+BALANCE!F16/BALANCE!L16</f>
        <v>2.8697822303458977</v>
      </c>
      <c r="D10" s="140">
        <f>+BALANCE!G16/BALANCE!M16</f>
        <v>2.1075718726453183</v>
      </c>
      <c r="E10" s="37"/>
    </row>
    <row r="11" spans="2:5" ht="15">
      <c r="B11" s="131"/>
      <c r="C11" s="237"/>
      <c r="D11" s="211"/>
      <c r="E11" s="169"/>
    </row>
    <row r="12" spans="2:5" ht="15">
      <c r="B12" s="5" t="s">
        <v>573</v>
      </c>
      <c r="C12" s="236">
        <f>+BALANCE!L23/BALANCE!L26</f>
        <v>0.6226878469445714</v>
      </c>
      <c r="D12" s="140">
        <f>+BALANCE!M23/BALANCE!M26</f>
        <v>0.6230506251217137</v>
      </c>
      <c r="E12" s="37"/>
    </row>
    <row r="13" spans="2:5" ht="15">
      <c r="B13" s="11"/>
      <c r="C13" s="236"/>
      <c r="D13" s="140"/>
      <c r="E13" s="37"/>
    </row>
    <row r="14" spans="2:5" ht="15">
      <c r="B14" s="5" t="s">
        <v>572</v>
      </c>
      <c r="C14" s="236">
        <f>(RESUL!I23+RESUL!I24)/(BALANCE!L26-RESUL!I333)</f>
        <v>0.008757403723412306</v>
      </c>
      <c r="D14" s="140">
        <f>(RESUL!J23+RESUL!J24)/(BALANCE!M26-RESUL!J333)</f>
        <v>0.0022550185004868548</v>
      </c>
      <c r="E14" s="37"/>
    </row>
    <row r="15" spans="2:5" ht="15">
      <c r="B15" s="11"/>
      <c r="C15" s="11"/>
      <c r="D15" s="87"/>
      <c r="E15" s="37"/>
    </row>
    <row r="16" spans="2:5" ht="15">
      <c r="B16" s="11"/>
      <c r="C16" s="11"/>
      <c r="D16" s="87"/>
      <c r="E16" s="37"/>
    </row>
    <row r="17" spans="2:5" ht="27.75" customHeight="1">
      <c r="B17" s="104"/>
      <c r="C17" s="168"/>
      <c r="D17" s="91" t="s">
        <v>571</v>
      </c>
      <c r="E17" s="112"/>
    </row>
    <row r="18" spans="1:6" ht="15">
      <c r="A18" s="79"/>
      <c r="B18" s="76" t="s">
        <v>570</v>
      </c>
      <c r="C18" s="76" t="s">
        <v>569</v>
      </c>
      <c r="D18" s="97" t="s">
        <v>568</v>
      </c>
      <c r="E18" s="112"/>
      <c r="F18" s="37"/>
    </row>
    <row r="19" spans="2:6" ht="15">
      <c r="B19" s="234" t="s">
        <v>567</v>
      </c>
      <c r="C19" s="234" t="s">
        <v>566</v>
      </c>
      <c r="D19" s="97" t="s">
        <v>566</v>
      </c>
      <c r="E19" s="112"/>
      <c r="F19" s="37"/>
    </row>
    <row r="20" spans="2:6" ht="15">
      <c r="B20" s="11"/>
      <c r="C20" s="87"/>
      <c r="D20" s="233" t="s">
        <v>565</v>
      </c>
      <c r="E20" s="232"/>
      <c r="F20" s="37"/>
    </row>
    <row r="21" spans="2:5" ht="15">
      <c r="B21" s="11"/>
      <c r="C21" s="87"/>
      <c r="D21" s="97" t="s">
        <v>564</v>
      </c>
      <c r="E21" s="112"/>
    </row>
    <row r="22" spans="2:6" ht="15.75" customHeight="1">
      <c r="B22" s="136"/>
      <c r="C22" s="85"/>
      <c r="D22" s="99"/>
      <c r="E22" s="112"/>
      <c r="F22" s="37"/>
    </row>
    <row r="24" spans="2:4" ht="15">
      <c r="B24" s="49"/>
      <c r="C24" s="49"/>
      <c r="D24" s="49"/>
    </row>
    <row r="25" spans="2:4" ht="15">
      <c r="B25" s="49"/>
      <c r="C25" s="49"/>
      <c r="D25" s="49"/>
    </row>
    <row r="26" spans="3:6" ht="15">
      <c r="C26" s="318"/>
      <c r="D26" s="318"/>
      <c r="E26" s="42"/>
      <c r="F26" s="42"/>
    </row>
    <row r="27" spans="3:6" ht="15">
      <c r="C27" s="318"/>
      <c r="D27" s="318"/>
      <c r="E27" s="42"/>
      <c r="F27" s="42"/>
    </row>
    <row r="28" spans="3:4" ht="15">
      <c r="C28" s="319" t="s">
        <v>714</v>
      </c>
      <c r="D28" s="319" t="s">
        <v>716</v>
      </c>
    </row>
    <row r="29" spans="3:4" ht="15">
      <c r="C29" s="319" t="s">
        <v>715</v>
      </c>
      <c r="D29" s="319" t="s">
        <v>717</v>
      </c>
    </row>
  </sheetData>
  <sheetProtection/>
  <mergeCells count="3">
    <mergeCell ref="A2:E2"/>
    <mergeCell ref="A3:E3"/>
    <mergeCell ref="A4:E4"/>
  </mergeCells>
  <printOptions/>
  <pageMargins left="0.7086614173228347" right="0" top="2.5196850393700787" bottom="0.7480314960629921" header="0.31496062992125984" footer="0.31496062992125984"/>
  <pageSetup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430"/>
  <sheetViews>
    <sheetView tabSelected="1" zoomScalePageLayoutView="0" workbookViewId="0" topLeftCell="A285">
      <selection activeCell="A227" sqref="A227:H254"/>
    </sheetView>
  </sheetViews>
  <sheetFormatPr defaultColWidth="11.421875" defaultRowHeight="15"/>
  <cols>
    <col min="1" max="1" width="7.28125" style="0" customWidth="1"/>
    <col min="4" max="4" width="10.28125" style="0" customWidth="1"/>
    <col min="5" max="5" width="3.8515625" style="0" customWidth="1"/>
    <col min="6" max="6" width="13.8515625" style="0" customWidth="1"/>
    <col min="7" max="7" width="14.421875" style="0" customWidth="1"/>
    <col min="8" max="8" width="12.28125" style="0" customWidth="1"/>
    <col min="9" max="10" width="12.7109375" style="0" bestFit="1" customWidth="1"/>
  </cols>
  <sheetData>
    <row r="1" spans="1:9" ht="23.25">
      <c r="A1" s="214"/>
      <c r="B1" s="563"/>
      <c r="C1" s="563"/>
      <c r="D1" s="563"/>
      <c r="E1" s="563"/>
      <c r="F1" s="563"/>
      <c r="G1" s="563"/>
      <c r="H1" s="43"/>
      <c r="I1" s="43"/>
    </row>
    <row r="2" spans="1:9" ht="23.25">
      <c r="A2" s="214"/>
      <c r="B2" s="354"/>
      <c r="C2" s="354"/>
      <c r="D2" s="354"/>
      <c r="E2" s="354"/>
      <c r="F2" s="354"/>
      <c r="G2" s="354"/>
      <c r="H2" s="43"/>
      <c r="I2" s="43"/>
    </row>
    <row r="3" spans="1:9" ht="23.25">
      <c r="A3" s="214"/>
      <c r="B3" s="354"/>
      <c r="C3" s="354"/>
      <c r="D3" s="354"/>
      <c r="E3" s="354"/>
      <c r="F3" s="354"/>
      <c r="G3" s="354"/>
      <c r="H3" s="43"/>
      <c r="I3" s="43"/>
    </row>
    <row r="4" spans="2:7" ht="18.75">
      <c r="B4" s="564" t="s">
        <v>29</v>
      </c>
      <c r="C4" s="564"/>
      <c r="D4" s="564"/>
      <c r="E4" s="564"/>
      <c r="F4" s="564"/>
      <c r="G4" s="564"/>
    </row>
    <row r="5" spans="2:7" ht="18.75">
      <c r="B5" s="355"/>
      <c r="C5" s="355"/>
      <c r="D5" s="355"/>
      <c r="E5" s="355"/>
      <c r="F5" s="355"/>
      <c r="G5" s="355"/>
    </row>
    <row r="6" ht="15">
      <c r="B6" s="6" t="s">
        <v>30</v>
      </c>
    </row>
    <row r="7" spans="2:7" ht="18.75">
      <c r="B7" s="44" t="s">
        <v>557</v>
      </c>
      <c r="C7" s="45"/>
      <c r="D7" s="45"/>
      <c r="E7" s="45"/>
      <c r="F7" s="45"/>
      <c r="G7" s="45"/>
    </row>
    <row r="8" spans="2:7" ht="15">
      <c r="B8" s="46" t="s">
        <v>31</v>
      </c>
      <c r="C8" s="46"/>
      <c r="D8" s="46"/>
      <c r="E8" s="46"/>
      <c r="F8" s="46"/>
      <c r="G8" s="46"/>
    </row>
    <row r="9" spans="2:7" ht="15">
      <c r="B9" s="46" t="s">
        <v>32</v>
      </c>
      <c r="C9" s="46"/>
      <c r="D9" s="46"/>
      <c r="E9" s="46"/>
      <c r="F9" s="46"/>
      <c r="G9" s="46"/>
    </row>
    <row r="10" spans="2:7" ht="15">
      <c r="B10" s="46" t="s">
        <v>33</v>
      </c>
      <c r="C10" s="46"/>
      <c r="D10" s="46"/>
      <c r="E10" s="46"/>
      <c r="F10" s="46"/>
      <c r="G10" s="46"/>
    </row>
    <row r="11" spans="2:7" ht="15">
      <c r="B11" s="46" t="s">
        <v>34</v>
      </c>
      <c r="C11" s="46"/>
      <c r="D11" s="46"/>
      <c r="E11" s="46"/>
      <c r="F11" s="46"/>
      <c r="G11" s="46"/>
    </row>
    <row r="12" spans="2:7" ht="15">
      <c r="B12" s="46" t="s">
        <v>35</v>
      </c>
      <c r="C12" s="46"/>
      <c r="D12" s="46"/>
      <c r="E12" s="46"/>
      <c r="F12" s="46"/>
      <c r="G12" s="46"/>
    </row>
    <row r="13" spans="2:7" ht="15">
      <c r="B13" s="46" t="s">
        <v>36</v>
      </c>
      <c r="C13" s="46"/>
      <c r="D13" s="46"/>
      <c r="E13" s="46"/>
      <c r="F13" s="46"/>
      <c r="G13" s="46"/>
    </row>
    <row r="14" spans="2:7" ht="15">
      <c r="B14" s="46" t="s">
        <v>37</v>
      </c>
      <c r="C14" s="46"/>
      <c r="D14" s="46"/>
      <c r="E14" s="46"/>
      <c r="F14" s="46"/>
      <c r="G14" s="46"/>
    </row>
    <row r="15" spans="2:7" ht="15">
      <c r="B15" s="46" t="s">
        <v>38</v>
      </c>
      <c r="C15" s="46"/>
      <c r="D15" s="46"/>
      <c r="E15" s="46"/>
      <c r="F15" s="46"/>
      <c r="G15" s="46"/>
    </row>
    <row r="16" spans="2:7" ht="15">
      <c r="B16" s="46" t="s">
        <v>39</v>
      </c>
      <c r="C16" s="46"/>
      <c r="D16" s="46"/>
      <c r="E16" s="46"/>
      <c r="F16" s="46"/>
      <c r="G16" s="46"/>
    </row>
    <row r="17" spans="2:7" ht="15">
      <c r="B17" s="46" t="s">
        <v>40</v>
      </c>
      <c r="C17" s="46"/>
      <c r="D17" s="46"/>
      <c r="E17" s="46"/>
      <c r="F17" s="46"/>
      <c r="G17" s="46"/>
    </row>
    <row r="18" spans="2:7" ht="15">
      <c r="B18" s="46" t="s">
        <v>41</v>
      </c>
      <c r="C18" s="46"/>
      <c r="D18" s="46"/>
      <c r="E18" s="46"/>
      <c r="F18" s="46"/>
      <c r="G18" s="46"/>
    </row>
    <row r="20" ht="15">
      <c r="B20" t="s">
        <v>42</v>
      </c>
    </row>
    <row r="21" ht="15">
      <c r="B21" t="s">
        <v>43</v>
      </c>
    </row>
    <row r="22" ht="15">
      <c r="B22" t="s">
        <v>44</v>
      </c>
    </row>
    <row r="23" ht="15">
      <c r="B23" t="s">
        <v>45</v>
      </c>
    </row>
    <row r="24" ht="15">
      <c r="B24" t="s">
        <v>46</v>
      </c>
    </row>
    <row r="25" ht="15">
      <c r="B25" t="s">
        <v>47</v>
      </c>
    </row>
    <row r="27" ht="15">
      <c r="B27" t="s">
        <v>48</v>
      </c>
    </row>
    <row r="28" ht="15">
      <c r="B28" t="s">
        <v>49</v>
      </c>
    </row>
    <row r="29" ht="15">
      <c r="B29" t="s">
        <v>50</v>
      </c>
    </row>
    <row r="30" ht="15">
      <c r="B30" t="s">
        <v>51</v>
      </c>
    </row>
    <row r="31" ht="15">
      <c r="B31" t="s">
        <v>52</v>
      </c>
    </row>
    <row r="32" ht="15">
      <c r="B32" t="s">
        <v>53</v>
      </c>
    </row>
    <row r="33" ht="15">
      <c r="B33" t="s">
        <v>54</v>
      </c>
    </row>
    <row r="34" ht="15">
      <c r="B34" t="s">
        <v>55</v>
      </c>
    </row>
    <row r="48" ht="15">
      <c r="B48" s="6" t="s">
        <v>56</v>
      </c>
    </row>
    <row r="50" ht="15">
      <c r="B50" t="s">
        <v>774</v>
      </c>
    </row>
    <row r="52" spans="2:8" ht="15">
      <c r="B52" s="565" t="s">
        <v>57</v>
      </c>
      <c r="C52" s="565"/>
      <c r="D52" s="565"/>
      <c r="E52" s="565"/>
      <c r="F52" s="47">
        <v>44012</v>
      </c>
      <c r="G52" s="47">
        <v>43830</v>
      </c>
      <c r="H52" s="172"/>
    </row>
    <row r="53" spans="2:8" ht="15">
      <c r="B53" s="566" t="s">
        <v>58</v>
      </c>
      <c r="C53" s="566"/>
      <c r="D53" s="566"/>
      <c r="E53" s="566"/>
      <c r="F53" s="108">
        <f>624554-F54</f>
        <v>567946</v>
      </c>
      <c r="G53" s="108">
        <v>154901</v>
      </c>
      <c r="H53" s="19"/>
    </row>
    <row r="54" spans="2:8" ht="15">
      <c r="B54" s="566" t="s">
        <v>59</v>
      </c>
      <c r="C54" s="566"/>
      <c r="D54" s="566"/>
      <c r="E54" s="566"/>
      <c r="F54" s="34">
        <f>55929+679</f>
        <v>56608</v>
      </c>
      <c r="G54" s="34">
        <v>23307</v>
      </c>
      <c r="H54" s="19"/>
    </row>
    <row r="55" spans="1:8" ht="15">
      <c r="A55" s="37"/>
      <c r="B55" s="458" t="s">
        <v>60</v>
      </c>
      <c r="C55" s="459"/>
      <c r="D55" s="459"/>
      <c r="E55" s="460"/>
      <c r="F55" s="34">
        <f>1740387-F56</f>
        <v>1520100</v>
      </c>
      <c r="G55" s="34">
        <v>449604</v>
      </c>
      <c r="H55" s="12"/>
    </row>
    <row r="56" spans="2:8" ht="15">
      <c r="B56" s="566" t="s">
        <v>61</v>
      </c>
      <c r="C56" s="566"/>
      <c r="D56" s="566"/>
      <c r="E56" s="566"/>
      <c r="F56" s="34">
        <v>220287</v>
      </c>
      <c r="G56" s="34">
        <v>32409</v>
      </c>
      <c r="H56" s="19"/>
    </row>
    <row r="57" spans="2:8" ht="15.75" thickBot="1">
      <c r="B57" s="567" t="s">
        <v>62</v>
      </c>
      <c r="C57" s="568"/>
      <c r="D57" s="568"/>
      <c r="E57" s="569"/>
      <c r="F57" s="48">
        <f>SUM(F53:F56)</f>
        <v>2364941</v>
      </c>
      <c r="G57" s="48">
        <f>SUM(G53:G56)+1</f>
        <v>660222</v>
      </c>
      <c r="H57" s="19"/>
    </row>
    <row r="58" spans="1:2" ht="15.75" thickTop="1">
      <c r="A58" s="37"/>
      <c r="B58" s="37"/>
    </row>
    <row r="59" spans="1:2" ht="15">
      <c r="A59" s="37"/>
      <c r="B59" s="49" t="s">
        <v>63</v>
      </c>
    </row>
    <row r="61" ht="15">
      <c r="B61" t="s">
        <v>775</v>
      </c>
    </row>
    <row r="62" ht="15">
      <c r="B62" t="s">
        <v>692</v>
      </c>
    </row>
    <row r="64" ht="15">
      <c r="B64" s="6" t="s">
        <v>64</v>
      </c>
    </row>
    <row r="66" ht="15">
      <c r="B66" t="s">
        <v>65</v>
      </c>
    </row>
    <row r="67" ht="15">
      <c r="B67" t="s">
        <v>66</v>
      </c>
    </row>
    <row r="69" ht="15">
      <c r="B69" s="6" t="s">
        <v>67</v>
      </c>
    </row>
    <row r="70" ht="15">
      <c r="B70" t="s">
        <v>68</v>
      </c>
    </row>
    <row r="71" ht="15">
      <c r="B71" t="s">
        <v>69</v>
      </c>
    </row>
    <row r="73" ht="15">
      <c r="B73" s="6" t="s">
        <v>70</v>
      </c>
    </row>
    <row r="74" spans="2:3" ht="15">
      <c r="B74" s="6" t="s">
        <v>71</v>
      </c>
      <c r="C74" s="6"/>
    </row>
    <row r="75" ht="15">
      <c r="B75" t="s">
        <v>407</v>
      </c>
    </row>
    <row r="76" ht="15">
      <c r="B76" t="s">
        <v>409</v>
      </c>
    </row>
    <row r="77" ht="15">
      <c r="B77" t="s">
        <v>408</v>
      </c>
    </row>
    <row r="78" spans="2:8" ht="15">
      <c r="B78" s="482" t="s">
        <v>72</v>
      </c>
      <c r="C78" s="482"/>
      <c r="D78" s="482"/>
      <c r="E78" s="482" t="s">
        <v>73</v>
      </c>
      <c r="F78" s="482"/>
      <c r="G78" s="138" t="s">
        <v>74</v>
      </c>
      <c r="H78" s="51"/>
    </row>
    <row r="79" spans="2:8" ht="15">
      <c r="B79" s="451" t="s">
        <v>75</v>
      </c>
      <c r="C79" s="453"/>
      <c r="D79" s="452"/>
      <c r="E79" s="561"/>
      <c r="F79" s="562"/>
      <c r="G79" s="52"/>
      <c r="H79" s="53"/>
    </row>
    <row r="80" spans="2:8" ht="15">
      <c r="B80" s="558" t="s">
        <v>776</v>
      </c>
      <c r="C80" s="559"/>
      <c r="D80" s="560"/>
      <c r="E80" s="561">
        <v>6793.79</v>
      </c>
      <c r="F80" s="562"/>
      <c r="G80" s="52">
        <v>6820.47</v>
      </c>
      <c r="H80" s="53"/>
    </row>
    <row r="81" spans="2:8" ht="15">
      <c r="B81" s="558" t="s">
        <v>758</v>
      </c>
      <c r="C81" s="559"/>
      <c r="D81" s="560"/>
      <c r="E81" s="561">
        <v>6442.33</v>
      </c>
      <c r="F81" s="562"/>
      <c r="G81" s="52">
        <v>6463.95</v>
      </c>
      <c r="H81" s="53"/>
    </row>
    <row r="83" ht="15">
      <c r="B83" s="6" t="s">
        <v>76</v>
      </c>
    </row>
    <row r="84" ht="15">
      <c r="B84" t="s">
        <v>77</v>
      </c>
    </row>
    <row r="85" ht="15">
      <c r="B85" t="s">
        <v>78</v>
      </c>
    </row>
    <row r="86" ht="15">
      <c r="B86" t="s">
        <v>79</v>
      </c>
    </row>
    <row r="91" ht="15">
      <c r="B91" s="6" t="s">
        <v>80</v>
      </c>
    </row>
    <row r="92" ht="15">
      <c r="B92" t="s">
        <v>81</v>
      </c>
    </row>
    <row r="93" ht="15">
      <c r="B93" t="s">
        <v>746</v>
      </c>
    </row>
    <row r="95" ht="15">
      <c r="B95" s="6" t="s">
        <v>82</v>
      </c>
    </row>
    <row r="96" ht="15">
      <c r="B96" t="s">
        <v>83</v>
      </c>
    </row>
    <row r="97" ht="15">
      <c r="B97" t="s">
        <v>84</v>
      </c>
    </row>
    <row r="99" ht="15">
      <c r="B99" s="6" t="s">
        <v>85</v>
      </c>
    </row>
    <row r="100" ht="15">
      <c r="B100" t="s">
        <v>86</v>
      </c>
    </row>
    <row r="101" ht="15">
      <c r="B101" t="s">
        <v>87</v>
      </c>
    </row>
    <row r="103" ht="15">
      <c r="B103" s="6" t="s">
        <v>88</v>
      </c>
    </row>
    <row r="104" spans="2:8" ht="15">
      <c r="B104" t="s">
        <v>410</v>
      </c>
      <c r="C104" s="39"/>
      <c r="D104" s="39"/>
      <c r="E104" s="39"/>
      <c r="F104" s="39"/>
      <c r="G104" s="39"/>
      <c r="H104" s="39"/>
    </row>
    <row r="106" spans="2:8" ht="15">
      <c r="B106" s="482" t="s">
        <v>57</v>
      </c>
      <c r="C106" s="482"/>
      <c r="D106" s="482"/>
      <c r="E106" s="537">
        <v>44012</v>
      </c>
      <c r="F106" s="482"/>
      <c r="G106" s="54">
        <v>43830</v>
      </c>
      <c r="H106" s="173"/>
    </row>
    <row r="107" spans="2:8" ht="15">
      <c r="B107" s="451" t="s">
        <v>89</v>
      </c>
      <c r="C107" s="453"/>
      <c r="D107" s="452"/>
      <c r="E107" s="526">
        <f>SUM(E108:F113)</f>
        <v>4479196</v>
      </c>
      <c r="F107" s="527"/>
      <c r="G107" s="55">
        <f>SUM(G108:G113)</f>
        <v>5806742</v>
      </c>
      <c r="H107" s="174"/>
    </row>
    <row r="108" spans="2:8" ht="15">
      <c r="B108" s="461" t="s">
        <v>718</v>
      </c>
      <c r="C108" s="462"/>
      <c r="D108" s="463"/>
      <c r="E108" s="505">
        <v>3176780</v>
      </c>
      <c r="F108" s="506"/>
      <c r="G108" s="56">
        <v>3574465</v>
      </c>
      <c r="H108" s="175"/>
    </row>
    <row r="109" spans="2:8" ht="15">
      <c r="B109" s="461" t="s">
        <v>719</v>
      </c>
      <c r="C109" s="462"/>
      <c r="D109" s="463"/>
      <c r="E109" s="505">
        <v>1111760</v>
      </c>
      <c r="F109" s="506"/>
      <c r="G109" s="56">
        <v>1111760</v>
      </c>
      <c r="H109" s="175"/>
    </row>
    <row r="110" spans="2:8" ht="15">
      <c r="B110" s="461" t="s">
        <v>91</v>
      </c>
      <c r="C110" s="462"/>
      <c r="D110" s="463"/>
      <c r="E110" s="505">
        <v>0</v>
      </c>
      <c r="F110" s="506"/>
      <c r="G110" s="56">
        <v>0</v>
      </c>
      <c r="H110" s="175"/>
    </row>
    <row r="111" spans="2:8" ht="15">
      <c r="B111" s="461" t="s">
        <v>720</v>
      </c>
      <c r="C111" s="462"/>
      <c r="D111" s="463"/>
      <c r="E111" s="505">
        <v>368320</v>
      </c>
      <c r="F111" s="506"/>
      <c r="G111" s="56">
        <v>1300488</v>
      </c>
      <c r="H111" s="175"/>
    </row>
    <row r="112" spans="2:8" ht="15">
      <c r="B112" s="461" t="s">
        <v>721</v>
      </c>
      <c r="C112" s="462"/>
      <c r="D112" s="463"/>
      <c r="E112" s="505">
        <v>6546</v>
      </c>
      <c r="F112" s="506"/>
      <c r="G112" s="56">
        <v>4239</v>
      </c>
      <c r="H112" s="175"/>
    </row>
    <row r="113" spans="2:8" ht="15">
      <c r="B113" s="507" t="s">
        <v>94</v>
      </c>
      <c r="C113" s="508"/>
      <c r="D113" s="509"/>
      <c r="E113" s="505">
        <v>-184210</v>
      </c>
      <c r="F113" s="506"/>
      <c r="G113" s="56">
        <v>-184210</v>
      </c>
      <c r="H113" s="175"/>
    </row>
    <row r="114" spans="2:8" ht="15">
      <c r="B114" s="451" t="s">
        <v>92</v>
      </c>
      <c r="C114" s="453"/>
      <c r="D114" s="452"/>
      <c r="E114" s="526">
        <f>SUM(E115:F117)</f>
        <v>1270112</v>
      </c>
      <c r="F114" s="527"/>
      <c r="G114" s="55">
        <f>SUM(G115:H117)</f>
        <v>931995</v>
      </c>
      <c r="H114" s="174"/>
    </row>
    <row r="115" spans="2:8" ht="15">
      <c r="B115" s="461" t="s">
        <v>722</v>
      </c>
      <c r="C115" s="462"/>
      <c r="D115" s="463"/>
      <c r="E115" s="505">
        <v>0</v>
      </c>
      <c r="F115" s="506"/>
      <c r="G115" s="56">
        <v>0</v>
      </c>
      <c r="H115" s="175"/>
    </row>
    <row r="116" spans="2:8" ht="15">
      <c r="B116" s="461" t="s">
        <v>93</v>
      </c>
      <c r="C116" s="462"/>
      <c r="D116" s="463"/>
      <c r="E116" s="505">
        <v>1324173</v>
      </c>
      <c r="F116" s="506"/>
      <c r="G116" s="56">
        <v>986056</v>
      </c>
      <c r="H116" s="175"/>
    </row>
    <row r="117" spans="2:8" ht="15">
      <c r="B117" s="507" t="s">
        <v>94</v>
      </c>
      <c r="C117" s="508"/>
      <c r="D117" s="509"/>
      <c r="E117" s="505">
        <v>-54061</v>
      </c>
      <c r="F117" s="506"/>
      <c r="G117" s="56">
        <v>-54061</v>
      </c>
      <c r="H117" s="175"/>
    </row>
    <row r="118" spans="2:9" ht="15">
      <c r="B118" s="451" t="s">
        <v>62</v>
      </c>
      <c r="C118" s="453"/>
      <c r="D118" s="452"/>
      <c r="E118" s="526">
        <f>+E107+E114</f>
        <v>5749308</v>
      </c>
      <c r="F118" s="527"/>
      <c r="G118" s="55">
        <f>+G107+G114</f>
        <v>6738737</v>
      </c>
      <c r="H118" s="174"/>
      <c r="I118" s="13"/>
    </row>
    <row r="119" spans="2:8" ht="15">
      <c r="B119" s="283"/>
      <c r="C119" s="283"/>
      <c r="D119" s="283"/>
      <c r="E119" s="250"/>
      <c r="F119" s="250"/>
      <c r="G119" s="174"/>
      <c r="H119" s="174"/>
    </row>
    <row r="120" spans="2:8" ht="18.75">
      <c r="B120" s="513" t="s">
        <v>697</v>
      </c>
      <c r="C120" s="513"/>
      <c r="D120" s="513"/>
      <c r="E120" s="513"/>
      <c r="F120" s="513"/>
      <c r="G120" s="513"/>
      <c r="H120" s="513"/>
    </row>
    <row r="121" spans="2:8" ht="15">
      <c r="B121" s="514" t="s">
        <v>777</v>
      </c>
      <c r="C121" s="514"/>
      <c r="D121" s="514"/>
      <c r="E121" s="514"/>
      <c r="F121" s="514"/>
      <c r="G121" s="514"/>
      <c r="H121" s="514"/>
    </row>
    <row r="122" spans="2:8" ht="15">
      <c r="B122" s="514"/>
      <c r="C122" s="514"/>
      <c r="D122" s="514"/>
      <c r="E122" s="514"/>
      <c r="F122" s="514"/>
      <c r="G122" s="514"/>
      <c r="H122" s="514"/>
    </row>
    <row r="123" spans="2:8" ht="15">
      <c r="B123" s="572" t="s">
        <v>698</v>
      </c>
      <c r="C123" s="573"/>
      <c r="D123" s="573"/>
      <c r="E123" s="573"/>
      <c r="F123" s="574" t="s">
        <v>699</v>
      </c>
      <c r="G123" s="575"/>
      <c r="H123" s="576"/>
    </row>
    <row r="124" spans="2:8" ht="15">
      <c r="B124" s="380"/>
      <c r="C124" s="381"/>
      <c r="D124" s="381"/>
      <c r="E124" s="381"/>
      <c r="F124" s="510" t="s">
        <v>700</v>
      </c>
      <c r="G124" s="511"/>
      <c r="H124" s="512"/>
    </row>
    <row r="125" spans="2:8" ht="15">
      <c r="B125" s="545" t="s">
        <v>701</v>
      </c>
      <c r="C125" s="546"/>
      <c r="D125" s="546"/>
      <c r="E125" s="546"/>
      <c r="F125" s="553">
        <f>4479196232+1270112457-F131</f>
        <v>5235147308</v>
      </c>
      <c r="G125" s="554"/>
      <c r="H125" s="555"/>
    </row>
    <row r="126" spans="2:8" ht="15">
      <c r="B126" s="382"/>
      <c r="C126" s="259"/>
      <c r="D126" s="259"/>
      <c r="E126" s="259"/>
      <c r="F126" s="383"/>
      <c r="G126" s="556" t="s">
        <v>741</v>
      </c>
      <c r="H126" s="557"/>
    </row>
    <row r="127" spans="2:8" ht="15">
      <c r="B127" s="547" t="s">
        <v>702</v>
      </c>
      <c r="C127" s="548"/>
      <c r="D127" s="548"/>
      <c r="E127" s="548"/>
      <c r="F127" s="384" t="s">
        <v>703</v>
      </c>
      <c r="G127" s="384" t="s">
        <v>703</v>
      </c>
      <c r="H127" s="385" t="s">
        <v>704</v>
      </c>
    </row>
    <row r="128" spans="2:8" ht="15">
      <c r="B128" s="549" t="s">
        <v>705</v>
      </c>
      <c r="C128" s="550"/>
      <c r="D128" s="550"/>
      <c r="E128" s="550"/>
      <c r="F128" s="386">
        <v>62697212</v>
      </c>
      <c r="G128" s="386">
        <f>+F128*20%</f>
        <v>12539442.4</v>
      </c>
      <c r="H128" s="387">
        <f>+G128/F128*100</f>
        <v>20</v>
      </c>
    </row>
    <row r="129" spans="2:8" ht="15">
      <c r="B129" s="551" t="s">
        <v>706</v>
      </c>
      <c r="C129" s="552"/>
      <c r="D129" s="552"/>
      <c r="E129" s="552"/>
      <c r="F129" s="388">
        <f>41798142+37618328</f>
        <v>79416470</v>
      </c>
      <c r="G129" s="389">
        <f>+F129*50%</f>
        <v>39708235</v>
      </c>
      <c r="H129" s="390">
        <f>+G129/F129*100</f>
        <v>50</v>
      </c>
    </row>
    <row r="130" spans="2:8" ht="15">
      <c r="B130" s="577" t="s">
        <v>742</v>
      </c>
      <c r="C130" s="578"/>
      <c r="D130" s="578"/>
      <c r="E130" s="578"/>
      <c r="F130" s="391">
        <v>372047699</v>
      </c>
      <c r="G130" s="391">
        <f>+F130*50%</f>
        <v>186023849.5</v>
      </c>
      <c r="H130" s="390">
        <f>+G130/F130*100</f>
        <v>50</v>
      </c>
    </row>
    <row r="131" spans="2:8" ht="15">
      <c r="B131" s="545" t="s">
        <v>732</v>
      </c>
      <c r="C131" s="546"/>
      <c r="D131" s="546"/>
      <c r="E131" s="579"/>
      <c r="F131" s="392">
        <f>SUM(F128:F130)</f>
        <v>514161381</v>
      </c>
      <c r="G131" s="392">
        <f>+G128+G129+G130</f>
        <v>238271526.9</v>
      </c>
      <c r="H131" s="390">
        <f>+G131/F131*100</f>
        <v>46.341778224685456</v>
      </c>
    </row>
    <row r="132" spans="2:8" ht="15">
      <c r="B132" s="545" t="s">
        <v>707</v>
      </c>
      <c r="C132" s="546"/>
      <c r="D132" s="546"/>
      <c r="E132" s="546"/>
      <c r="F132" s="216">
        <f>+F125+F131</f>
        <v>5749308689</v>
      </c>
      <c r="G132" s="108"/>
      <c r="H132" s="393"/>
    </row>
    <row r="133" spans="2:8" ht="15">
      <c r="B133" s="394"/>
      <c r="C133" s="394"/>
      <c r="D133" s="394"/>
      <c r="E133" s="394"/>
      <c r="F133" s="395"/>
      <c r="G133" s="259"/>
      <c r="H133" s="396"/>
    </row>
    <row r="134" spans="2:8" ht="15">
      <c r="B134" s="353"/>
      <c r="C134" s="353"/>
      <c r="D134" s="353"/>
      <c r="E134" s="353"/>
      <c r="F134" s="174"/>
      <c r="G134" s="19"/>
      <c r="H134" s="356"/>
    </row>
    <row r="135" spans="1:8" ht="15">
      <c r="A135" s="37"/>
      <c r="B135" s="37"/>
      <c r="C135" s="37"/>
      <c r="D135" s="37"/>
      <c r="E135" s="37"/>
      <c r="F135" s="37"/>
      <c r="G135" s="37"/>
      <c r="H135" s="37"/>
    </row>
    <row r="136" spans="2:8" ht="15">
      <c r="B136" s="468" t="s">
        <v>708</v>
      </c>
      <c r="C136" s="469"/>
      <c r="D136" s="469"/>
      <c r="E136" s="469"/>
      <c r="F136" s="470"/>
      <c r="G136" s="464"/>
      <c r="H136" s="465"/>
    </row>
    <row r="137" spans="2:8" ht="15">
      <c r="B137" s="471"/>
      <c r="C137" s="472"/>
      <c r="D137" s="472"/>
      <c r="E137" s="472"/>
      <c r="F137" s="473"/>
      <c r="G137" s="474"/>
      <c r="H137" s="475"/>
    </row>
    <row r="138" spans="2:8" ht="15">
      <c r="B138" s="461" t="s">
        <v>709</v>
      </c>
      <c r="C138" s="462"/>
      <c r="D138" s="462"/>
      <c r="E138" s="462"/>
      <c r="F138" s="462"/>
      <c r="G138" s="476"/>
      <c r="H138" s="477"/>
    </row>
    <row r="139" spans="2:8" ht="15">
      <c r="B139" s="168"/>
      <c r="C139" s="19"/>
      <c r="D139" s="19"/>
      <c r="E139" s="19"/>
      <c r="F139" s="19"/>
      <c r="G139" s="478"/>
      <c r="H139" s="479"/>
    </row>
    <row r="140" spans="2:8" ht="15">
      <c r="B140" s="443" t="s">
        <v>710</v>
      </c>
      <c r="C140" s="444"/>
      <c r="D140" s="444"/>
      <c r="E140" s="444"/>
      <c r="F140" s="444"/>
      <c r="G140" s="480" t="s">
        <v>728</v>
      </c>
      <c r="H140" s="481"/>
    </row>
    <row r="141" spans="2:8" ht="15">
      <c r="B141" s="443" t="s">
        <v>711</v>
      </c>
      <c r="C141" s="444"/>
      <c r="D141" s="444"/>
      <c r="E141" s="444"/>
      <c r="F141" s="444"/>
      <c r="G141" s="480" t="s">
        <v>729</v>
      </c>
      <c r="H141" s="481"/>
    </row>
    <row r="142" spans="2:8" ht="15">
      <c r="B142" s="458" t="s">
        <v>712</v>
      </c>
      <c r="C142" s="459"/>
      <c r="D142" s="459"/>
      <c r="E142" s="459"/>
      <c r="F142" s="459"/>
      <c r="G142" s="466" t="s">
        <v>726</v>
      </c>
      <c r="H142" s="467"/>
    </row>
    <row r="143" spans="2:8" ht="15">
      <c r="B143" s="226"/>
      <c r="C143" s="226"/>
      <c r="D143" s="226"/>
      <c r="E143" s="226"/>
      <c r="F143" s="226"/>
      <c r="G143" s="226"/>
      <c r="H143" s="226"/>
    </row>
    <row r="144" spans="2:8" ht="15">
      <c r="B144" s="327" t="s">
        <v>745</v>
      </c>
      <c r="C144" s="226"/>
      <c r="D144" s="226"/>
      <c r="E144" s="226"/>
      <c r="F144" s="226"/>
      <c r="G144" s="226"/>
      <c r="H144" s="226"/>
    </row>
    <row r="145" spans="2:8" ht="15">
      <c r="B145" s="327" t="s">
        <v>95</v>
      </c>
      <c r="C145" s="226"/>
      <c r="D145" s="226"/>
      <c r="E145" s="226"/>
      <c r="F145" s="226"/>
      <c r="G145" s="226"/>
      <c r="H145" s="226"/>
    </row>
    <row r="146" spans="2:8" ht="15">
      <c r="B146" s="327" t="s">
        <v>737</v>
      </c>
      <c r="C146" s="226"/>
      <c r="D146" s="226"/>
      <c r="E146" s="226"/>
      <c r="F146" s="226"/>
      <c r="G146" s="226"/>
      <c r="H146" s="226"/>
    </row>
    <row r="147" spans="2:8" ht="15">
      <c r="B147" s="226"/>
      <c r="C147" s="226"/>
      <c r="D147" s="226"/>
      <c r="E147" s="226"/>
      <c r="F147" s="226"/>
      <c r="G147" s="226"/>
      <c r="H147" s="226"/>
    </row>
    <row r="148" spans="2:8" ht="15">
      <c r="B148" s="226" t="s">
        <v>730</v>
      </c>
      <c r="C148" s="226"/>
      <c r="D148" s="226"/>
      <c r="E148" s="226"/>
      <c r="F148" s="226"/>
      <c r="G148" s="226"/>
      <c r="H148" s="226"/>
    </row>
    <row r="149" spans="2:8" ht="15">
      <c r="B149" s="226" t="s">
        <v>731</v>
      </c>
      <c r="C149" s="226"/>
      <c r="D149" s="226"/>
      <c r="E149" s="226"/>
      <c r="F149" s="226"/>
      <c r="G149" s="226"/>
      <c r="H149" s="226"/>
    </row>
    <row r="150" spans="2:8" ht="15">
      <c r="B150" s="226"/>
      <c r="C150" s="226"/>
      <c r="D150" s="226"/>
      <c r="E150" s="226"/>
      <c r="F150" s="226"/>
      <c r="G150" s="226"/>
      <c r="H150" s="226"/>
    </row>
    <row r="151" spans="2:8" ht="15">
      <c r="B151" s="226" t="s">
        <v>738</v>
      </c>
      <c r="C151" s="226"/>
      <c r="D151" s="226"/>
      <c r="E151" s="226"/>
      <c r="F151" s="226"/>
      <c r="G151" s="226"/>
      <c r="H151" s="226"/>
    </row>
    <row r="152" spans="2:8" ht="15">
      <c r="B152" s="226"/>
      <c r="C152" s="226"/>
      <c r="D152" s="226"/>
      <c r="E152" s="226"/>
      <c r="F152" s="226"/>
      <c r="G152" s="226"/>
      <c r="H152" s="226"/>
    </row>
    <row r="153" spans="2:8" ht="15">
      <c r="B153" s="226" t="s">
        <v>733</v>
      </c>
      <c r="C153" s="226"/>
      <c r="D153" s="226"/>
      <c r="E153" s="226"/>
      <c r="F153" s="226"/>
      <c r="G153" s="226"/>
      <c r="H153" s="226"/>
    </row>
    <row r="154" spans="2:8" ht="15">
      <c r="B154" s="226" t="s">
        <v>734</v>
      </c>
      <c r="C154" s="226"/>
      <c r="D154" s="226"/>
      <c r="E154" s="226"/>
      <c r="F154" s="226"/>
      <c r="G154" s="226"/>
      <c r="H154" s="226"/>
    </row>
    <row r="155" spans="2:8" ht="15">
      <c r="B155" s="226"/>
      <c r="C155" s="226"/>
      <c r="D155" s="226"/>
      <c r="E155" s="226"/>
      <c r="F155" s="226"/>
      <c r="G155" s="226"/>
      <c r="H155" s="226"/>
    </row>
    <row r="156" spans="2:8" ht="15">
      <c r="B156" s="226" t="s">
        <v>735</v>
      </c>
      <c r="C156" s="226"/>
      <c r="D156" s="226"/>
      <c r="E156" s="226"/>
      <c r="F156" s="226"/>
      <c r="G156" s="226"/>
      <c r="H156" s="226"/>
    </row>
    <row r="157" spans="2:8" ht="15">
      <c r="B157" s="226" t="s">
        <v>736</v>
      </c>
      <c r="C157" s="226"/>
      <c r="D157" s="226"/>
      <c r="E157" s="226"/>
      <c r="F157" s="226"/>
      <c r="G157" s="226"/>
      <c r="H157" s="226"/>
    </row>
    <row r="158" spans="2:8" ht="15">
      <c r="B158" s="226"/>
      <c r="C158" s="226"/>
      <c r="D158" s="226"/>
      <c r="E158" s="226"/>
      <c r="F158" s="226"/>
      <c r="G158" s="226"/>
      <c r="H158" s="226"/>
    </row>
    <row r="159" ht="15">
      <c r="B159" s="6" t="s">
        <v>96</v>
      </c>
    </row>
    <row r="160" ht="15">
      <c r="B160" t="s">
        <v>411</v>
      </c>
    </row>
    <row r="162" spans="2:8" ht="15">
      <c r="B162" s="482" t="s">
        <v>57</v>
      </c>
      <c r="C162" s="482"/>
      <c r="D162" s="482"/>
      <c r="E162" s="490">
        <v>44012</v>
      </c>
      <c r="F162" s="491"/>
      <c r="G162" s="54">
        <v>43830</v>
      </c>
      <c r="H162" s="173"/>
    </row>
    <row r="163" spans="2:8" ht="15">
      <c r="B163" s="451" t="s">
        <v>89</v>
      </c>
      <c r="C163" s="453"/>
      <c r="D163" s="452"/>
      <c r="E163" s="526">
        <f>SUM(E164:F176)</f>
        <v>4163313</v>
      </c>
      <c r="F163" s="527"/>
      <c r="G163" s="55">
        <f>SUM(G164:H176)</f>
        <v>4211721</v>
      </c>
      <c r="H163" s="174"/>
    </row>
    <row r="164" spans="2:8" ht="15">
      <c r="B164" s="515" t="s">
        <v>98</v>
      </c>
      <c r="C164" s="516"/>
      <c r="D164" s="517"/>
      <c r="E164" s="411"/>
      <c r="F164" s="412">
        <v>63346</v>
      </c>
      <c r="G164" s="58">
        <v>63346</v>
      </c>
      <c r="H164" s="176"/>
    </row>
    <row r="165" spans="2:8" ht="15">
      <c r="B165" s="461" t="s">
        <v>99</v>
      </c>
      <c r="C165" s="516"/>
      <c r="D165" s="517"/>
      <c r="E165" s="503">
        <v>58133</v>
      </c>
      <c r="F165" s="504"/>
      <c r="G165" s="58">
        <v>204844</v>
      </c>
      <c r="H165" s="176"/>
    </row>
    <row r="166" spans="2:8" ht="15">
      <c r="B166" s="461" t="s">
        <v>100</v>
      </c>
      <c r="C166" s="462"/>
      <c r="D166" s="463"/>
      <c r="E166" s="503">
        <v>127983</v>
      </c>
      <c r="F166" s="504"/>
      <c r="G166" s="58">
        <v>95827</v>
      </c>
      <c r="H166" s="176"/>
    </row>
    <row r="167" spans="2:8" ht="15">
      <c r="B167" s="461" t="s">
        <v>101</v>
      </c>
      <c r="C167" s="462"/>
      <c r="D167" s="463"/>
      <c r="E167" s="503">
        <v>24334</v>
      </c>
      <c r="F167" s="504"/>
      <c r="G167" s="58">
        <v>16988</v>
      </c>
      <c r="H167" s="176"/>
    </row>
    <row r="168" spans="2:8" ht="15">
      <c r="B168" s="461" t="s">
        <v>753</v>
      </c>
      <c r="C168" s="462"/>
      <c r="D168" s="463"/>
      <c r="E168" s="503">
        <v>66</v>
      </c>
      <c r="F168" s="504"/>
      <c r="G168" s="58">
        <v>32</v>
      </c>
      <c r="H168" s="176"/>
    </row>
    <row r="169" spans="2:8" ht="15">
      <c r="B169" s="461" t="s">
        <v>754</v>
      </c>
      <c r="C169" s="462"/>
      <c r="D169" s="463"/>
      <c r="E169" s="503">
        <v>73</v>
      </c>
      <c r="F169" s="504"/>
      <c r="G169" s="58">
        <v>35</v>
      </c>
      <c r="H169" s="176"/>
    </row>
    <row r="170" spans="2:8" ht="15">
      <c r="B170" s="461" t="s">
        <v>723</v>
      </c>
      <c r="C170" s="462"/>
      <c r="D170" s="463"/>
      <c r="E170" s="503">
        <v>0</v>
      </c>
      <c r="F170" s="504"/>
      <c r="G170" s="58">
        <v>0</v>
      </c>
      <c r="H170" s="176"/>
    </row>
    <row r="171" spans="2:8" ht="15">
      <c r="B171" s="461" t="s">
        <v>102</v>
      </c>
      <c r="C171" s="462"/>
      <c r="D171" s="463"/>
      <c r="E171" s="503">
        <v>108862</v>
      </c>
      <c r="F171" s="504"/>
      <c r="G171" s="56">
        <v>115456</v>
      </c>
      <c r="H171" s="175"/>
    </row>
    <row r="172" spans="2:8" ht="15">
      <c r="B172" s="461" t="s">
        <v>724</v>
      </c>
      <c r="C172" s="462"/>
      <c r="D172" s="463"/>
      <c r="E172" s="503">
        <v>0</v>
      </c>
      <c r="F172" s="504"/>
      <c r="G172" s="56">
        <v>0</v>
      </c>
      <c r="H172" s="175"/>
    </row>
    <row r="173" spans="2:8" ht="15">
      <c r="B173" s="461" t="s">
        <v>108</v>
      </c>
      <c r="C173" s="462"/>
      <c r="D173" s="463"/>
      <c r="E173" s="503">
        <v>3773516</v>
      </c>
      <c r="F173" s="504"/>
      <c r="G173" s="56">
        <v>3708193</v>
      </c>
      <c r="H173" s="175"/>
    </row>
    <row r="174" spans="2:8" ht="15">
      <c r="B174" s="461" t="s">
        <v>693</v>
      </c>
      <c r="C174" s="516"/>
      <c r="D174" s="517"/>
      <c r="E174" s="503">
        <v>0</v>
      </c>
      <c r="F174" s="504"/>
      <c r="G174" s="58">
        <v>0</v>
      </c>
      <c r="H174" s="176"/>
    </row>
    <row r="175" spans="2:8" ht="15">
      <c r="B175" s="461" t="s">
        <v>750</v>
      </c>
      <c r="C175" s="462"/>
      <c r="D175" s="463"/>
      <c r="E175" s="503">
        <v>7000</v>
      </c>
      <c r="F175" s="504"/>
      <c r="G175" s="58">
        <v>7000</v>
      </c>
      <c r="H175" s="176"/>
    </row>
    <row r="176" spans="2:8" ht="15">
      <c r="B176" s="461" t="s">
        <v>694</v>
      </c>
      <c r="C176" s="462"/>
      <c r="D176" s="463"/>
      <c r="E176" s="503">
        <v>0</v>
      </c>
      <c r="F176" s="504"/>
      <c r="G176" s="58">
        <v>0</v>
      </c>
      <c r="H176" s="176"/>
    </row>
    <row r="177" spans="2:8" ht="15">
      <c r="B177" s="366"/>
      <c r="C177" s="366"/>
      <c r="D177" s="366"/>
      <c r="E177" s="335"/>
      <c r="F177" s="335"/>
      <c r="G177" s="176"/>
      <c r="H177" s="176"/>
    </row>
    <row r="178" spans="2:8" ht="15">
      <c r="B178" s="366"/>
      <c r="C178" s="366"/>
      <c r="D178" s="366"/>
      <c r="E178" s="335"/>
      <c r="F178" s="335"/>
      <c r="G178" s="176"/>
      <c r="H178" s="176"/>
    </row>
    <row r="179" spans="2:8" ht="15">
      <c r="B179" s="366"/>
      <c r="C179" s="366"/>
      <c r="D179" s="366"/>
      <c r="E179" s="335"/>
      <c r="F179" s="335"/>
      <c r="G179" s="176"/>
      <c r="H179" s="176"/>
    </row>
    <row r="180" spans="2:8" ht="15">
      <c r="B180" s="367"/>
      <c r="C180" s="367"/>
      <c r="D180" s="367"/>
      <c r="E180" s="374"/>
      <c r="F180" s="374"/>
      <c r="G180" s="375"/>
      <c r="H180" s="176"/>
    </row>
    <row r="181" spans="2:8" ht="15">
      <c r="B181" s="448" t="s">
        <v>92</v>
      </c>
      <c r="C181" s="449"/>
      <c r="D181" s="450"/>
      <c r="E181" s="543">
        <v>0</v>
      </c>
      <c r="F181" s="544"/>
      <c r="G181" s="244">
        <f>+G182</f>
        <v>0</v>
      </c>
      <c r="H181" s="174"/>
    </row>
    <row r="182" spans="2:8" ht="15">
      <c r="B182" s="461" t="s">
        <v>412</v>
      </c>
      <c r="C182" s="462"/>
      <c r="D182" s="463"/>
      <c r="E182" s="503">
        <v>0</v>
      </c>
      <c r="F182" s="504"/>
      <c r="G182" s="58">
        <v>0</v>
      </c>
      <c r="H182" s="174"/>
    </row>
    <row r="183" spans="2:8" ht="15">
      <c r="B183" s="451" t="s">
        <v>62</v>
      </c>
      <c r="C183" s="453"/>
      <c r="D183" s="452"/>
      <c r="E183" s="526">
        <f>+E163+E181</f>
        <v>4163313</v>
      </c>
      <c r="F183" s="527"/>
      <c r="G183" s="55">
        <f>+G163+G181</f>
        <v>4211721</v>
      </c>
      <c r="H183" s="174"/>
    </row>
    <row r="184" spans="2:8" ht="15">
      <c r="B184" s="349"/>
      <c r="C184" s="349"/>
      <c r="D184" s="349"/>
      <c r="E184" s="250"/>
      <c r="F184" s="250"/>
      <c r="G184" s="174"/>
      <c r="H184" s="174"/>
    </row>
    <row r="185" ht="15">
      <c r="B185" s="6" t="s">
        <v>103</v>
      </c>
    </row>
    <row r="186" ht="15">
      <c r="B186" t="s">
        <v>413</v>
      </c>
    </row>
    <row r="188" spans="2:8" ht="15">
      <c r="B188" s="482" t="s">
        <v>57</v>
      </c>
      <c r="C188" s="482"/>
      <c r="D188" s="482"/>
      <c r="E188" s="537">
        <v>44012</v>
      </c>
      <c r="F188" s="482"/>
      <c r="G188" s="54">
        <v>43830</v>
      </c>
      <c r="H188" s="173"/>
    </row>
    <row r="189" spans="2:8" ht="15">
      <c r="B189" s="515" t="s">
        <v>104</v>
      </c>
      <c r="C189" s="516"/>
      <c r="D189" s="517"/>
      <c r="E189" s="411"/>
      <c r="F189" s="412">
        <v>23645852</v>
      </c>
      <c r="G189" s="58">
        <v>23493457</v>
      </c>
      <c r="H189" s="176"/>
    </row>
    <row r="190" spans="2:8" ht="15">
      <c r="B190" s="461" t="s">
        <v>105</v>
      </c>
      <c r="C190" s="462"/>
      <c r="D190" s="463"/>
      <c r="E190" s="503">
        <v>0</v>
      </c>
      <c r="F190" s="504"/>
      <c r="G190" s="56">
        <v>0</v>
      </c>
      <c r="H190" s="175"/>
    </row>
    <row r="191" spans="2:8" ht="15">
      <c r="B191" s="461" t="s">
        <v>759</v>
      </c>
      <c r="C191" s="462"/>
      <c r="D191" s="463"/>
      <c r="E191" s="503">
        <v>461695</v>
      </c>
      <c r="F191" s="504"/>
      <c r="G191" s="56">
        <v>771816</v>
      </c>
      <c r="H191" s="175"/>
    </row>
    <row r="192" spans="2:8" ht="15">
      <c r="B192" s="461" t="s">
        <v>106</v>
      </c>
      <c r="C192" s="462"/>
      <c r="D192" s="463"/>
      <c r="E192" s="503">
        <v>1138946</v>
      </c>
      <c r="F192" s="504"/>
      <c r="G192" s="56">
        <v>1140579</v>
      </c>
      <c r="H192" s="175"/>
    </row>
    <row r="193" spans="2:8" ht="15">
      <c r="B193" s="461" t="s">
        <v>610</v>
      </c>
      <c r="C193" s="516"/>
      <c r="D193" s="517"/>
      <c r="E193" s="503">
        <v>83507</v>
      </c>
      <c r="F193" s="504"/>
      <c r="G193" s="58">
        <v>170090</v>
      </c>
      <c r="H193" s="176"/>
    </row>
    <row r="194" spans="2:8" ht="15">
      <c r="B194" s="461" t="s">
        <v>695</v>
      </c>
      <c r="C194" s="462"/>
      <c r="D194" s="463"/>
      <c r="E194" s="503">
        <v>22367</v>
      </c>
      <c r="F194" s="504"/>
      <c r="G194" s="56">
        <v>22263</v>
      </c>
      <c r="H194" s="175"/>
    </row>
    <row r="195" spans="2:8" ht="15">
      <c r="B195" s="461" t="s">
        <v>107</v>
      </c>
      <c r="C195" s="462"/>
      <c r="D195" s="463"/>
      <c r="E195" s="503">
        <v>80266</v>
      </c>
      <c r="F195" s="504"/>
      <c r="G195" s="56">
        <v>0</v>
      </c>
      <c r="H195" s="175"/>
    </row>
    <row r="196" spans="2:8" ht="15">
      <c r="B196" s="461" t="s">
        <v>108</v>
      </c>
      <c r="C196" s="462"/>
      <c r="D196" s="463"/>
      <c r="E196" s="505">
        <v>0</v>
      </c>
      <c r="F196" s="506"/>
      <c r="G196" s="56">
        <v>0</v>
      </c>
      <c r="H196" s="175"/>
    </row>
    <row r="197" spans="2:8" ht="15">
      <c r="B197" s="451" t="s">
        <v>62</v>
      </c>
      <c r="C197" s="453"/>
      <c r="D197" s="452"/>
      <c r="E197" s="526">
        <f>SUM(E189:F196)</f>
        <v>25432633</v>
      </c>
      <c r="F197" s="527"/>
      <c r="G197" s="55">
        <f>SUM(G189:H196)</f>
        <v>25598205</v>
      </c>
      <c r="H197" s="174"/>
    </row>
    <row r="198" spans="2:8" ht="15">
      <c r="B198" s="298"/>
      <c r="C198" s="298"/>
      <c r="D198" s="298"/>
      <c r="E198" s="250"/>
      <c r="F198" s="250"/>
      <c r="G198" s="174"/>
      <c r="H198" s="174"/>
    </row>
    <row r="199" ht="15">
      <c r="B199" s="254" t="s">
        <v>109</v>
      </c>
    </row>
    <row r="200" ht="15">
      <c r="B200" t="s">
        <v>630</v>
      </c>
    </row>
    <row r="202" spans="2:8" ht="15">
      <c r="B202" s="482" t="s">
        <v>57</v>
      </c>
      <c r="C202" s="482"/>
      <c r="D202" s="482"/>
      <c r="E202" s="537">
        <v>44012</v>
      </c>
      <c r="F202" s="482"/>
      <c r="G202" s="54">
        <v>43830</v>
      </c>
      <c r="H202" s="173"/>
    </row>
    <row r="203" spans="2:8" ht="15">
      <c r="B203" s="451" t="s">
        <v>89</v>
      </c>
      <c r="C203" s="453"/>
      <c r="D203" s="452"/>
      <c r="E203" s="526">
        <f>SUM(E204:F209)+1</f>
        <v>2888132</v>
      </c>
      <c r="F203" s="527"/>
      <c r="G203" s="55">
        <f>SUM(G204:G209)</f>
        <v>2741958</v>
      </c>
      <c r="H203" s="173"/>
    </row>
    <row r="204" spans="2:8" ht="15">
      <c r="B204" s="461" t="s">
        <v>559</v>
      </c>
      <c r="C204" s="516"/>
      <c r="D204" s="517"/>
      <c r="E204" s="505">
        <v>17142</v>
      </c>
      <c r="F204" s="504"/>
      <c r="G204" s="58">
        <v>34202</v>
      </c>
      <c r="H204" s="176"/>
    </row>
    <row r="205" spans="2:8" ht="15">
      <c r="B205" s="461" t="s">
        <v>558</v>
      </c>
      <c r="C205" s="462"/>
      <c r="D205" s="463"/>
      <c r="E205" s="505">
        <v>62399</v>
      </c>
      <c r="F205" s="506"/>
      <c r="G205" s="56">
        <v>42904</v>
      </c>
      <c r="H205" s="176"/>
    </row>
    <row r="206" spans="2:8" ht="15">
      <c r="B206" s="461" t="s">
        <v>562</v>
      </c>
      <c r="C206" s="462"/>
      <c r="D206" s="463"/>
      <c r="E206" s="505">
        <v>0</v>
      </c>
      <c r="F206" s="506"/>
      <c r="G206" s="56">
        <v>0</v>
      </c>
      <c r="H206" s="175"/>
    </row>
    <row r="207" spans="2:8" ht="15">
      <c r="B207" s="461" t="s">
        <v>688</v>
      </c>
      <c r="C207" s="462"/>
      <c r="D207" s="463"/>
      <c r="E207" s="505">
        <v>0</v>
      </c>
      <c r="F207" s="506"/>
      <c r="G207" s="56"/>
      <c r="H207" s="175"/>
    </row>
    <row r="208" spans="2:8" ht="15">
      <c r="B208" s="461" t="s">
        <v>631</v>
      </c>
      <c r="C208" s="462"/>
      <c r="D208" s="463"/>
      <c r="E208" s="505">
        <v>244142</v>
      </c>
      <c r="F208" s="506"/>
      <c r="G208" s="56">
        <v>244142</v>
      </c>
      <c r="H208" s="175"/>
    </row>
    <row r="209" spans="2:8" ht="15">
      <c r="B209" s="461" t="s">
        <v>110</v>
      </c>
      <c r="C209" s="462"/>
      <c r="D209" s="463"/>
      <c r="E209" s="505">
        <v>2564448</v>
      </c>
      <c r="F209" s="506"/>
      <c r="G209" s="56">
        <v>2420710</v>
      </c>
      <c r="H209" s="175"/>
    </row>
    <row r="210" spans="2:8" ht="15">
      <c r="B210" s="451" t="s">
        <v>92</v>
      </c>
      <c r="C210" s="453"/>
      <c r="D210" s="452"/>
      <c r="E210" s="526">
        <f>SUM(E211:F214)</f>
        <v>0</v>
      </c>
      <c r="F210" s="527"/>
      <c r="G210" s="55">
        <f>SUM(G211:G214)</f>
        <v>0</v>
      </c>
      <c r="H210" s="175"/>
    </row>
    <row r="211" spans="2:8" ht="15">
      <c r="B211" s="461" t="s">
        <v>559</v>
      </c>
      <c r="C211" s="516"/>
      <c r="D211" s="517"/>
      <c r="E211" s="505">
        <v>0</v>
      </c>
      <c r="F211" s="504"/>
      <c r="G211" s="58">
        <v>0</v>
      </c>
      <c r="H211" s="175"/>
    </row>
    <row r="212" spans="2:8" ht="15">
      <c r="B212" s="461" t="s">
        <v>558</v>
      </c>
      <c r="C212" s="462"/>
      <c r="D212" s="463"/>
      <c r="E212" s="505">
        <v>0</v>
      </c>
      <c r="F212" s="506"/>
      <c r="G212" s="56">
        <v>0</v>
      </c>
      <c r="H212" s="175"/>
    </row>
    <row r="213" spans="2:8" ht="15">
      <c r="B213" s="461" t="s">
        <v>562</v>
      </c>
      <c r="C213" s="462"/>
      <c r="D213" s="463"/>
      <c r="E213" s="505">
        <v>0</v>
      </c>
      <c r="F213" s="506"/>
      <c r="G213" s="56">
        <v>0</v>
      </c>
      <c r="H213" s="175"/>
    </row>
    <row r="214" spans="2:8" ht="15">
      <c r="B214" s="284"/>
      <c r="C214" s="284"/>
      <c r="D214" s="284"/>
      <c r="E214" s="288"/>
      <c r="F214" s="288"/>
      <c r="G214" s="175"/>
      <c r="H214" s="175"/>
    </row>
    <row r="215" ht="15">
      <c r="B215" s="6" t="s">
        <v>111</v>
      </c>
    </row>
    <row r="216" ht="15">
      <c r="B216" t="s">
        <v>414</v>
      </c>
    </row>
    <row r="228" spans="2:11" ht="15">
      <c r="B228" s="61"/>
      <c r="C228" s="538" t="s">
        <v>112</v>
      </c>
      <c r="D228" s="539"/>
      <c r="E228" s="539"/>
      <c r="F228" s="539"/>
      <c r="G228" s="539"/>
      <c r="H228" s="540"/>
      <c r="I228" s="62"/>
      <c r="J228" s="62" t="s">
        <v>612</v>
      </c>
      <c r="K228" s="62"/>
    </row>
    <row r="229" spans="2:11" ht="15">
      <c r="B229" s="63" t="s">
        <v>113</v>
      </c>
      <c r="C229" s="64" t="s">
        <v>114</v>
      </c>
      <c r="D229" s="65" t="s">
        <v>115</v>
      </c>
      <c r="E229" s="66"/>
      <c r="F229" s="65" t="s">
        <v>116</v>
      </c>
      <c r="G229" s="67" t="s">
        <v>117</v>
      </c>
      <c r="H229" s="68"/>
      <c r="I229" s="69"/>
      <c r="J229" s="69"/>
      <c r="K229" s="69"/>
    </row>
    <row r="230" spans="2:11" ht="15">
      <c r="B230" s="70" t="s">
        <v>118</v>
      </c>
      <c r="C230" s="71" t="s">
        <v>119</v>
      </c>
      <c r="D230" s="401" t="s">
        <v>120</v>
      </c>
      <c r="E230" s="402"/>
      <c r="F230" s="401" t="s">
        <v>119</v>
      </c>
      <c r="G230" s="403" t="s">
        <v>121</v>
      </c>
      <c r="H230" s="404"/>
      <c r="I230" s="69"/>
      <c r="J230" s="69"/>
      <c r="K230" s="69"/>
    </row>
    <row r="231" spans="2:9" ht="15">
      <c r="B231" s="377" t="s">
        <v>684</v>
      </c>
      <c r="C231" s="360">
        <v>6918219</v>
      </c>
      <c r="D231" s="405">
        <v>0</v>
      </c>
      <c r="E231" s="405"/>
      <c r="F231" s="405">
        <v>0</v>
      </c>
      <c r="G231" s="405">
        <v>0</v>
      </c>
      <c r="H231" s="378">
        <f>SUM(C231:G231)</f>
        <v>6918219</v>
      </c>
      <c r="I231" s="37"/>
    </row>
    <row r="232" spans="2:10" ht="15">
      <c r="B232" s="94" t="s">
        <v>122</v>
      </c>
      <c r="C232" s="379">
        <v>8727202</v>
      </c>
      <c r="D232" s="406"/>
      <c r="E232" s="406"/>
      <c r="F232" s="406">
        <v>0</v>
      </c>
      <c r="G232" s="406">
        <v>0</v>
      </c>
      <c r="H232" s="376">
        <f>SUM(C232:G232)</f>
        <v>8727202</v>
      </c>
      <c r="J232">
        <f>+H232/J239*100</f>
        <v>67.13559722835714</v>
      </c>
    </row>
    <row r="233" spans="2:10" ht="15">
      <c r="B233" s="76" t="s">
        <v>123</v>
      </c>
      <c r="C233" s="77">
        <v>2246273</v>
      </c>
      <c r="D233" s="398">
        <v>0</v>
      </c>
      <c r="E233" s="398"/>
      <c r="F233" s="398">
        <v>0</v>
      </c>
      <c r="G233" s="398">
        <v>0</v>
      </c>
      <c r="H233" s="320">
        <f>SUM(C233:G233)-1</f>
        <v>2246272</v>
      </c>
      <c r="J233">
        <f>+H233/J239*100</f>
        <v>17.27985811000321</v>
      </c>
    </row>
    <row r="234" spans="2:10" ht="15">
      <c r="B234" s="75" t="s">
        <v>124</v>
      </c>
      <c r="C234" s="409">
        <v>316334</v>
      </c>
      <c r="D234" s="407">
        <v>0</v>
      </c>
      <c r="E234" s="407"/>
      <c r="F234" s="407">
        <v>0</v>
      </c>
      <c r="G234" s="407">
        <v>0</v>
      </c>
      <c r="H234" s="358">
        <f>SUM(C234:G234)+1</f>
        <v>316335</v>
      </c>
      <c r="J234">
        <f>+H234/J239*100</f>
        <v>2.433464832054117</v>
      </c>
    </row>
    <row r="235" spans="2:10" ht="15">
      <c r="B235" s="94" t="s">
        <v>125</v>
      </c>
      <c r="C235" s="410">
        <v>757827</v>
      </c>
      <c r="D235" s="406">
        <f>818+15836+8439</f>
        <v>25093</v>
      </c>
      <c r="E235" s="406"/>
      <c r="F235" s="406">
        <v>0</v>
      </c>
      <c r="G235" s="406">
        <v>0</v>
      </c>
      <c r="H235" s="376">
        <f>SUM(C235:G235)</f>
        <v>782920</v>
      </c>
      <c r="J235">
        <f>+H235/J239*100</f>
        <v>6.022755263602856</v>
      </c>
    </row>
    <row r="236" spans="2:10" ht="15">
      <c r="B236" s="76" t="s">
        <v>126</v>
      </c>
      <c r="C236" s="77">
        <v>472266</v>
      </c>
      <c r="D236" s="294">
        <f>255+500+1318</f>
        <v>2073</v>
      </c>
      <c r="E236" s="398"/>
      <c r="F236" s="398">
        <v>0</v>
      </c>
      <c r="G236" s="398">
        <v>0</v>
      </c>
      <c r="H236" s="320">
        <f>SUM(C236:G236)+1</f>
        <v>474340</v>
      </c>
      <c r="J236">
        <f>+H236/J239*100</f>
        <v>3.648947187116664</v>
      </c>
    </row>
    <row r="237" spans="2:10" ht="15">
      <c r="B237" s="75" t="s">
        <v>127</v>
      </c>
      <c r="C237" s="357">
        <v>479463</v>
      </c>
      <c r="D237" s="407">
        <v>0</v>
      </c>
      <c r="E237" s="407"/>
      <c r="F237" s="407">
        <v>0</v>
      </c>
      <c r="G237" s="407">
        <v>0</v>
      </c>
      <c r="H237" s="358">
        <f>SUM(C237:G237)</f>
        <v>479463</v>
      </c>
      <c r="J237">
        <f>+H237/J239*100</f>
        <v>3.68835680140093</v>
      </c>
    </row>
    <row r="238" spans="2:8" ht="15">
      <c r="B238" s="359" t="s">
        <v>110</v>
      </c>
      <c r="C238" s="360">
        <v>0</v>
      </c>
      <c r="D238" s="405">
        <v>0</v>
      </c>
      <c r="E238" s="405"/>
      <c r="F238" s="405">
        <v>0</v>
      </c>
      <c r="G238" s="405">
        <v>0</v>
      </c>
      <c r="H238" s="378">
        <f>SUM(C238:G238)</f>
        <v>0</v>
      </c>
    </row>
    <row r="239" spans="2:10" ht="15">
      <c r="B239" s="80" t="s">
        <v>778</v>
      </c>
      <c r="C239" s="81">
        <f>SUM(C231:C238)+1</f>
        <v>19917585</v>
      </c>
      <c r="D239" s="82">
        <f>SUM(D231:D238)</f>
        <v>27166</v>
      </c>
      <c r="E239" s="82"/>
      <c r="F239" s="82">
        <f>SUM(F231:F238)</f>
        <v>0</v>
      </c>
      <c r="G239" s="82">
        <f>SUM(G231:G238)</f>
        <v>0</v>
      </c>
      <c r="H239" s="220">
        <f>SUM(H231:H238)+1</f>
        <v>19944752</v>
      </c>
      <c r="J239" s="13">
        <f>+C239-C231</f>
        <v>12999366</v>
      </c>
    </row>
    <row r="240" spans="2:8" ht="15">
      <c r="B240" s="80" t="s">
        <v>760</v>
      </c>
      <c r="C240" s="81">
        <v>19373356</v>
      </c>
      <c r="D240" s="89">
        <v>230709</v>
      </c>
      <c r="E240" s="82"/>
      <c r="F240" s="82">
        <v>340802</v>
      </c>
      <c r="G240" s="221">
        <v>-27282</v>
      </c>
      <c r="H240" s="178">
        <f>SUM(C240:G240)</f>
        <v>19917585</v>
      </c>
    </row>
    <row r="241" spans="2:8" ht="15">
      <c r="B241" s="307"/>
      <c r="C241" s="308"/>
      <c r="D241" s="308"/>
      <c r="E241" s="308"/>
      <c r="F241" s="308"/>
      <c r="G241" s="309"/>
      <c r="H241" s="309"/>
    </row>
    <row r="242" spans="2:8" ht="15">
      <c r="B242" s="61"/>
      <c r="C242" s="538" t="s">
        <v>128</v>
      </c>
      <c r="D242" s="539"/>
      <c r="E242" s="539"/>
      <c r="F242" s="539"/>
      <c r="G242" s="539"/>
      <c r="H242" s="540"/>
    </row>
    <row r="243" spans="2:8" ht="15">
      <c r="B243" s="63" t="s">
        <v>113</v>
      </c>
      <c r="C243" s="64" t="s">
        <v>114</v>
      </c>
      <c r="D243" s="65" t="s">
        <v>115</v>
      </c>
      <c r="E243" s="66"/>
      <c r="F243" s="65" t="s">
        <v>751</v>
      </c>
      <c r="G243" s="67" t="s">
        <v>560</v>
      </c>
      <c r="H243" s="84"/>
    </row>
    <row r="244" spans="2:10" ht="15">
      <c r="B244" s="70" t="s">
        <v>118</v>
      </c>
      <c r="C244" s="71" t="s">
        <v>119</v>
      </c>
      <c r="D244" s="72" t="s">
        <v>120</v>
      </c>
      <c r="E244" s="73"/>
      <c r="F244" s="72" t="s">
        <v>752</v>
      </c>
      <c r="G244" s="74" t="s">
        <v>561</v>
      </c>
      <c r="H244" s="85"/>
      <c r="J244" t="s">
        <v>611</v>
      </c>
    </row>
    <row r="245" spans="2:10" ht="15">
      <c r="B245" s="76" t="s">
        <v>684</v>
      </c>
      <c r="C245" s="77">
        <v>0</v>
      </c>
      <c r="D245" s="78">
        <v>0</v>
      </c>
      <c r="E245" s="78"/>
      <c r="F245" s="78">
        <v>0</v>
      </c>
      <c r="G245" s="86">
        <v>0</v>
      </c>
      <c r="H245" s="180">
        <f>+H231-G245</f>
        <v>6918219</v>
      </c>
      <c r="J245" s="13"/>
    </row>
    <row r="246" spans="2:12" ht="15">
      <c r="B246" s="76" t="s">
        <v>122</v>
      </c>
      <c r="C246" s="77">
        <v>-4066033</v>
      </c>
      <c r="D246" s="398">
        <v>-151382</v>
      </c>
      <c r="E246" s="398"/>
      <c r="F246" s="398">
        <v>0</v>
      </c>
      <c r="G246" s="320">
        <f aca="true" t="shared" si="0" ref="G246:G251">+C246+D246+F246</f>
        <v>-4217415</v>
      </c>
      <c r="H246" s="181">
        <f aca="true" t="shared" si="1" ref="H246:H251">+H232+G246</f>
        <v>4509787</v>
      </c>
      <c r="J246" s="13">
        <f>+J253*J232%-682</f>
        <v>151172.67872679333</v>
      </c>
      <c r="K246">
        <v>209</v>
      </c>
      <c r="L246" s="13">
        <f>+J246+K246</f>
        <v>151381.67872679333</v>
      </c>
    </row>
    <row r="247" spans="2:12" ht="15">
      <c r="B247" s="76" t="s">
        <v>123</v>
      </c>
      <c r="C247" s="77">
        <v>-1914015</v>
      </c>
      <c r="D247" s="398">
        <v>-39085</v>
      </c>
      <c r="E247" s="398"/>
      <c r="F247" s="398">
        <v>0</v>
      </c>
      <c r="G247" s="320">
        <f t="shared" si="0"/>
        <v>-1953100</v>
      </c>
      <c r="H247" s="181">
        <f t="shared" si="1"/>
        <v>293172</v>
      </c>
      <c r="J247" s="13">
        <f>+J253*J233%</f>
        <v>39085.48385759736</v>
      </c>
      <c r="L247" s="13">
        <f>+J247</f>
        <v>39085.48385759736</v>
      </c>
    </row>
    <row r="248" spans="2:12" ht="15">
      <c r="B248" s="76" t="s">
        <v>124</v>
      </c>
      <c r="C248" s="77">
        <v>-189485</v>
      </c>
      <c r="D248" s="399">
        <v>-5504</v>
      </c>
      <c r="E248" s="398"/>
      <c r="F248" s="398">
        <v>0</v>
      </c>
      <c r="G248" s="320">
        <f t="shared" si="0"/>
        <v>-194989</v>
      </c>
      <c r="H248" s="181">
        <f t="shared" si="1"/>
        <v>121346</v>
      </c>
      <c r="J248" s="13">
        <f>+J253*J234%</f>
        <v>5504.278438271528</v>
      </c>
      <c r="L248" s="13">
        <f>+J248</f>
        <v>5504.278438271528</v>
      </c>
    </row>
    <row r="249" spans="2:12" ht="15">
      <c r="B249" s="76" t="s">
        <v>125</v>
      </c>
      <c r="C249" s="77">
        <v>-749001</v>
      </c>
      <c r="D249" s="399">
        <v>-13623</v>
      </c>
      <c r="E249" s="398"/>
      <c r="F249" s="398">
        <v>0</v>
      </c>
      <c r="G249" s="320">
        <f>+C249+D249+F249-2</f>
        <v>-762626</v>
      </c>
      <c r="H249" s="181">
        <f t="shared" si="1"/>
        <v>20294</v>
      </c>
      <c r="J249" s="13">
        <f>+J253*J235%</f>
        <v>13622.930358295936</v>
      </c>
      <c r="L249" s="13">
        <f>+J249</f>
        <v>13622.930358295936</v>
      </c>
    </row>
    <row r="250" spans="2:12" ht="15">
      <c r="B250" s="76" t="s">
        <v>126</v>
      </c>
      <c r="C250" s="77">
        <v>-453198</v>
      </c>
      <c r="D250" s="399">
        <v>-8254</v>
      </c>
      <c r="E250" s="398"/>
      <c r="F250" s="398">
        <v>0</v>
      </c>
      <c r="G250" s="320">
        <f t="shared" si="0"/>
        <v>-461452</v>
      </c>
      <c r="H250" s="181">
        <f t="shared" si="1"/>
        <v>12888</v>
      </c>
      <c r="J250" s="13">
        <f>+J253*J236%</f>
        <v>8253.590132011053</v>
      </c>
      <c r="L250" s="13">
        <f>+J250</f>
        <v>8253.590132011053</v>
      </c>
    </row>
    <row r="251" spans="2:12" ht="15">
      <c r="B251" s="76" t="s">
        <v>127</v>
      </c>
      <c r="C251" s="77">
        <v>-406916</v>
      </c>
      <c r="D251" s="399">
        <v>-8343</v>
      </c>
      <c r="E251" s="398"/>
      <c r="F251" s="398">
        <v>0</v>
      </c>
      <c r="G251" s="320">
        <f t="shared" si="0"/>
        <v>-415259</v>
      </c>
      <c r="H251" s="181">
        <f t="shared" si="1"/>
        <v>64204</v>
      </c>
      <c r="J251" s="13">
        <f>+J253*J237%</f>
        <v>8342.731132656778</v>
      </c>
      <c r="L251" s="13">
        <f>+J251</f>
        <v>8342.731132656778</v>
      </c>
    </row>
    <row r="252" spans="2:10" ht="15">
      <c r="B252" s="75" t="s">
        <v>110</v>
      </c>
      <c r="C252" s="77">
        <v>0</v>
      </c>
      <c r="D252" s="398">
        <v>0</v>
      </c>
      <c r="E252" s="398"/>
      <c r="F252" s="398">
        <v>0</v>
      </c>
      <c r="G252" s="400">
        <v>0</v>
      </c>
      <c r="H252" s="76">
        <v>0</v>
      </c>
      <c r="I252" s="11"/>
      <c r="J252" s="13"/>
    </row>
    <row r="253" spans="2:10" ht="15">
      <c r="B253" s="80" t="s">
        <v>778</v>
      </c>
      <c r="C253" s="81">
        <f>SUM(C245:C252)-3</f>
        <v>-7778651</v>
      </c>
      <c r="D253" s="81">
        <f>SUM(D245:D252)</f>
        <v>-226191</v>
      </c>
      <c r="E253" s="82"/>
      <c r="F253" s="82">
        <f>SUM(F245:F252)</f>
        <v>0</v>
      </c>
      <c r="G253" s="82">
        <f>SUM(G245:G252)-3</f>
        <v>-8004844</v>
      </c>
      <c r="H253" s="179">
        <f>SUM(H245:H252)+1+2</f>
        <v>11939913</v>
      </c>
      <c r="J253" s="13">
        <v>226191</v>
      </c>
    </row>
    <row r="254" spans="2:8" ht="15">
      <c r="B254" s="80" t="s">
        <v>760</v>
      </c>
      <c r="C254" s="88">
        <v>-7330816</v>
      </c>
      <c r="D254" s="82">
        <v>-452382</v>
      </c>
      <c r="E254" s="89"/>
      <c r="F254" s="89">
        <v>4547</v>
      </c>
      <c r="G254" s="178">
        <f>+C254+D254+F254</f>
        <v>-7778651</v>
      </c>
      <c r="H254" s="179">
        <f>+H240+G254+3</f>
        <v>12138937</v>
      </c>
    </row>
    <row r="255" spans="2:8" ht="15">
      <c r="B255" s="307"/>
      <c r="C255" s="308"/>
      <c r="D255" s="308"/>
      <c r="E255" s="308"/>
      <c r="F255" s="308"/>
      <c r="G255" s="309"/>
      <c r="H255" s="308"/>
    </row>
    <row r="256" ht="15">
      <c r="B256" s="6" t="s">
        <v>632</v>
      </c>
    </row>
    <row r="257" ht="15">
      <c r="B257" t="s">
        <v>421</v>
      </c>
    </row>
    <row r="259" spans="2:8" ht="15">
      <c r="B259" s="482" t="s">
        <v>57</v>
      </c>
      <c r="C259" s="482"/>
      <c r="D259" s="482"/>
      <c r="E259" s="537">
        <v>44012</v>
      </c>
      <c r="F259" s="482"/>
      <c r="G259" s="54">
        <v>43830</v>
      </c>
      <c r="H259" s="426"/>
    </row>
    <row r="260" spans="2:8" ht="15">
      <c r="B260" s="451" t="s">
        <v>89</v>
      </c>
      <c r="C260" s="453"/>
      <c r="D260" s="452"/>
      <c r="E260" s="526">
        <f>SUM(E261:F273)</f>
        <v>291278</v>
      </c>
      <c r="F260" s="527"/>
      <c r="G260" s="317">
        <f>SUM(G261:G273)</f>
        <v>543710</v>
      </c>
      <c r="H260" s="173"/>
    </row>
    <row r="261" spans="2:8" ht="15">
      <c r="B261" s="461" t="s">
        <v>129</v>
      </c>
      <c r="C261" s="516"/>
      <c r="D261" s="517"/>
      <c r="E261" s="570">
        <v>99192</v>
      </c>
      <c r="F261" s="571"/>
      <c r="G261" s="58">
        <v>98934</v>
      </c>
      <c r="H261" s="176"/>
    </row>
    <row r="262" spans="2:8" ht="15">
      <c r="B262" s="461" t="s">
        <v>130</v>
      </c>
      <c r="C262" s="462"/>
      <c r="D262" s="463"/>
      <c r="E262" s="505">
        <v>9071</v>
      </c>
      <c r="F262" s="506"/>
      <c r="G262" s="56">
        <v>0</v>
      </c>
      <c r="H262" s="175"/>
    </row>
    <row r="263" spans="2:8" ht="15">
      <c r="B263" s="461" t="s">
        <v>131</v>
      </c>
      <c r="C263" s="516"/>
      <c r="D263" s="517"/>
      <c r="E263" s="541">
        <v>111813</v>
      </c>
      <c r="F263" s="542"/>
      <c r="G263" s="56">
        <v>129467</v>
      </c>
      <c r="H263" s="175"/>
    </row>
    <row r="264" spans="2:8" ht="15">
      <c r="B264" s="461" t="s">
        <v>555</v>
      </c>
      <c r="C264" s="462"/>
      <c r="D264" s="463"/>
      <c r="E264" s="505">
        <v>0</v>
      </c>
      <c r="F264" s="506"/>
      <c r="G264" s="56">
        <v>0</v>
      </c>
      <c r="H264" s="175"/>
    </row>
    <row r="265" spans="2:8" ht="15">
      <c r="B265" s="461" t="s">
        <v>626</v>
      </c>
      <c r="C265" s="462"/>
      <c r="D265" s="463"/>
      <c r="E265" s="505">
        <v>33702</v>
      </c>
      <c r="F265" s="506"/>
      <c r="G265" s="56">
        <v>71952</v>
      </c>
      <c r="H265" s="175"/>
    </row>
    <row r="266" spans="2:8" ht="15">
      <c r="B266" s="461" t="s">
        <v>755</v>
      </c>
      <c r="C266" s="462"/>
      <c r="D266" s="463"/>
      <c r="E266" s="505">
        <v>6255</v>
      </c>
      <c r="F266" s="506"/>
      <c r="G266" s="56">
        <v>7016</v>
      </c>
      <c r="H266" s="175"/>
    </row>
    <row r="267" spans="1:8" ht="15">
      <c r="A267" s="37"/>
      <c r="B267" s="417"/>
      <c r="C267" s="417"/>
      <c r="D267" s="417"/>
      <c r="E267" s="288"/>
      <c r="F267" s="288"/>
      <c r="G267" s="175"/>
      <c r="H267" s="175"/>
    </row>
    <row r="268" spans="1:8" ht="15">
      <c r="A268" s="37"/>
      <c r="B268" s="417"/>
      <c r="C268" s="417"/>
      <c r="D268" s="417"/>
      <c r="E268" s="288"/>
      <c r="F268" s="288"/>
      <c r="G268" s="175"/>
      <c r="H268" s="175"/>
    </row>
    <row r="269" spans="1:8" ht="15">
      <c r="A269" s="37"/>
      <c r="B269" s="417"/>
      <c r="C269" s="417"/>
      <c r="D269" s="417"/>
      <c r="E269" s="288"/>
      <c r="F269" s="288"/>
      <c r="G269" s="175"/>
      <c r="H269" s="175"/>
    </row>
    <row r="270" spans="1:8" ht="15">
      <c r="A270" s="37"/>
      <c r="B270" s="417"/>
      <c r="C270" s="417"/>
      <c r="D270" s="417"/>
      <c r="E270" s="288"/>
      <c r="F270" s="288"/>
      <c r="G270" s="175"/>
      <c r="H270" s="175"/>
    </row>
    <row r="271" spans="1:8" ht="15">
      <c r="A271" s="37"/>
      <c r="B271" s="417"/>
      <c r="C271" s="417"/>
      <c r="D271" s="417"/>
      <c r="E271" s="288"/>
      <c r="F271" s="288"/>
      <c r="G271" s="175"/>
      <c r="H271" s="175"/>
    </row>
    <row r="272" spans="2:8" ht="15">
      <c r="B272" s="461" t="s">
        <v>761</v>
      </c>
      <c r="C272" s="462"/>
      <c r="D272" s="463"/>
      <c r="E272" s="505">
        <v>0</v>
      </c>
      <c r="F272" s="506"/>
      <c r="G272" s="56">
        <v>0</v>
      </c>
      <c r="H272" s="175"/>
    </row>
    <row r="273" spans="2:8" ht="15">
      <c r="B273" s="461" t="s">
        <v>132</v>
      </c>
      <c r="C273" s="462"/>
      <c r="D273" s="463"/>
      <c r="E273" s="505">
        <v>31245</v>
      </c>
      <c r="F273" s="506"/>
      <c r="G273" s="56">
        <v>236341</v>
      </c>
      <c r="H273" s="175"/>
    </row>
    <row r="274" spans="2:8" ht="15">
      <c r="B274" s="451" t="s">
        <v>137</v>
      </c>
      <c r="C274" s="453"/>
      <c r="D274" s="452"/>
      <c r="E274" s="526">
        <f>+E275</f>
        <v>61671</v>
      </c>
      <c r="F274" s="527"/>
      <c r="G274" s="317">
        <f>+G275</f>
        <v>58447</v>
      </c>
      <c r="H274" s="175"/>
    </row>
    <row r="275" spans="2:8" ht="15">
      <c r="B275" s="461" t="s">
        <v>131</v>
      </c>
      <c r="C275" s="516"/>
      <c r="D275" s="517"/>
      <c r="E275" s="505">
        <v>61671</v>
      </c>
      <c r="F275" s="506"/>
      <c r="G275" s="56">
        <v>58447</v>
      </c>
      <c r="H275" s="175"/>
    </row>
    <row r="276" spans="2:8" ht="15">
      <c r="B276" s="312"/>
      <c r="C276" s="313"/>
      <c r="D276" s="314"/>
      <c r="E276" s="315"/>
      <c r="F276" s="316"/>
      <c r="G276" s="56"/>
      <c r="H276" s="175"/>
    </row>
    <row r="277" spans="2:8" ht="15">
      <c r="B277" s="451" t="s">
        <v>62</v>
      </c>
      <c r="C277" s="453"/>
      <c r="D277" s="452"/>
      <c r="E277" s="526">
        <f>+E260+E274</f>
        <v>352949</v>
      </c>
      <c r="F277" s="527"/>
      <c r="G277" s="55">
        <f>+G260+G274</f>
        <v>602157</v>
      </c>
      <c r="H277" s="174"/>
    </row>
    <row r="279" ht="15">
      <c r="B279" s="6" t="s">
        <v>634</v>
      </c>
    </row>
    <row r="280" ht="15">
      <c r="B280" t="s">
        <v>420</v>
      </c>
    </row>
    <row r="282" spans="2:8" ht="15">
      <c r="B282" s="482" t="s">
        <v>57</v>
      </c>
      <c r="C282" s="482"/>
      <c r="D282" s="482"/>
      <c r="E282" s="537">
        <v>44012</v>
      </c>
      <c r="F282" s="482"/>
      <c r="G282" s="54">
        <v>43830</v>
      </c>
      <c r="H282" s="173"/>
    </row>
    <row r="283" spans="2:8" ht="15">
      <c r="B283" s="451" t="s">
        <v>89</v>
      </c>
      <c r="C283" s="453"/>
      <c r="D283" s="452"/>
      <c r="E283" s="526">
        <f>SUM(E284:F294)</f>
        <v>13292979</v>
      </c>
      <c r="F283" s="527"/>
      <c r="G283" s="216">
        <f>SUM(G284:H294)</f>
        <v>17919422</v>
      </c>
      <c r="H283" s="174"/>
    </row>
    <row r="284" spans="2:8" ht="15">
      <c r="B284" s="461" t="s">
        <v>133</v>
      </c>
      <c r="C284" s="516"/>
      <c r="D284" s="517"/>
      <c r="E284" s="503">
        <v>0</v>
      </c>
      <c r="F284" s="504"/>
      <c r="G284" s="217">
        <v>670</v>
      </c>
      <c r="H284" s="176"/>
    </row>
    <row r="285" spans="2:8" ht="15">
      <c r="B285" s="461" t="s">
        <v>134</v>
      </c>
      <c r="C285" s="516"/>
      <c r="D285" s="517"/>
      <c r="E285" s="503">
        <v>0</v>
      </c>
      <c r="F285" s="504"/>
      <c r="G285" s="217">
        <v>0</v>
      </c>
      <c r="H285" s="176"/>
    </row>
    <row r="286" spans="2:8" ht="15">
      <c r="B286" s="461" t="s">
        <v>135</v>
      </c>
      <c r="C286" s="462"/>
      <c r="D286" s="463"/>
      <c r="E286" s="503">
        <v>0</v>
      </c>
      <c r="F286" s="504"/>
      <c r="G286" s="217">
        <v>0</v>
      </c>
      <c r="H286" s="176"/>
    </row>
    <row r="287" spans="2:8" ht="15">
      <c r="B287" s="461" t="s">
        <v>136</v>
      </c>
      <c r="C287" s="462"/>
      <c r="D287" s="463"/>
      <c r="E287" s="505">
        <f>1300000+3800000+3000000+1950000+1760000</f>
        <v>11810000</v>
      </c>
      <c r="F287" s="506"/>
      <c r="G287" s="218">
        <v>16300000</v>
      </c>
      <c r="H287" s="175"/>
    </row>
    <row r="288" spans="2:8" ht="15">
      <c r="B288" s="461" t="s">
        <v>416</v>
      </c>
      <c r="C288" s="462"/>
      <c r="D288" s="463"/>
      <c r="E288" s="505">
        <v>0</v>
      </c>
      <c r="F288" s="506"/>
      <c r="G288" s="218">
        <v>0</v>
      </c>
      <c r="H288" s="175"/>
    </row>
    <row r="289" spans="2:8" ht="15">
      <c r="B289" s="461" t="s">
        <v>629</v>
      </c>
      <c r="C289" s="462"/>
      <c r="D289" s="463"/>
      <c r="E289" s="505">
        <v>1300000</v>
      </c>
      <c r="F289" s="506"/>
      <c r="G289" s="218">
        <v>1300000</v>
      </c>
      <c r="H289" s="175"/>
    </row>
    <row r="290" spans="2:8" ht="15">
      <c r="B290" s="461" t="s">
        <v>597</v>
      </c>
      <c r="C290" s="462"/>
      <c r="D290" s="463"/>
      <c r="E290" s="505">
        <v>737308</v>
      </c>
      <c r="F290" s="506"/>
      <c r="G290" s="218">
        <v>906233</v>
      </c>
      <c r="H290" s="175"/>
    </row>
    <row r="291" spans="2:8" ht="15">
      <c r="B291" s="461" t="s">
        <v>614</v>
      </c>
      <c r="C291" s="462"/>
      <c r="D291" s="463"/>
      <c r="E291" s="505">
        <v>0</v>
      </c>
      <c r="F291" s="506"/>
      <c r="G291" s="218">
        <v>0</v>
      </c>
      <c r="H291" s="175"/>
    </row>
    <row r="292" spans="2:8" ht="15">
      <c r="B292" s="461" t="s">
        <v>596</v>
      </c>
      <c r="C292" s="462"/>
      <c r="D292" s="463"/>
      <c r="E292" s="505">
        <v>-549538</v>
      </c>
      <c r="F292" s="506"/>
      <c r="G292" s="218">
        <v>-583688</v>
      </c>
      <c r="H292" s="175"/>
    </row>
    <row r="293" spans="2:8" ht="15">
      <c r="B293" s="461" t="s">
        <v>598</v>
      </c>
      <c r="C293" s="462"/>
      <c r="D293" s="463"/>
      <c r="E293" s="505">
        <v>131264</v>
      </c>
      <c r="F293" s="506"/>
      <c r="G293" s="218">
        <v>302152</v>
      </c>
      <c r="H293" s="175"/>
    </row>
    <row r="294" spans="2:8" ht="15">
      <c r="B294" s="461" t="s">
        <v>599</v>
      </c>
      <c r="C294" s="462"/>
      <c r="D294" s="463"/>
      <c r="E294" s="505">
        <v>-136055</v>
      </c>
      <c r="F294" s="506"/>
      <c r="G294" s="218">
        <v>-305945</v>
      </c>
      <c r="H294" s="175"/>
    </row>
    <row r="295" spans="2:8" ht="15">
      <c r="B295" s="451" t="s">
        <v>137</v>
      </c>
      <c r="C295" s="453"/>
      <c r="D295" s="452"/>
      <c r="E295" s="526">
        <f>SUM(E296:F304)</f>
        <v>6395023</v>
      </c>
      <c r="F295" s="527"/>
      <c r="G295" s="216">
        <f>SUM(G296:H304)</f>
        <v>1423934</v>
      </c>
      <c r="H295" s="174"/>
    </row>
    <row r="296" spans="2:8" ht="15">
      <c r="B296" s="461" t="s">
        <v>415</v>
      </c>
      <c r="C296" s="462"/>
      <c r="D296" s="463"/>
      <c r="E296" s="505">
        <v>0</v>
      </c>
      <c r="F296" s="504"/>
      <c r="G296" s="217">
        <v>0</v>
      </c>
      <c r="H296" s="176"/>
    </row>
    <row r="297" spans="2:8" ht="15">
      <c r="B297" s="461" t="s">
        <v>417</v>
      </c>
      <c r="C297" s="462"/>
      <c r="D297" s="463"/>
      <c r="E297" s="503">
        <f>1000000+1550000+1540000</f>
        <v>4090000</v>
      </c>
      <c r="F297" s="504"/>
      <c r="G297" s="217">
        <v>0</v>
      </c>
      <c r="H297" s="176"/>
    </row>
    <row r="298" spans="2:8" ht="15">
      <c r="B298" s="461" t="s">
        <v>135</v>
      </c>
      <c r="C298" s="462"/>
      <c r="D298" s="463"/>
      <c r="E298" s="503">
        <v>650000</v>
      </c>
      <c r="F298" s="504"/>
      <c r="G298" s="217">
        <v>0</v>
      </c>
      <c r="H298" s="176"/>
    </row>
    <row r="299" spans="2:8" ht="15">
      <c r="B299" s="461" t="s">
        <v>602</v>
      </c>
      <c r="C299" s="462"/>
      <c r="D299" s="463"/>
      <c r="E299" s="503">
        <v>461322</v>
      </c>
      <c r="F299" s="504"/>
      <c r="G299" s="217">
        <v>0</v>
      </c>
      <c r="H299" s="176"/>
    </row>
    <row r="300" spans="2:8" ht="15">
      <c r="B300" s="461" t="s">
        <v>613</v>
      </c>
      <c r="C300" s="462"/>
      <c r="D300" s="463"/>
      <c r="E300" s="503">
        <v>0</v>
      </c>
      <c r="F300" s="504"/>
      <c r="G300" s="217">
        <v>0</v>
      </c>
      <c r="H300" s="176"/>
    </row>
    <row r="301" spans="2:8" ht="15">
      <c r="B301" s="461" t="s">
        <v>601</v>
      </c>
      <c r="C301" s="462"/>
      <c r="D301" s="463"/>
      <c r="E301" s="503">
        <v>-230233</v>
      </c>
      <c r="F301" s="504"/>
      <c r="G301" s="217">
        <v>0</v>
      </c>
      <c r="H301" s="176"/>
    </row>
    <row r="302" spans="2:8" ht="15">
      <c r="B302" s="461" t="s">
        <v>600</v>
      </c>
      <c r="C302" s="462"/>
      <c r="D302" s="463"/>
      <c r="E302" s="505">
        <v>1400000</v>
      </c>
      <c r="F302" s="506"/>
      <c r="G302" s="217">
        <v>1400000</v>
      </c>
      <c r="H302" s="176"/>
    </row>
    <row r="303" spans="2:8" ht="15">
      <c r="B303" s="461" t="s">
        <v>603</v>
      </c>
      <c r="C303" s="462"/>
      <c r="D303" s="463"/>
      <c r="E303" s="505">
        <v>181501</v>
      </c>
      <c r="F303" s="506"/>
      <c r="G303" s="217">
        <v>181501</v>
      </c>
      <c r="H303" s="176"/>
    </row>
    <row r="304" spans="2:8" ht="15">
      <c r="B304" s="461" t="s">
        <v>604</v>
      </c>
      <c r="C304" s="462"/>
      <c r="D304" s="463"/>
      <c r="E304" s="505">
        <v>-157567</v>
      </c>
      <c r="F304" s="506"/>
      <c r="G304" s="217">
        <v>-157567</v>
      </c>
      <c r="H304" s="176"/>
    </row>
    <row r="305" spans="2:8" ht="15">
      <c r="B305" s="451" t="s">
        <v>62</v>
      </c>
      <c r="C305" s="453"/>
      <c r="D305" s="452"/>
      <c r="E305" s="526">
        <f>+E283+E295</f>
        <v>19688002</v>
      </c>
      <c r="F305" s="527"/>
      <c r="G305" s="216">
        <f>+G283+G295</f>
        <v>19343356</v>
      </c>
      <c r="H305" s="174"/>
    </row>
    <row r="306" spans="2:8" ht="15">
      <c r="B306" s="408"/>
      <c r="C306" s="408"/>
      <c r="D306" s="408"/>
      <c r="E306" s="250"/>
      <c r="F306" s="250"/>
      <c r="G306" s="395"/>
      <c r="H306" s="174"/>
    </row>
    <row r="307" ht="15">
      <c r="B307" s="6" t="s">
        <v>637</v>
      </c>
    </row>
    <row r="308" ht="15">
      <c r="B308" t="s">
        <v>419</v>
      </c>
    </row>
    <row r="309" ht="15">
      <c r="B309" t="s">
        <v>97</v>
      </c>
    </row>
    <row r="318" spans="2:8" ht="15">
      <c r="B318" s="482" t="s">
        <v>57</v>
      </c>
      <c r="C318" s="482"/>
      <c r="D318" s="482"/>
      <c r="E318" s="537">
        <v>44012</v>
      </c>
      <c r="F318" s="482"/>
      <c r="G318" s="177">
        <v>43830</v>
      </c>
      <c r="H318" s="183"/>
    </row>
    <row r="319" spans="2:8" ht="15">
      <c r="B319" s="461" t="s">
        <v>138</v>
      </c>
      <c r="C319" s="516"/>
      <c r="D319" s="517"/>
      <c r="E319" s="503">
        <v>0</v>
      </c>
      <c r="F319" s="504"/>
      <c r="G319" s="58">
        <v>0</v>
      </c>
      <c r="H319" s="176"/>
    </row>
    <row r="320" spans="2:8" ht="15">
      <c r="B320" s="461" t="s">
        <v>139</v>
      </c>
      <c r="C320" s="462"/>
      <c r="D320" s="463"/>
      <c r="E320" s="505">
        <v>0</v>
      </c>
      <c r="F320" s="506"/>
      <c r="G320" s="56">
        <v>0</v>
      </c>
      <c r="H320" s="175"/>
    </row>
    <row r="321" spans="2:8" ht="15">
      <c r="B321" s="461" t="s">
        <v>687</v>
      </c>
      <c r="C321" s="462"/>
      <c r="D321" s="463"/>
      <c r="E321" s="505">
        <v>67413</v>
      </c>
      <c r="F321" s="506"/>
      <c r="G321" s="56">
        <v>30346</v>
      </c>
      <c r="H321" s="175"/>
    </row>
    <row r="322" spans="2:8" ht="15">
      <c r="B322" s="461" t="s">
        <v>685</v>
      </c>
      <c r="C322" s="462"/>
      <c r="D322" s="463"/>
      <c r="E322" s="505">
        <v>41912</v>
      </c>
      <c r="F322" s="506"/>
      <c r="G322" s="56">
        <v>0</v>
      </c>
      <c r="H322" s="175"/>
    </row>
    <row r="323" spans="2:8" ht="15">
      <c r="B323" s="461" t="s">
        <v>645</v>
      </c>
      <c r="C323" s="462"/>
      <c r="D323" s="463"/>
      <c r="E323" s="505">
        <v>5073</v>
      </c>
      <c r="F323" s="506"/>
      <c r="G323" s="56">
        <v>5073</v>
      </c>
      <c r="H323" s="175"/>
    </row>
    <row r="324" spans="2:8" ht="15">
      <c r="B324" s="451" t="s">
        <v>62</v>
      </c>
      <c r="C324" s="453"/>
      <c r="D324" s="452"/>
      <c r="E324" s="526">
        <f>SUM(E319:F323)</f>
        <v>114398</v>
      </c>
      <c r="F324" s="527"/>
      <c r="G324" s="55">
        <f>SUM(G321:G323)</f>
        <v>35419</v>
      </c>
      <c r="H324" s="174"/>
    </row>
    <row r="325" spans="2:8" ht="15">
      <c r="B325" s="279"/>
      <c r="C325" s="279"/>
      <c r="D325" s="279"/>
      <c r="E325" s="250"/>
      <c r="F325" s="250"/>
      <c r="G325" s="174"/>
      <c r="H325" s="174"/>
    </row>
    <row r="326" ht="15">
      <c r="B326" s="6" t="s">
        <v>639</v>
      </c>
    </row>
    <row r="327" ht="15">
      <c r="B327" t="s">
        <v>418</v>
      </c>
    </row>
    <row r="328" ht="15">
      <c r="B328" t="s">
        <v>97</v>
      </c>
    </row>
    <row r="330" spans="2:8" ht="15">
      <c r="B330" s="482" t="s">
        <v>57</v>
      </c>
      <c r="C330" s="482"/>
      <c r="D330" s="482"/>
      <c r="E330" s="533">
        <v>44012</v>
      </c>
      <c r="F330" s="534"/>
      <c r="G330" s="423">
        <v>43646</v>
      </c>
      <c r="H330" s="183"/>
    </row>
    <row r="331" spans="2:8" ht="15">
      <c r="B331" s="461" t="s">
        <v>140</v>
      </c>
      <c r="C331" s="516"/>
      <c r="D331" s="517"/>
      <c r="E331" s="503">
        <v>28433</v>
      </c>
      <c r="F331" s="504"/>
      <c r="G331" s="217">
        <v>27434</v>
      </c>
      <c r="H331" s="176"/>
    </row>
    <row r="332" spans="2:8" ht="15">
      <c r="B332" s="263" t="s">
        <v>141</v>
      </c>
      <c r="C332" s="264"/>
      <c r="D332" s="265"/>
      <c r="E332" s="518">
        <v>318496</v>
      </c>
      <c r="F332" s="519"/>
      <c r="G332" s="217">
        <v>489125</v>
      </c>
      <c r="H332" s="176"/>
    </row>
    <row r="333" spans="2:8" ht="15">
      <c r="B333" s="350" t="s">
        <v>142</v>
      </c>
      <c r="C333" s="351"/>
      <c r="D333" s="352"/>
      <c r="E333" s="518">
        <v>55170</v>
      </c>
      <c r="F333" s="519"/>
      <c r="G333" s="217">
        <v>85076</v>
      </c>
      <c r="H333" s="176"/>
    </row>
    <row r="334" spans="2:8" ht="15">
      <c r="B334" s="350" t="s">
        <v>143</v>
      </c>
      <c r="C334" s="351"/>
      <c r="D334" s="352"/>
      <c r="E334" s="518">
        <v>15867</v>
      </c>
      <c r="F334" s="519"/>
      <c r="G334" s="217">
        <v>24911</v>
      </c>
      <c r="H334" s="176"/>
    </row>
    <row r="335" spans="2:8" ht="15">
      <c r="B335" s="350" t="s">
        <v>144</v>
      </c>
      <c r="C335" s="351"/>
      <c r="D335" s="352"/>
      <c r="E335" s="518">
        <v>0</v>
      </c>
      <c r="F335" s="519"/>
      <c r="G335" s="217">
        <v>0</v>
      </c>
      <c r="H335" s="176"/>
    </row>
    <row r="336" spans="2:8" ht="15">
      <c r="B336" s="285" t="s">
        <v>145</v>
      </c>
      <c r="C336" s="286"/>
      <c r="D336" s="287"/>
      <c r="E336" s="518">
        <v>27790</v>
      </c>
      <c r="F336" s="519"/>
      <c r="G336" s="217">
        <v>42921</v>
      </c>
      <c r="H336" s="176"/>
    </row>
    <row r="337" spans="2:8" ht="15">
      <c r="B337" s="285" t="s">
        <v>146</v>
      </c>
      <c r="C337" s="286"/>
      <c r="D337" s="287"/>
      <c r="E337" s="518">
        <v>235000</v>
      </c>
      <c r="F337" s="519"/>
      <c r="G337" s="217">
        <v>240000</v>
      </c>
      <c r="H337" s="175"/>
    </row>
    <row r="338" spans="2:8" ht="15">
      <c r="B338" s="90" t="s">
        <v>147</v>
      </c>
      <c r="C338" s="59"/>
      <c r="D338" s="60"/>
      <c r="E338" s="518">
        <v>0</v>
      </c>
      <c r="F338" s="519"/>
      <c r="G338" s="217">
        <v>0</v>
      </c>
      <c r="H338" s="175"/>
    </row>
    <row r="339" spans="2:8" ht="15">
      <c r="B339" s="57" t="s">
        <v>148</v>
      </c>
      <c r="C339" s="59"/>
      <c r="D339" s="60"/>
      <c r="E339" s="518">
        <v>79920</v>
      </c>
      <c r="F339" s="519"/>
      <c r="G339" s="217">
        <v>99277</v>
      </c>
      <c r="H339" s="176"/>
    </row>
    <row r="340" spans="2:8" ht="15">
      <c r="B340" s="350" t="s">
        <v>149</v>
      </c>
      <c r="C340" s="351"/>
      <c r="D340" s="352"/>
      <c r="E340" s="518">
        <v>43003</v>
      </c>
      <c r="F340" s="519"/>
      <c r="G340" s="217">
        <v>68790</v>
      </c>
      <c r="H340" s="176"/>
    </row>
    <row r="341" spans="2:8" ht="15">
      <c r="B341" s="350" t="s">
        <v>150</v>
      </c>
      <c r="C341" s="351"/>
      <c r="D341" s="352"/>
      <c r="E341" s="518">
        <f>7008+21329+40009</f>
        <v>68346</v>
      </c>
      <c r="F341" s="519"/>
      <c r="G341" s="217">
        <f>5052+20492+51351</f>
        <v>76895</v>
      </c>
      <c r="H341" s="176"/>
    </row>
    <row r="342" spans="2:8" ht="15">
      <c r="B342" s="295" t="s">
        <v>151</v>
      </c>
      <c r="C342" s="296"/>
      <c r="D342" s="297"/>
      <c r="E342" s="518">
        <v>5797</v>
      </c>
      <c r="F342" s="519"/>
      <c r="G342" s="217">
        <v>6489</v>
      </c>
      <c r="H342" s="176"/>
    </row>
    <row r="343" spans="2:8" ht="15">
      <c r="B343" s="57" t="s">
        <v>152</v>
      </c>
      <c r="C343" s="59"/>
      <c r="D343" s="60"/>
      <c r="E343" s="518">
        <v>42019</v>
      </c>
      <c r="F343" s="519"/>
      <c r="G343" s="217">
        <v>43489</v>
      </c>
      <c r="H343" s="176"/>
    </row>
    <row r="344" spans="2:8" ht="15">
      <c r="B344" s="57" t="s">
        <v>153</v>
      </c>
      <c r="C344" s="59"/>
      <c r="D344" s="60"/>
      <c r="E344" s="518"/>
      <c r="F344" s="519"/>
      <c r="G344" s="217">
        <v>747</v>
      </c>
      <c r="H344" s="176"/>
    </row>
    <row r="345" spans="2:8" ht="15">
      <c r="B345" s="57" t="s">
        <v>154</v>
      </c>
      <c r="C345" s="59"/>
      <c r="D345" s="60"/>
      <c r="E345" s="518">
        <v>200</v>
      </c>
      <c r="F345" s="519"/>
      <c r="G345" s="217">
        <v>300</v>
      </c>
      <c r="H345" s="176"/>
    </row>
    <row r="346" spans="2:8" ht="15">
      <c r="B346" s="332" t="s">
        <v>155</v>
      </c>
      <c r="C346" s="333"/>
      <c r="D346" s="334"/>
      <c r="E346" s="518"/>
      <c r="F346" s="519"/>
      <c r="G346" s="217">
        <v>1317</v>
      </c>
      <c r="H346" s="176"/>
    </row>
    <row r="347" spans="2:8" ht="15">
      <c r="B347" s="332" t="s">
        <v>156</v>
      </c>
      <c r="C347" s="333"/>
      <c r="D347" s="334"/>
      <c r="E347" s="518"/>
      <c r="F347" s="519"/>
      <c r="G347" s="217">
        <v>0</v>
      </c>
      <c r="H347" s="176"/>
    </row>
    <row r="348" spans="2:8" ht="15">
      <c r="B348" s="321" t="s">
        <v>423</v>
      </c>
      <c r="C348" s="325"/>
      <c r="D348" s="326"/>
      <c r="E348" s="518">
        <v>243</v>
      </c>
      <c r="F348" s="519"/>
      <c r="G348" s="424">
        <v>6307</v>
      </c>
      <c r="H348" s="176"/>
    </row>
    <row r="349" spans="2:8" ht="15">
      <c r="B349" s="322" t="s">
        <v>615</v>
      </c>
      <c r="C349" s="323"/>
      <c r="D349" s="324"/>
      <c r="E349" s="518">
        <v>436</v>
      </c>
      <c r="F349" s="519"/>
      <c r="G349" s="217">
        <v>250</v>
      </c>
      <c r="H349" s="176"/>
    </row>
    <row r="350" spans="2:8" ht="15">
      <c r="B350" s="321" t="s">
        <v>157</v>
      </c>
      <c r="C350" s="325"/>
      <c r="D350" s="326"/>
      <c r="E350" s="518">
        <v>0</v>
      </c>
      <c r="F350" s="519"/>
      <c r="G350" s="424">
        <v>0</v>
      </c>
      <c r="H350" s="176"/>
    </row>
    <row r="351" spans="2:8" ht="15">
      <c r="B351" s="322" t="s">
        <v>158</v>
      </c>
      <c r="C351" s="323"/>
      <c r="D351" s="324"/>
      <c r="E351" s="518">
        <v>13302</v>
      </c>
      <c r="F351" s="519"/>
      <c r="G351" s="217">
        <v>16369</v>
      </c>
      <c r="H351" s="176"/>
    </row>
    <row r="352" spans="2:8" ht="15">
      <c r="B352" s="57" t="s">
        <v>159</v>
      </c>
      <c r="C352" s="59"/>
      <c r="D352" s="60"/>
      <c r="E352" s="518">
        <v>3665</v>
      </c>
      <c r="F352" s="519"/>
      <c r="G352" s="217">
        <v>8450</v>
      </c>
      <c r="H352" s="176"/>
    </row>
    <row r="353" spans="2:8" ht="15">
      <c r="B353" s="57" t="s">
        <v>160</v>
      </c>
      <c r="C353" s="59"/>
      <c r="D353" s="60"/>
      <c r="E353" s="518">
        <v>46500</v>
      </c>
      <c r="F353" s="519"/>
      <c r="G353" s="217">
        <v>96519</v>
      </c>
      <c r="H353" s="176"/>
    </row>
    <row r="354" spans="2:8" ht="15">
      <c r="B354" s="461" t="s">
        <v>756</v>
      </c>
      <c r="C354" s="462"/>
      <c r="D354" s="463"/>
      <c r="E354" s="518">
        <v>191677</v>
      </c>
      <c r="F354" s="519"/>
      <c r="G354" s="217">
        <v>180806</v>
      </c>
      <c r="H354" s="176"/>
    </row>
    <row r="355" spans="2:8" ht="15">
      <c r="B355" s="418" t="s">
        <v>585</v>
      </c>
      <c r="C355" s="419"/>
      <c r="D355" s="420"/>
      <c r="E355" s="518">
        <v>21925</v>
      </c>
      <c r="F355" s="519"/>
      <c r="G355" s="217">
        <v>23743</v>
      </c>
      <c r="H355" s="176"/>
    </row>
    <row r="356" spans="1:8" ht="15">
      <c r="A356" s="37"/>
      <c r="B356" s="417"/>
      <c r="C356" s="336"/>
      <c r="D356" s="336"/>
      <c r="E356" s="176"/>
      <c r="F356" s="176"/>
      <c r="G356" s="425"/>
      <c r="H356" s="176"/>
    </row>
    <row r="357" spans="1:8" ht="15">
      <c r="A357" s="37"/>
      <c r="B357" s="417"/>
      <c r="C357" s="336"/>
      <c r="D357" s="336"/>
      <c r="E357" s="176"/>
      <c r="F357" s="176"/>
      <c r="G357" s="425"/>
      <c r="H357" s="176"/>
    </row>
    <row r="358" spans="1:8" ht="15">
      <c r="A358" s="37"/>
      <c r="B358" s="417"/>
      <c r="C358" s="336"/>
      <c r="D358" s="336"/>
      <c r="E358" s="176"/>
      <c r="F358" s="176"/>
      <c r="G358" s="425"/>
      <c r="H358" s="176"/>
    </row>
    <row r="359" spans="1:8" ht="15">
      <c r="A359" s="37"/>
      <c r="B359" s="417"/>
      <c r="C359" s="336"/>
      <c r="D359" s="336"/>
      <c r="E359" s="176"/>
      <c r="F359" s="176"/>
      <c r="G359" s="425"/>
      <c r="H359" s="176"/>
    </row>
    <row r="360" spans="1:8" ht="15">
      <c r="A360" s="37"/>
      <c r="B360" s="417"/>
      <c r="C360" s="336"/>
      <c r="D360" s="336"/>
      <c r="E360" s="176"/>
      <c r="F360" s="176"/>
      <c r="G360" s="425"/>
      <c r="H360" s="176"/>
    </row>
    <row r="361" spans="1:8" ht="15">
      <c r="A361" s="37"/>
      <c r="B361" s="417"/>
      <c r="C361" s="336"/>
      <c r="D361" s="336"/>
      <c r="E361" s="176"/>
      <c r="F361" s="176"/>
      <c r="G361" s="425"/>
      <c r="H361" s="176"/>
    </row>
    <row r="362" spans="2:8" ht="15">
      <c r="B362" s="461" t="s">
        <v>725</v>
      </c>
      <c r="C362" s="462"/>
      <c r="D362" s="463"/>
      <c r="E362" s="518"/>
      <c r="F362" s="519"/>
      <c r="G362" s="217">
        <v>0</v>
      </c>
      <c r="H362" s="176"/>
    </row>
    <row r="363" spans="2:8" ht="15">
      <c r="B363" s="311" t="s">
        <v>713</v>
      </c>
      <c r="C363" s="59"/>
      <c r="D363" s="60"/>
      <c r="E363" s="518">
        <v>0</v>
      </c>
      <c r="F363" s="519"/>
      <c r="G363" s="217">
        <v>13670</v>
      </c>
      <c r="H363" s="176"/>
    </row>
    <row r="364" spans="2:8" ht="15">
      <c r="B364" s="57" t="s">
        <v>161</v>
      </c>
      <c r="C364" s="59"/>
      <c r="D364" s="60"/>
      <c r="E364" s="518">
        <v>1803</v>
      </c>
      <c r="F364" s="519"/>
      <c r="G364" s="217">
        <v>3905</v>
      </c>
      <c r="H364" s="176"/>
    </row>
    <row r="365" spans="2:8" ht="15">
      <c r="B365" s="57" t="s">
        <v>162</v>
      </c>
      <c r="C365" s="59"/>
      <c r="D365" s="60"/>
      <c r="E365" s="518">
        <v>13226</v>
      </c>
      <c r="F365" s="519"/>
      <c r="G365" s="217">
        <v>11817</v>
      </c>
      <c r="H365" s="176"/>
    </row>
    <row r="366" spans="2:8" ht="15">
      <c r="B366" s="57" t="s">
        <v>163</v>
      </c>
      <c r="C366" s="59"/>
      <c r="D366" s="60"/>
      <c r="E366" s="518"/>
      <c r="F366" s="519"/>
      <c r="G366" s="217">
        <v>0</v>
      </c>
      <c r="H366" s="176"/>
    </row>
    <row r="367" spans="2:8" ht="15">
      <c r="B367" s="252" t="s">
        <v>616</v>
      </c>
      <c r="C367" s="59"/>
      <c r="D367" s="60"/>
      <c r="E367" s="518">
        <v>19701</v>
      </c>
      <c r="F367" s="519"/>
      <c r="G367" s="217">
        <v>21411</v>
      </c>
      <c r="H367" s="176"/>
    </row>
    <row r="368" spans="2:8" ht="15">
      <c r="B368" s="57" t="s">
        <v>164</v>
      </c>
      <c r="C368" s="59"/>
      <c r="D368" s="60"/>
      <c r="E368" s="518">
        <v>86</v>
      </c>
      <c r="F368" s="519"/>
      <c r="G368" s="217">
        <v>1499</v>
      </c>
      <c r="H368" s="176"/>
    </row>
    <row r="369" spans="2:8" ht="15">
      <c r="B369" s="461" t="s">
        <v>583</v>
      </c>
      <c r="C369" s="462"/>
      <c r="D369" s="463"/>
      <c r="E369" s="518">
        <v>226191</v>
      </c>
      <c r="F369" s="519"/>
      <c r="G369" s="217">
        <v>195327</v>
      </c>
      <c r="H369" s="176"/>
    </row>
    <row r="370" spans="2:8" ht="15">
      <c r="B370" s="304" t="s">
        <v>584</v>
      </c>
      <c r="C370" s="305"/>
      <c r="D370" s="306"/>
      <c r="E370" s="518">
        <v>30663</v>
      </c>
      <c r="F370" s="519"/>
      <c r="G370" s="217">
        <v>31733</v>
      </c>
      <c r="H370" s="176"/>
    </row>
    <row r="371" spans="2:8" ht="15">
      <c r="B371" s="461" t="s">
        <v>334</v>
      </c>
      <c r="C371" s="462"/>
      <c r="D371" s="463"/>
      <c r="E371" s="518"/>
      <c r="F371" s="519"/>
      <c r="G371" s="217">
        <v>0</v>
      </c>
      <c r="H371" s="176"/>
    </row>
    <row r="372" spans="2:8" ht="15">
      <c r="B372" s="368" t="s">
        <v>165</v>
      </c>
      <c r="C372" s="370"/>
      <c r="D372" s="371"/>
      <c r="E372" s="518">
        <v>41774</v>
      </c>
      <c r="F372" s="519"/>
      <c r="G372" s="217">
        <v>56751</v>
      </c>
      <c r="H372" s="176"/>
    </row>
    <row r="373" spans="2:8" ht="15">
      <c r="B373" s="413" t="s">
        <v>762</v>
      </c>
      <c r="C373" s="414"/>
      <c r="D373" s="415"/>
      <c r="E373" s="518">
        <v>43591</v>
      </c>
      <c r="F373" s="519"/>
      <c r="G373" s="217">
        <v>815</v>
      </c>
      <c r="H373" s="176"/>
    </row>
    <row r="374" spans="2:8" ht="15">
      <c r="B374" s="368" t="s">
        <v>166</v>
      </c>
      <c r="C374" s="370"/>
      <c r="D374" s="371"/>
      <c r="E374" s="518">
        <v>10593</v>
      </c>
      <c r="F374" s="519"/>
      <c r="G374" s="217">
        <v>26720</v>
      </c>
      <c r="H374" s="176"/>
    </row>
    <row r="375" spans="2:8" ht="15">
      <c r="B375" s="57" t="s">
        <v>167</v>
      </c>
      <c r="C375" s="59"/>
      <c r="D375" s="60"/>
      <c r="E375" s="518">
        <v>19970</v>
      </c>
      <c r="F375" s="519"/>
      <c r="G375" s="217">
        <v>9884</v>
      </c>
      <c r="H375" s="176"/>
    </row>
    <row r="376" spans="2:8" ht="15">
      <c r="B376" s="57" t="s">
        <v>168</v>
      </c>
      <c r="C376" s="59"/>
      <c r="D376" s="60"/>
      <c r="E376" s="518">
        <v>5310</v>
      </c>
      <c r="F376" s="519"/>
      <c r="G376" s="217">
        <v>4505</v>
      </c>
      <c r="H376" s="176"/>
    </row>
    <row r="377" spans="2:8" ht="15">
      <c r="B377" s="57" t="s">
        <v>169</v>
      </c>
      <c r="C377" s="59"/>
      <c r="D377" s="60"/>
      <c r="E377" s="518">
        <v>205057</v>
      </c>
      <c r="F377" s="519"/>
      <c r="G377" s="217">
        <v>233953</v>
      </c>
      <c r="H377" s="176"/>
    </row>
    <row r="378" spans="2:8" ht="15">
      <c r="B378" s="255" t="s">
        <v>621</v>
      </c>
      <c r="C378" s="59"/>
      <c r="D378" s="60"/>
      <c r="E378" s="518">
        <v>20359</v>
      </c>
      <c r="F378" s="519"/>
      <c r="G378" s="217">
        <v>47762</v>
      </c>
      <c r="H378" s="176"/>
    </row>
    <row r="379" spans="2:8" ht="15">
      <c r="B379" s="57" t="s">
        <v>170</v>
      </c>
      <c r="C379" s="59"/>
      <c r="D379" s="60"/>
      <c r="E379" s="518">
        <v>0</v>
      </c>
      <c r="F379" s="519"/>
      <c r="G379" s="217">
        <v>0</v>
      </c>
      <c r="H379" s="176"/>
    </row>
    <row r="380" spans="2:8" ht="15">
      <c r="B380" s="57" t="s">
        <v>171</v>
      </c>
      <c r="C380" s="59"/>
      <c r="D380" s="60"/>
      <c r="E380" s="518">
        <v>90167</v>
      </c>
      <c r="F380" s="519"/>
      <c r="G380" s="217">
        <v>168575</v>
      </c>
      <c r="H380" s="176"/>
    </row>
    <row r="381" spans="2:8" ht="15">
      <c r="B381" s="280" t="s">
        <v>172</v>
      </c>
      <c r="C381" s="281"/>
      <c r="D381" s="282"/>
      <c r="E381" s="518">
        <v>31674</v>
      </c>
      <c r="F381" s="519"/>
      <c r="G381" s="217">
        <v>79782</v>
      </c>
      <c r="H381" s="176"/>
    </row>
    <row r="382" spans="2:8" ht="15">
      <c r="B382" s="289" t="s">
        <v>422</v>
      </c>
      <c r="C382" s="290"/>
      <c r="D382" s="291"/>
      <c r="E382" s="518"/>
      <c r="F382" s="519"/>
      <c r="G382" s="217">
        <v>0</v>
      </c>
      <c r="H382" s="176"/>
    </row>
    <row r="383" spans="2:8" ht="15">
      <c r="B383" s="350" t="s">
        <v>173</v>
      </c>
      <c r="C383" s="351"/>
      <c r="D383" s="352"/>
      <c r="E383" s="518">
        <v>7958</v>
      </c>
      <c r="F383" s="519"/>
      <c r="G383" s="217">
        <v>73782</v>
      </c>
      <c r="H383" s="176"/>
    </row>
    <row r="384" spans="2:8" ht="15">
      <c r="B384" s="350" t="s">
        <v>646</v>
      </c>
      <c r="C384" s="351"/>
      <c r="D384" s="352"/>
      <c r="E384" s="518">
        <v>7905</v>
      </c>
      <c r="F384" s="519"/>
      <c r="G384" s="217">
        <v>27669</v>
      </c>
      <c r="H384" s="176"/>
    </row>
    <row r="385" spans="2:8" ht="15">
      <c r="B385" s="328" t="s">
        <v>647</v>
      </c>
      <c r="C385" s="329"/>
      <c r="D385" s="330"/>
      <c r="E385" s="518"/>
      <c r="F385" s="519"/>
      <c r="G385" s="217">
        <v>0</v>
      </c>
      <c r="H385" s="176"/>
    </row>
    <row r="386" spans="2:8" ht="15">
      <c r="B386" s="328" t="s">
        <v>174</v>
      </c>
      <c r="C386" s="329"/>
      <c r="D386" s="330"/>
      <c r="E386" s="518">
        <v>10296</v>
      </c>
      <c r="F386" s="519"/>
      <c r="G386" s="217">
        <v>27272</v>
      </c>
      <c r="H386" s="176"/>
    </row>
    <row r="387" spans="2:8" ht="15">
      <c r="B387" s="328" t="s">
        <v>743</v>
      </c>
      <c r="C387" s="266"/>
      <c r="D387" s="267"/>
      <c r="E387" s="518"/>
      <c r="F387" s="519"/>
      <c r="G387" s="108">
        <v>0</v>
      </c>
      <c r="H387" s="176"/>
    </row>
    <row r="388" spans="2:8" ht="15">
      <c r="B388" s="328" t="s">
        <v>744</v>
      </c>
      <c r="C388" s="59"/>
      <c r="D388" s="60"/>
      <c r="E388" s="518"/>
      <c r="F388" s="519"/>
      <c r="G388" s="108">
        <v>0</v>
      </c>
      <c r="H388" s="176"/>
    </row>
    <row r="389" spans="2:9" ht="15">
      <c r="B389" s="451" t="s">
        <v>62</v>
      </c>
      <c r="C389" s="453"/>
      <c r="D389" s="452"/>
      <c r="E389" s="526">
        <f>SUM(E331:F388)-1</f>
        <v>1984112</v>
      </c>
      <c r="F389" s="527"/>
      <c r="G389" s="111">
        <f>SUM(G331:G388)+3</f>
        <v>2576050</v>
      </c>
      <c r="H389" s="174"/>
      <c r="I389" s="13"/>
    </row>
    <row r="390" spans="2:7" ht="15">
      <c r="B390" s="6" t="s">
        <v>641</v>
      </c>
      <c r="G390" s="226"/>
    </row>
    <row r="391" spans="2:7" ht="15">
      <c r="B391" t="s">
        <v>424</v>
      </c>
      <c r="G391" s="226"/>
    </row>
    <row r="392" spans="2:7" ht="15">
      <c r="B392" t="s">
        <v>425</v>
      </c>
      <c r="G392" s="226"/>
    </row>
    <row r="393" ht="15">
      <c r="G393" s="226"/>
    </row>
    <row r="394" spans="2:8" ht="15">
      <c r="B394" s="482" t="s">
        <v>57</v>
      </c>
      <c r="C394" s="482"/>
      <c r="D394" s="482"/>
      <c r="E394" s="533">
        <v>44012</v>
      </c>
      <c r="F394" s="534"/>
      <c r="G394" s="423">
        <v>43646</v>
      </c>
      <c r="H394" s="183"/>
    </row>
    <row r="395" spans="2:8" ht="15">
      <c r="B395" s="523" t="s">
        <v>175</v>
      </c>
      <c r="C395" s="524"/>
      <c r="D395" s="525"/>
      <c r="E395" s="526">
        <f>SUM(E396:F400)</f>
        <v>37694</v>
      </c>
      <c r="F395" s="527"/>
      <c r="G395" s="111">
        <f>SUM(G396:G400)</f>
        <v>116063</v>
      </c>
      <c r="H395" s="20"/>
    </row>
    <row r="396" spans="2:8" ht="15">
      <c r="B396" s="461" t="s">
        <v>176</v>
      </c>
      <c r="C396" s="462"/>
      <c r="D396" s="463"/>
      <c r="E396" s="535">
        <v>0</v>
      </c>
      <c r="F396" s="535"/>
      <c r="G396" s="108">
        <v>450</v>
      </c>
      <c r="H396" s="19"/>
    </row>
    <row r="397" spans="2:8" ht="15">
      <c r="B397" s="520" t="s">
        <v>605</v>
      </c>
      <c r="C397" s="521"/>
      <c r="D397" s="522"/>
      <c r="E397" s="505">
        <v>0</v>
      </c>
      <c r="F397" s="506"/>
      <c r="G397" s="108">
        <v>0</v>
      </c>
      <c r="H397" s="19"/>
    </row>
    <row r="398" spans="2:8" ht="15">
      <c r="B398" s="461" t="s">
        <v>177</v>
      </c>
      <c r="C398" s="462"/>
      <c r="D398" s="463"/>
      <c r="E398" s="535">
        <v>16882</v>
      </c>
      <c r="F398" s="535"/>
      <c r="G398" s="108">
        <v>25688</v>
      </c>
      <c r="H398" s="19"/>
    </row>
    <row r="399" spans="2:8" ht="15">
      <c r="B399" s="461" t="s">
        <v>178</v>
      </c>
      <c r="C399" s="462"/>
      <c r="D399" s="463"/>
      <c r="E399" s="535">
        <v>0</v>
      </c>
      <c r="F399" s="535"/>
      <c r="G399" s="108">
        <v>89163</v>
      </c>
      <c r="H399" s="19"/>
    </row>
    <row r="400" spans="2:8" ht="15">
      <c r="B400" s="461" t="s">
        <v>179</v>
      </c>
      <c r="C400" s="462"/>
      <c r="D400" s="463"/>
      <c r="E400" s="535">
        <v>20812</v>
      </c>
      <c r="F400" s="535"/>
      <c r="G400" s="108">
        <v>762</v>
      </c>
      <c r="H400" s="19"/>
    </row>
    <row r="401" spans="1:8" ht="15">
      <c r="A401" s="37"/>
      <c r="B401" s="417"/>
      <c r="C401" s="417"/>
      <c r="D401" s="417"/>
      <c r="E401" s="288"/>
      <c r="F401" s="288"/>
      <c r="G401" s="19"/>
      <c r="H401" s="19"/>
    </row>
    <row r="402" spans="1:8" ht="15">
      <c r="A402" s="37"/>
      <c r="B402" s="417"/>
      <c r="C402" s="417"/>
      <c r="D402" s="417"/>
      <c r="E402" s="288"/>
      <c r="F402" s="288"/>
      <c r="G402" s="19"/>
      <c r="H402" s="19"/>
    </row>
    <row r="403" spans="1:8" ht="15">
      <c r="A403" s="37"/>
      <c r="B403" s="417"/>
      <c r="C403" s="417"/>
      <c r="D403" s="417"/>
      <c r="E403" s="288"/>
      <c r="F403" s="288"/>
      <c r="G403" s="19"/>
      <c r="H403" s="19"/>
    </row>
    <row r="404" spans="1:8" ht="15">
      <c r="A404" s="37"/>
      <c r="B404" s="417"/>
      <c r="C404" s="417"/>
      <c r="D404" s="417"/>
      <c r="E404" s="288"/>
      <c r="F404" s="288"/>
      <c r="G404" s="19"/>
      <c r="H404" s="19"/>
    </row>
    <row r="405" spans="1:8" ht="15">
      <c r="A405" s="37"/>
      <c r="B405" s="417"/>
      <c r="C405" s="417"/>
      <c r="D405" s="417"/>
      <c r="E405" s="288"/>
      <c r="F405" s="288"/>
      <c r="G405" s="19"/>
      <c r="H405" s="19"/>
    </row>
    <row r="406" spans="1:8" ht="15">
      <c r="A406" s="37"/>
      <c r="B406" s="417"/>
      <c r="C406" s="417"/>
      <c r="D406" s="417"/>
      <c r="E406" s="288"/>
      <c r="F406" s="288"/>
      <c r="G406" s="19"/>
      <c r="H406" s="19"/>
    </row>
    <row r="407" spans="2:8" ht="15">
      <c r="B407" s="528" t="s">
        <v>180</v>
      </c>
      <c r="C407" s="529"/>
      <c r="D407" s="530"/>
      <c r="E407" s="531">
        <f>+E409+E408</f>
        <v>18791</v>
      </c>
      <c r="F407" s="532"/>
      <c r="G407" s="15">
        <f>SUM(G408:G409)</f>
        <v>0</v>
      </c>
      <c r="H407" s="20"/>
    </row>
    <row r="408" spans="2:8" ht="15">
      <c r="B408" s="461" t="s">
        <v>763</v>
      </c>
      <c r="C408" s="462"/>
      <c r="D408" s="463"/>
      <c r="E408" s="503">
        <v>18791</v>
      </c>
      <c r="F408" s="504"/>
      <c r="G408" s="422">
        <v>0</v>
      </c>
      <c r="H408" s="20"/>
    </row>
    <row r="409" spans="2:8" ht="15">
      <c r="B409" s="397" t="s">
        <v>757</v>
      </c>
      <c r="C409" s="361"/>
      <c r="D409" s="362"/>
      <c r="E409" s="505">
        <v>0</v>
      </c>
      <c r="F409" s="506"/>
      <c r="G409" s="34">
        <v>0</v>
      </c>
      <c r="H409" s="20"/>
    </row>
    <row r="410" spans="2:8" ht="15">
      <c r="B410" s="451" t="s">
        <v>62</v>
      </c>
      <c r="C410" s="453"/>
      <c r="D410" s="452"/>
      <c r="E410" s="531">
        <f>+E395-E407</f>
        <v>18903</v>
      </c>
      <c r="F410" s="532"/>
      <c r="G410" s="55">
        <f>+G395-G407</f>
        <v>116063</v>
      </c>
      <c r="H410" s="174"/>
    </row>
    <row r="411" spans="2:8" ht="15">
      <c r="B411" s="246"/>
      <c r="C411" s="246"/>
      <c r="D411" s="246"/>
      <c r="E411" s="250"/>
      <c r="F411" s="251"/>
      <c r="G411" s="174"/>
      <c r="H411" s="174"/>
    </row>
    <row r="412" spans="2:8" ht="15">
      <c r="B412" s="310"/>
      <c r="C412" s="310"/>
      <c r="D412" s="310"/>
      <c r="E412" s="250"/>
      <c r="F412" s="251"/>
      <c r="G412" s="174"/>
      <c r="H412" s="174"/>
    </row>
    <row r="413" ht="15">
      <c r="B413" s="6" t="s">
        <v>643</v>
      </c>
    </row>
    <row r="414" ht="15">
      <c r="B414" t="s">
        <v>426</v>
      </c>
    </row>
    <row r="415" spans="6:7" ht="15">
      <c r="F415" s="13"/>
      <c r="G415" s="13"/>
    </row>
    <row r="416" spans="2:8" ht="15">
      <c r="B416" s="482" t="s">
        <v>57</v>
      </c>
      <c r="C416" s="482"/>
      <c r="D416" s="482"/>
      <c r="E416" s="533">
        <v>44012</v>
      </c>
      <c r="F416" s="534"/>
      <c r="G416" s="182">
        <v>43646</v>
      </c>
      <c r="H416" s="183"/>
    </row>
    <row r="417" spans="2:8" ht="15">
      <c r="B417" s="523" t="s">
        <v>181</v>
      </c>
      <c r="C417" s="524"/>
      <c r="D417" s="525"/>
      <c r="E417" s="526">
        <f>SUM(E418:F418)</f>
        <v>300912</v>
      </c>
      <c r="F417" s="527"/>
      <c r="G417" s="15">
        <f>SUM(G418:G418)</f>
        <v>95116</v>
      </c>
      <c r="H417" s="19"/>
    </row>
    <row r="418" spans="2:8" ht="15">
      <c r="B418" s="461" t="s">
        <v>182</v>
      </c>
      <c r="C418" s="462"/>
      <c r="D418" s="463"/>
      <c r="E418" s="536">
        <v>300912</v>
      </c>
      <c r="F418" s="536"/>
      <c r="G418" s="34">
        <v>95116</v>
      </c>
      <c r="H418" s="19"/>
    </row>
    <row r="419" spans="2:8" ht="15">
      <c r="B419" s="523" t="s">
        <v>183</v>
      </c>
      <c r="C419" s="524"/>
      <c r="D419" s="525"/>
      <c r="E419" s="531">
        <f>E420+SUM(E421:F423)</f>
        <v>1214240</v>
      </c>
      <c r="F419" s="532"/>
      <c r="G419" s="238">
        <f>+G420+SUM(G421:G423)</f>
        <v>1142190</v>
      </c>
      <c r="H419" s="19"/>
    </row>
    <row r="420" spans="2:8" ht="15">
      <c r="B420" s="369" t="s">
        <v>184</v>
      </c>
      <c r="C420" s="372"/>
      <c r="D420" s="373"/>
      <c r="E420" s="505">
        <v>865383</v>
      </c>
      <c r="F420" s="506"/>
      <c r="G420" s="34">
        <v>761838</v>
      </c>
      <c r="H420" s="19"/>
    </row>
    <row r="421" spans="2:8" ht="15">
      <c r="B421" s="461" t="s">
        <v>185</v>
      </c>
      <c r="C421" s="462"/>
      <c r="D421" s="463"/>
      <c r="E421" s="505">
        <v>76240</v>
      </c>
      <c r="F421" s="506"/>
      <c r="G421" s="34">
        <v>106239</v>
      </c>
      <c r="H421" s="19"/>
    </row>
    <row r="422" spans="2:8" ht="15">
      <c r="B422" s="461" t="s">
        <v>606</v>
      </c>
      <c r="C422" s="462"/>
      <c r="D422" s="463"/>
      <c r="E422" s="505">
        <v>169890</v>
      </c>
      <c r="F422" s="506"/>
      <c r="G422" s="34">
        <v>246822</v>
      </c>
      <c r="H422" s="19"/>
    </row>
    <row r="423" spans="2:8" ht="15">
      <c r="B423" s="515" t="s">
        <v>182</v>
      </c>
      <c r="C423" s="516"/>
      <c r="D423" s="517"/>
      <c r="E423" s="505">
        <v>102727</v>
      </c>
      <c r="F423" s="506"/>
      <c r="G423" s="34">
        <v>27291</v>
      </c>
      <c r="H423" s="19"/>
    </row>
    <row r="424" spans="2:8" ht="15">
      <c r="B424" s="451" t="s">
        <v>62</v>
      </c>
      <c r="C424" s="453"/>
      <c r="D424" s="452"/>
      <c r="E424" s="531">
        <f>+E417-E419</f>
        <v>-913328</v>
      </c>
      <c r="F424" s="532"/>
      <c r="G424" s="55">
        <f>+G417-G419</f>
        <v>-1047074</v>
      </c>
      <c r="H424" s="174"/>
    </row>
    <row r="428" spans="3:8" ht="15">
      <c r="C428" s="42"/>
      <c r="D428" s="42"/>
      <c r="E428" s="331" t="s">
        <v>714</v>
      </c>
      <c r="F428" s="331"/>
      <c r="G428" s="331" t="s">
        <v>716</v>
      </c>
      <c r="H428" s="331"/>
    </row>
    <row r="429" spans="3:8" ht="15">
      <c r="C429" s="42"/>
      <c r="D429" s="42"/>
      <c r="E429" s="331" t="s">
        <v>715</v>
      </c>
      <c r="F429" s="331"/>
      <c r="G429" s="331" t="s">
        <v>717</v>
      </c>
      <c r="H429" s="331"/>
    </row>
    <row r="430" ht="15.75">
      <c r="G430" s="239"/>
    </row>
  </sheetData>
  <sheetProtection/>
  <mergeCells count="336">
    <mergeCell ref="E408:F408"/>
    <mergeCell ref="B408:D408"/>
    <mergeCell ref="B354:D354"/>
    <mergeCell ref="E354:F354"/>
    <mergeCell ref="E367:F367"/>
    <mergeCell ref="E364:F364"/>
    <mergeCell ref="E363:F363"/>
    <mergeCell ref="E369:F369"/>
    <mergeCell ref="B140:F140"/>
    <mergeCell ref="E203:F203"/>
    <mergeCell ref="B208:D208"/>
    <mergeCell ref="B209:D209"/>
    <mergeCell ref="B203:D203"/>
    <mergeCell ref="G140:H140"/>
    <mergeCell ref="B141:F141"/>
    <mergeCell ref="G141:H141"/>
    <mergeCell ref="B142:F142"/>
    <mergeCell ref="B166:D166"/>
    <mergeCell ref="B165:D165"/>
    <mergeCell ref="E165:F165"/>
    <mergeCell ref="E163:F163"/>
    <mergeCell ref="E208:F208"/>
    <mergeCell ref="E206:F206"/>
    <mergeCell ref="B204:D204"/>
    <mergeCell ref="B205:D205"/>
    <mergeCell ref="E205:F205"/>
    <mergeCell ref="B174:D174"/>
    <mergeCell ref="E174:F174"/>
    <mergeCell ref="B122:H122"/>
    <mergeCell ref="B123:E123"/>
    <mergeCell ref="F123:H123"/>
    <mergeCell ref="G142:H142"/>
    <mergeCell ref="B136:F137"/>
    <mergeCell ref="G136:H136"/>
    <mergeCell ref="G137:H137"/>
    <mergeCell ref="B130:E130"/>
    <mergeCell ref="B131:E131"/>
    <mergeCell ref="B132:E132"/>
    <mergeCell ref="E293:F293"/>
    <mergeCell ref="E274:F274"/>
    <mergeCell ref="B275:D275"/>
    <mergeCell ref="E275:F275"/>
    <mergeCell ref="B265:D265"/>
    <mergeCell ref="E385:F385"/>
    <mergeCell ref="E362:F362"/>
    <mergeCell ref="B266:D266"/>
    <mergeCell ref="E266:F266"/>
    <mergeCell ref="B272:D272"/>
    <mergeCell ref="B211:D211"/>
    <mergeCell ref="E211:F211"/>
    <mergeCell ref="B212:D212"/>
    <mergeCell ref="E277:F277"/>
    <mergeCell ref="B362:D362"/>
    <mergeCell ref="B371:D371"/>
    <mergeCell ref="E371:F371"/>
    <mergeCell ref="B274:D274"/>
    <mergeCell ref="B261:D261"/>
    <mergeCell ref="E265:F265"/>
    <mergeCell ref="E272:F272"/>
    <mergeCell ref="B264:D264"/>
    <mergeCell ref="E261:F261"/>
    <mergeCell ref="B262:D262"/>
    <mergeCell ref="E262:F262"/>
    <mergeCell ref="B210:D210"/>
    <mergeCell ref="E210:F210"/>
    <mergeCell ref="B213:D213"/>
    <mergeCell ref="B260:D260"/>
    <mergeCell ref="E260:F260"/>
    <mergeCell ref="E212:F212"/>
    <mergeCell ref="E259:F259"/>
    <mergeCell ref="E300:F300"/>
    <mergeCell ref="E290:F290"/>
    <mergeCell ref="B283:D283"/>
    <mergeCell ref="E283:F283"/>
    <mergeCell ref="E292:F292"/>
    <mergeCell ref="B295:D295"/>
    <mergeCell ref="E294:F294"/>
    <mergeCell ref="B288:D288"/>
    <mergeCell ref="B296:D296"/>
    <mergeCell ref="B293:D293"/>
    <mergeCell ref="E298:F298"/>
    <mergeCell ref="B298:D298"/>
    <mergeCell ref="B294:D294"/>
    <mergeCell ref="E304:F304"/>
    <mergeCell ref="E296:F296"/>
    <mergeCell ref="E299:F299"/>
    <mergeCell ref="B303:D303"/>
    <mergeCell ref="E295:F295"/>
    <mergeCell ref="B299:D299"/>
    <mergeCell ref="B300:D300"/>
    <mergeCell ref="E318:F318"/>
    <mergeCell ref="E302:F302"/>
    <mergeCell ref="E303:F303"/>
    <mergeCell ref="E324:F324"/>
    <mergeCell ref="B318:D318"/>
    <mergeCell ref="B304:D304"/>
    <mergeCell ref="B324:D324"/>
    <mergeCell ref="B302:D302"/>
    <mergeCell ref="B305:D305"/>
    <mergeCell ref="B323:D323"/>
    <mergeCell ref="E320:F320"/>
    <mergeCell ref="E319:F319"/>
    <mergeCell ref="E323:F323"/>
    <mergeCell ref="E330:F330"/>
    <mergeCell ref="B322:D322"/>
    <mergeCell ref="B319:D319"/>
    <mergeCell ref="E305:F305"/>
    <mergeCell ref="B321:D321"/>
    <mergeCell ref="E321:F321"/>
    <mergeCell ref="E337:F337"/>
    <mergeCell ref="E338:F338"/>
    <mergeCell ref="B320:D320"/>
    <mergeCell ref="E332:F332"/>
    <mergeCell ref="B331:D331"/>
    <mergeCell ref="E322:F322"/>
    <mergeCell ref="B330:D330"/>
    <mergeCell ref="E334:F334"/>
    <mergeCell ref="E331:F331"/>
    <mergeCell ref="B1:G1"/>
    <mergeCell ref="B4:G4"/>
    <mergeCell ref="B52:E52"/>
    <mergeCell ref="B53:E53"/>
    <mergeCell ref="B54:E54"/>
    <mergeCell ref="E79:F79"/>
    <mergeCell ref="B55:E55"/>
    <mergeCell ref="B56:E56"/>
    <mergeCell ref="B57:E57"/>
    <mergeCell ref="B78:D78"/>
    <mergeCell ref="B81:D81"/>
    <mergeCell ref="B80:D80"/>
    <mergeCell ref="E80:F80"/>
    <mergeCell ref="E421:F421"/>
    <mergeCell ref="B301:D301"/>
    <mergeCell ref="E301:F301"/>
    <mergeCell ref="B297:D297"/>
    <mergeCell ref="E297:F297"/>
    <mergeCell ref="E81:F81"/>
    <mergeCell ref="B106:D106"/>
    <mergeCell ref="E106:F106"/>
    <mergeCell ref="B107:D107"/>
    <mergeCell ref="E107:F107"/>
    <mergeCell ref="B170:D170"/>
    <mergeCell ref="E170:F170"/>
    <mergeCell ref="B108:D108"/>
    <mergeCell ref="E108:F108"/>
    <mergeCell ref="B118:D118"/>
    <mergeCell ref="E118:F118"/>
    <mergeCell ref="B115:D115"/>
    <mergeCell ref="E78:F78"/>
    <mergeCell ref="B79:D79"/>
    <mergeCell ref="B116:D116"/>
    <mergeCell ref="E116:F116"/>
    <mergeCell ref="B117:D117"/>
    <mergeCell ref="E117:F117"/>
    <mergeCell ref="B110:D110"/>
    <mergeCell ref="E110:F110"/>
    <mergeCell ref="B114:D114"/>
    <mergeCell ref="E114:F114"/>
    <mergeCell ref="B125:E125"/>
    <mergeCell ref="B127:E127"/>
    <mergeCell ref="B128:E128"/>
    <mergeCell ref="B129:E129"/>
    <mergeCell ref="F125:H125"/>
    <mergeCell ref="G126:H126"/>
    <mergeCell ref="B181:D181"/>
    <mergeCell ref="E181:F181"/>
    <mergeCell ref="B173:D173"/>
    <mergeCell ref="E173:F173"/>
    <mergeCell ref="B176:D176"/>
    <mergeCell ref="E176:F176"/>
    <mergeCell ref="B175:D175"/>
    <mergeCell ref="E175:F175"/>
    <mergeCell ref="B182:D182"/>
    <mergeCell ref="E182:F182"/>
    <mergeCell ref="B193:D193"/>
    <mergeCell ref="E193:F193"/>
    <mergeCell ref="B194:D194"/>
    <mergeCell ref="E194:F194"/>
    <mergeCell ref="B183:D183"/>
    <mergeCell ref="E183:F183"/>
    <mergeCell ref="B188:D188"/>
    <mergeCell ref="E188:F188"/>
    <mergeCell ref="E202:F202"/>
    <mergeCell ref="B195:D195"/>
    <mergeCell ref="E195:F195"/>
    <mergeCell ref="B189:D189"/>
    <mergeCell ref="B190:D190"/>
    <mergeCell ref="E190:F190"/>
    <mergeCell ref="B192:D192"/>
    <mergeCell ref="E192:F192"/>
    <mergeCell ref="B191:D191"/>
    <mergeCell ref="E191:F191"/>
    <mergeCell ref="E288:F288"/>
    <mergeCell ref="B196:D196"/>
    <mergeCell ref="E196:F196"/>
    <mergeCell ref="B197:D197"/>
    <mergeCell ref="E197:F197"/>
    <mergeCell ref="B202:D202"/>
    <mergeCell ref="E264:F264"/>
    <mergeCell ref="E204:F204"/>
    <mergeCell ref="E207:F207"/>
    <mergeCell ref="E209:F209"/>
    <mergeCell ref="B282:D282"/>
    <mergeCell ref="E282:F282"/>
    <mergeCell ref="B263:D263"/>
    <mergeCell ref="B207:D207"/>
    <mergeCell ref="B206:D206"/>
    <mergeCell ref="E213:F213"/>
    <mergeCell ref="B259:D259"/>
    <mergeCell ref="C228:H228"/>
    <mergeCell ref="C242:H242"/>
    <mergeCell ref="E263:F263"/>
    <mergeCell ref="B287:D287"/>
    <mergeCell ref="E287:F287"/>
    <mergeCell ref="B290:D290"/>
    <mergeCell ref="B291:D291"/>
    <mergeCell ref="E291:F291"/>
    <mergeCell ref="B273:D273"/>
    <mergeCell ref="E273:F273"/>
    <mergeCell ref="B277:D277"/>
    <mergeCell ref="B289:D289"/>
    <mergeCell ref="E289:F289"/>
    <mergeCell ref="B284:D284"/>
    <mergeCell ref="E284:F284"/>
    <mergeCell ref="B285:D285"/>
    <mergeCell ref="E285:F285"/>
    <mergeCell ref="B286:D286"/>
    <mergeCell ref="E286:F286"/>
    <mergeCell ref="E368:F368"/>
    <mergeCell ref="E370:F370"/>
    <mergeCell ref="E372:F372"/>
    <mergeCell ref="E374:F374"/>
    <mergeCell ref="E352:F352"/>
    <mergeCell ref="E353:F353"/>
    <mergeCell ref="E355:F355"/>
    <mergeCell ref="E365:F365"/>
    <mergeCell ref="E366:F366"/>
    <mergeCell ref="E373:F373"/>
    <mergeCell ref="E380:F380"/>
    <mergeCell ref="E381:F381"/>
    <mergeCell ref="E383:F383"/>
    <mergeCell ref="E382:F382"/>
    <mergeCell ref="E347:F347"/>
    <mergeCell ref="E348:F348"/>
    <mergeCell ref="E349:F349"/>
    <mergeCell ref="E350:F350"/>
    <mergeCell ref="E351:F351"/>
    <mergeCell ref="E377:F377"/>
    <mergeCell ref="B424:D424"/>
    <mergeCell ref="E424:F424"/>
    <mergeCell ref="B417:D417"/>
    <mergeCell ref="E417:F417"/>
    <mergeCell ref="B418:D418"/>
    <mergeCell ref="B410:D410"/>
    <mergeCell ref="E410:F410"/>
    <mergeCell ref="B416:D416"/>
    <mergeCell ref="E416:F416"/>
    <mergeCell ref="B423:D423"/>
    <mergeCell ref="E423:F423"/>
    <mergeCell ref="E418:F418"/>
    <mergeCell ref="E419:F419"/>
    <mergeCell ref="B422:D422"/>
    <mergeCell ref="E422:F422"/>
    <mergeCell ref="E420:F420"/>
    <mergeCell ref="B421:D421"/>
    <mergeCell ref="B419:D419"/>
    <mergeCell ref="E342:F342"/>
    <mergeCell ref="B399:D399"/>
    <mergeCell ref="E399:F399"/>
    <mergeCell ref="B400:D400"/>
    <mergeCell ref="E386:F386"/>
    <mergeCell ref="E388:F388"/>
    <mergeCell ref="B389:D389"/>
    <mergeCell ref="E389:F389"/>
    <mergeCell ref="B394:D394"/>
    <mergeCell ref="E398:F398"/>
    <mergeCell ref="E346:F346"/>
    <mergeCell ref="E409:F409"/>
    <mergeCell ref="B407:D407"/>
    <mergeCell ref="E407:F407"/>
    <mergeCell ref="E394:F394"/>
    <mergeCell ref="B396:D396"/>
    <mergeCell ref="E396:F396"/>
    <mergeCell ref="E378:F378"/>
    <mergeCell ref="E400:F400"/>
    <mergeCell ref="E379:F379"/>
    <mergeCell ref="E335:F335"/>
    <mergeCell ref="B397:D397"/>
    <mergeCell ref="E397:F397"/>
    <mergeCell ref="E375:F375"/>
    <mergeCell ref="B369:D369"/>
    <mergeCell ref="E387:F387"/>
    <mergeCell ref="B395:D395"/>
    <mergeCell ref="E395:F395"/>
    <mergeCell ref="E376:F376"/>
    <mergeCell ref="E384:F384"/>
    <mergeCell ref="B138:F138"/>
    <mergeCell ref="B398:D398"/>
    <mergeCell ref="B171:D171"/>
    <mergeCell ref="E345:F345"/>
    <mergeCell ref="E343:F343"/>
    <mergeCell ref="E344:F344"/>
    <mergeCell ref="E333:F333"/>
    <mergeCell ref="E339:F339"/>
    <mergeCell ref="E336:F336"/>
    <mergeCell ref="E341:F341"/>
    <mergeCell ref="B169:D169"/>
    <mergeCell ref="E340:F340"/>
    <mergeCell ref="B292:D292"/>
    <mergeCell ref="B109:D109"/>
    <mergeCell ref="E109:F109"/>
    <mergeCell ref="B111:D111"/>
    <mergeCell ref="B112:D112"/>
    <mergeCell ref="E111:F111"/>
    <mergeCell ref="E112:F112"/>
    <mergeCell ref="B172:D172"/>
    <mergeCell ref="G138:H138"/>
    <mergeCell ref="E172:F172"/>
    <mergeCell ref="E171:F171"/>
    <mergeCell ref="B162:D162"/>
    <mergeCell ref="E162:F162"/>
    <mergeCell ref="E166:F166"/>
    <mergeCell ref="B167:D167"/>
    <mergeCell ref="E167:F167"/>
    <mergeCell ref="B164:D164"/>
    <mergeCell ref="B163:D163"/>
    <mergeCell ref="G139:H139"/>
    <mergeCell ref="B168:D168"/>
    <mergeCell ref="E169:F169"/>
    <mergeCell ref="E168:F168"/>
    <mergeCell ref="E115:F115"/>
    <mergeCell ref="B113:D113"/>
    <mergeCell ref="E113:F113"/>
    <mergeCell ref="F124:H124"/>
    <mergeCell ref="B120:H120"/>
    <mergeCell ref="B121:H121"/>
  </mergeCells>
  <printOptions/>
  <pageMargins left="0.7086614173228347" right="0.7086614173228347" top="1.141732283464567" bottom="1.3385826771653544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29"/>
  <sheetViews>
    <sheetView zoomScalePageLayoutView="0" workbookViewId="0" topLeftCell="A1">
      <pane xSplit="3" ySplit="1" topLeftCell="D17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1" sqref="A1:E162"/>
    </sheetView>
  </sheetViews>
  <sheetFormatPr defaultColWidth="11.57421875" defaultRowHeight="15"/>
  <cols>
    <col min="1" max="1" width="5.7109375" style="186" customWidth="1"/>
    <col min="2" max="2" width="12.28125" style="186" bestFit="1" customWidth="1"/>
    <col min="3" max="4" width="18.7109375" style="186" customWidth="1"/>
    <col min="5" max="5" width="15.421875" style="186" customWidth="1"/>
    <col min="6" max="6" width="14.7109375" style="186" customWidth="1"/>
    <col min="7" max="7" width="13.28125" style="186" bestFit="1" customWidth="1"/>
    <col min="8" max="16384" width="11.57421875" style="186" customWidth="1"/>
  </cols>
  <sheetData>
    <row r="1" spans="4:5" s="189" customFormat="1" ht="12.75">
      <c r="D1" s="212">
        <v>41912</v>
      </c>
      <c r="E1" s="212">
        <v>41547</v>
      </c>
    </row>
    <row r="2" spans="1:2" s="189" customFormat="1" ht="12.75">
      <c r="A2" s="189" t="s">
        <v>548</v>
      </c>
      <c r="B2" s="192" t="s">
        <v>547</v>
      </c>
    </row>
    <row r="3" spans="2:5" s="189" customFormat="1" ht="12.75">
      <c r="B3" s="189" t="s">
        <v>546</v>
      </c>
      <c r="D3" s="188">
        <v>6564050</v>
      </c>
      <c r="E3" s="188">
        <v>4991397</v>
      </c>
    </row>
    <row r="4" spans="2:5" s="189" customFormat="1" ht="12.75">
      <c r="B4" s="191" t="s">
        <v>578</v>
      </c>
      <c r="D4" s="188">
        <v>20589886</v>
      </c>
      <c r="E4" s="188">
        <v>19886770</v>
      </c>
    </row>
    <row r="5" spans="2:5" s="189" customFormat="1" ht="12.75">
      <c r="B5" s="189" t="s">
        <v>545</v>
      </c>
      <c r="D5" s="188">
        <v>375508</v>
      </c>
      <c r="E5" s="188">
        <v>478545</v>
      </c>
    </row>
    <row r="6" spans="2:5" s="189" customFormat="1" ht="12.75">
      <c r="B6" s="189" t="s">
        <v>544</v>
      </c>
      <c r="D6" s="188">
        <v>0</v>
      </c>
      <c r="E6" s="188">
        <v>0</v>
      </c>
    </row>
    <row r="7" spans="2:6" s="189" customFormat="1" ht="12.75">
      <c r="B7" s="189" t="s">
        <v>543</v>
      </c>
      <c r="D7" s="188">
        <v>0</v>
      </c>
      <c r="E7" s="188">
        <v>0</v>
      </c>
      <c r="F7" s="188"/>
    </row>
    <row r="8" spans="2:6" s="189" customFormat="1" ht="12.75">
      <c r="B8" s="189" t="s">
        <v>542</v>
      </c>
      <c r="D8" s="188">
        <f>-E9</f>
        <v>0</v>
      </c>
      <c r="E8" s="188">
        <v>0</v>
      </c>
      <c r="F8" s="188"/>
    </row>
    <row r="9" spans="2:5" s="189" customFormat="1" ht="12.75">
      <c r="B9" s="189" t="s">
        <v>541</v>
      </c>
      <c r="D9" s="188">
        <v>0</v>
      </c>
      <c r="E9" s="188">
        <v>0</v>
      </c>
    </row>
    <row r="10" spans="2:5" s="189" customFormat="1" ht="12.75">
      <c r="B10" s="189" t="s">
        <v>540</v>
      </c>
      <c r="D10" s="188">
        <v>0</v>
      </c>
      <c r="E10" s="188">
        <v>0</v>
      </c>
    </row>
    <row r="11" spans="2:5" s="189" customFormat="1" ht="12.75">
      <c r="B11" s="189" t="s">
        <v>539</v>
      </c>
      <c r="D11" s="188">
        <v>0</v>
      </c>
      <c r="E11" s="188">
        <v>0</v>
      </c>
    </row>
    <row r="12" spans="2:5" s="189" customFormat="1" ht="12.75">
      <c r="B12" s="189" t="s">
        <v>538</v>
      </c>
      <c r="D12" s="188">
        <v>0</v>
      </c>
      <c r="E12" s="188">
        <v>0</v>
      </c>
    </row>
    <row r="13" spans="2:5" s="189" customFormat="1" ht="12.75">
      <c r="B13" s="189" t="s">
        <v>537</v>
      </c>
      <c r="D13" s="188">
        <v>0</v>
      </c>
      <c r="E13" s="188">
        <v>0</v>
      </c>
    </row>
    <row r="14" spans="2:5" s="189" customFormat="1" ht="12.75">
      <c r="B14" s="189" t="s">
        <v>536</v>
      </c>
      <c r="D14" s="188"/>
      <c r="E14" s="188"/>
    </row>
    <row r="15" spans="2:5" s="189" customFormat="1" ht="12.75">
      <c r="B15" s="191" t="s">
        <v>535</v>
      </c>
      <c r="D15" s="188"/>
      <c r="E15" s="188"/>
    </row>
    <row r="16" spans="2:5" s="189" customFormat="1" ht="12.75">
      <c r="B16" s="189" t="s">
        <v>534</v>
      </c>
      <c r="D16" s="188">
        <v>672408</v>
      </c>
      <c r="E16" s="188">
        <f>872416+695846</f>
        <v>1568262</v>
      </c>
    </row>
    <row r="17" spans="2:5" s="189" customFormat="1" ht="12.75">
      <c r="B17" s="189" t="s">
        <v>533</v>
      </c>
      <c r="D17" s="188">
        <v>-2032757</v>
      </c>
      <c r="E17" s="188">
        <f>-301033-870614</f>
        <v>-1171647</v>
      </c>
    </row>
    <row r="18" spans="2:5" s="189" customFormat="1" ht="12.75">
      <c r="B18" s="189" t="s">
        <v>532</v>
      </c>
      <c r="D18" s="188">
        <v>0</v>
      </c>
      <c r="E18" s="188">
        <v>0</v>
      </c>
    </row>
    <row r="19" spans="2:5" s="189" customFormat="1" ht="12.75">
      <c r="B19" s="189" t="s">
        <v>531</v>
      </c>
      <c r="D19" s="188">
        <v>0</v>
      </c>
      <c r="E19" s="188">
        <v>0</v>
      </c>
    </row>
    <row r="20" spans="2:5" s="189" customFormat="1" ht="12.75">
      <c r="B20" s="189" t="s">
        <v>530</v>
      </c>
      <c r="D20" s="188">
        <f>-4781451-276978</f>
        <v>-5058429</v>
      </c>
      <c r="E20" s="188">
        <v>-6141031</v>
      </c>
    </row>
    <row r="21" spans="2:5" s="189" customFormat="1" ht="12.75">
      <c r="B21" s="192" t="s">
        <v>189</v>
      </c>
      <c r="C21" s="192"/>
      <c r="D21" s="190">
        <f>SUM(D3:D20)</f>
        <v>21110666</v>
      </c>
      <c r="E21" s="190">
        <f>SUM(E3:E20)</f>
        <v>19612296</v>
      </c>
    </row>
    <row r="22" spans="4:5" s="189" customFormat="1" ht="12.75">
      <c r="D22" s="188"/>
      <c r="E22" s="188"/>
    </row>
    <row r="23" spans="2:5" s="189" customFormat="1" ht="12.75">
      <c r="B23" s="192" t="s">
        <v>529</v>
      </c>
      <c r="D23" s="188"/>
      <c r="E23" s="188"/>
    </row>
    <row r="24" spans="2:5" s="189" customFormat="1" ht="12.75">
      <c r="B24" s="189" t="s">
        <v>528</v>
      </c>
      <c r="D24" s="188">
        <v>13688816</v>
      </c>
      <c r="E24" s="188">
        <v>11849936</v>
      </c>
    </row>
    <row r="25" spans="2:5" s="189" customFormat="1" ht="12.75">
      <c r="B25" s="189" t="s">
        <v>527</v>
      </c>
      <c r="D25" s="196">
        <v>-17262749</v>
      </c>
      <c r="E25" s="188">
        <v>-14543399</v>
      </c>
    </row>
    <row r="26" spans="2:5" s="189" customFormat="1" ht="12.75">
      <c r="B26" s="189" t="s">
        <v>526</v>
      </c>
      <c r="D26" s="188">
        <v>-13187942</v>
      </c>
      <c r="E26" s="188">
        <v>-12667751</v>
      </c>
    </row>
    <row r="27" spans="2:5" s="189" customFormat="1" ht="12.75">
      <c r="B27" s="192" t="s">
        <v>189</v>
      </c>
      <c r="D27" s="190">
        <f>SUM(D24:D26)</f>
        <v>-16761875</v>
      </c>
      <c r="E27" s="190">
        <f>SUM(E24:E26)</f>
        <v>-15361214</v>
      </c>
    </row>
    <row r="28" spans="4:5" s="189" customFormat="1" ht="12.75">
      <c r="D28" s="188"/>
      <c r="E28" s="188"/>
    </row>
    <row r="29" spans="2:5" s="189" customFormat="1" ht="12.75">
      <c r="B29" s="192" t="s">
        <v>525</v>
      </c>
      <c r="D29" s="188"/>
      <c r="E29" s="188"/>
    </row>
    <row r="30" spans="2:5" s="189" customFormat="1" ht="12.75">
      <c r="B30" s="191" t="s">
        <v>524</v>
      </c>
      <c r="D30" s="188">
        <v>-31500</v>
      </c>
      <c r="E30" s="188">
        <v>-33017</v>
      </c>
    </row>
    <row r="31" spans="2:5" s="189" customFormat="1" ht="12.75">
      <c r="B31" s="189" t="s">
        <v>523</v>
      </c>
      <c r="D31" s="188">
        <v>-19726</v>
      </c>
      <c r="E31" s="188">
        <v>-19813</v>
      </c>
    </row>
    <row r="32" spans="2:5" s="189" customFormat="1" ht="12.75">
      <c r="B32" s="195" t="s">
        <v>522</v>
      </c>
      <c r="D32" s="188">
        <v>0</v>
      </c>
      <c r="E32" s="188">
        <v>0</v>
      </c>
    </row>
    <row r="33" spans="2:5" s="189" customFormat="1" ht="12.75">
      <c r="B33" s="195" t="s">
        <v>521</v>
      </c>
      <c r="D33" s="188">
        <v>0</v>
      </c>
      <c r="E33" s="188">
        <v>0</v>
      </c>
    </row>
    <row r="34" spans="2:5" s="189" customFormat="1" ht="12.75">
      <c r="B34" s="189" t="s">
        <v>520</v>
      </c>
      <c r="D34" s="188">
        <v>-524594</v>
      </c>
      <c r="E34" s="188">
        <v>-511946</v>
      </c>
    </row>
    <row r="35" spans="2:5" s="189" customFormat="1" ht="12.75">
      <c r="B35" s="189" t="s">
        <v>519</v>
      </c>
      <c r="D35" s="188">
        <v>-45671</v>
      </c>
      <c r="E35" s="188">
        <v>-44092</v>
      </c>
    </row>
    <row r="36" spans="2:5" s="189" customFormat="1" ht="12.75">
      <c r="B36" s="189" t="s">
        <v>518</v>
      </c>
      <c r="D36" s="188">
        <v>-23454</v>
      </c>
      <c r="E36" s="188">
        <v>-17163</v>
      </c>
    </row>
    <row r="37" spans="2:5" s="189" customFormat="1" ht="12.75">
      <c r="B37" s="189" t="s">
        <v>517</v>
      </c>
      <c r="D37" s="188">
        <v>-2745</v>
      </c>
      <c r="E37" s="188">
        <v>0</v>
      </c>
    </row>
    <row r="38" spans="2:5" s="189" customFormat="1" ht="12.75">
      <c r="B38" s="189" t="s">
        <v>516</v>
      </c>
      <c r="D38" s="188">
        <v>0</v>
      </c>
      <c r="E38" s="188">
        <v>0</v>
      </c>
    </row>
    <row r="39" spans="2:5" s="189" customFormat="1" ht="12.75">
      <c r="B39" s="189" t="s">
        <v>515</v>
      </c>
      <c r="D39" s="188">
        <v>-315000</v>
      </c>
      <c r="E39" s="188">
        <v>-315000</v>
      </c>
    </row>
    <row r="40" spans="2:5" s="189" customFormat="1" ht="12.75">
      <c r="B40" s="189" t="s">
        <v>514</v>
      </c>
      <c r="D40" s="188">
        <v>0</v>
      </c>
      <c r="E40" s="188">
        <v>0</v>
      </c>
    </row>
    <row r="41" spans="2:6" s="189" customFormat="1" ht="12.75">
      <c r="B41" s="189" t="s">
        <v>513</v>
      </c>
      <c r="D41" s="188">
        <v>-280144</v>
      </c>
      <c r="E41" s="188">
        <v>-338795</v>
      </c>
      <c r="F41" s="188"/>
    </row>
    <row r="42" spans="2:5" s="189" customFormat="1" ht="12.75">
      <c r="B42" s="189" t="s">
        <v>142</v>
      </c>
      <c r="D42" s="188">
        <v>-91012</v>
      </c>
      <c r="E42" s="188">
        <v>-87303</v>
      </c>
    </row>
    <row r="43" spans="2:5" s="189" customFormat="1" ht="12.75">
      <c r="B43" s="191" t="s">
        <v>556</v>
      </c>
      <c r="D43" s="188">
        <v>39344</v>
      </c>
      <c r="E43" s="188">
        <v>13637</v>
      </c>
    </row>
    <row r="44" spans="2:5" s="189" customFormat="1" ht="12.75">
      <c r="B44" s="189" t="s">
        <v>512</v>
      </c>
      <c r="D44" s="188">
        <v>0</v>
      </c>
      <c r="E44" s="188">
        <v>0</v>
      </c>
    </row>
    <row r="45" spans="2:5" s="189" customFormat="1" ht="12.75">
      <c r="B45" s="189" t="s">
        <v>511</v>
      </c>
      <c r="D45" s="188">
        <v>0</v>
      </c>
      <c r="E45" s="188">
        <v>0</v>
      </c>
    </row>
    <row r="46" spans="2:5" s="189" customFormat="1" ht="12.75">
      <c r="B46" s="189" t="s">
        <v>510</v>
      </c>
      <c r="D46" s="188">
        <v>23811</v>
      </c>
      <c r="E46" s="188">
        <v>20502</v>
      </c>
    </row>
    <row r="47" spans="2:5" s="189" customFormat="1" ht="12.75">
      <c r="B47" s="189" t="s">
        <v>509</v>
      </c>
      <c r="D47" s="188">
        <v>0</v>
      </c>
      <c r="E47" s="188">
        <v>0</v>
      </c>
    </row>
    <row r="48" spans="2:5" s="189" customFormat="1" ht="12.75">
      <c r="B48" s="191" t="s">
        <v>579</v>
      </c>
      <c r="D48" s="188">
        <v>0</v>
      </c>
      <c r="E48" s="188">
        <v>0</v>
      </c>
    </row>
    <row r="49" spans="2:5" s="189" customFormat="1" ht="12.75">
      <c r="B49" s="191" t="s">
        <v>580</v>
      </c>
      <c r="D49" s="188">
        <v>65946</v>
      </c>
      <c r="E49" s="188">
        <v>58127</v>
      </c>
    </row>
    <row r="50" spans="4:5" s="189" customFormat="1" ht="12.75">
      <c r="D50" s="188"/>
      <c r="E50" s="188"/>
    </row>
    <row r="51" spans="4:6" s="189" customFormat="1" ht="12.75">
      <c r="D51" s="190">
        <f>SUM(D30:D49)</f>
        <v>-1204745</v>
      </c>
      <c r="E51" s="190">
        <f>SUM(E30:E49)</f>
        <v>-1274863</v>
      </c>
      <c r="F51" s="189">
        <v>-254610950</v>
      </c>
    </row>
    <row r="52" spans="2:5" s="189" customFormat="1" ht="12.75">
      <c r="B52" s="192" t="s">
        <v>508</v>
      </c>
      <c r="D52" s="188"/>
      <c r="E52" s="188"/>
    </row>
    <row r="53" spans="2:5" s="189" customFormat="1" ht="12.75">
      <c r="B53" s="189" t="s">
        <v>588</v>
      </c>
      <c r="D53" s="188">
        <v>0</v>
      </c>
      <c r="E53" s="188">
        <v>67846</v>
      </c>
    </row>
    <row r="54" spans="2:5" s="189" customFormat="1" ht="12.75">
      <c r="B54" s="189" t="s">
        <v>589</v>
      </c>
      <c r="D54" s="188">
        <v>-258910</v>
      </c>
      <c r="E54" s="188">
        <v>-198577</v>
      </c>
    </row>
    <row r="55" spans="2:5" s="189" customFormat="1" ht="12.75">
      <c r="B55" s="189" t="s">
        <v>595</v>
      </c>
      <c r="D55" s="188">
        <v>-63065</v>
      </c>
      <c r="E55" s="188">
        <v>0</v>
      </c>
    </row>
    <row r="56" spans="2:5" s="189" customFormat="1" ht="12.75">
      <c r="B56" s="189" t="s">
        <v>590</v>
      </c>
      <c r="D56" s="188">
        <v>219575</v>
      </c>
      <c r="E56" s="188">
        <v>186374</v>
      </c>
    </row>
    <row r="57" spans="2:5" s="189" customFormat="1" ht="12.75">
      <c r="B57" s="189" t="s">
        <v>507</v>
      </c>
      <c r="D57" s="188">
        <v>0</v>
      </c>
      <c r="E57" s="188">
        <v>0</v>
      </c>
    </row>
    <row r="58" spans="2:5" s="189" customFormat="1" ht="12.75">
      <c r="B58" s="189" t="s">
        <v>506</v>
      </c>
      <c r="D58" s="188">
        <v>0</v>
      </c>
      <c r="E58" s="188">
        <v>0</v>
      </c>
    </row>
    <row r="59" spans="2:5" s="189" customFormat="1" ht="12.75">
      <c r="B59" s="189" t="s">
        <v>581</v>
      </c>
      <c r="D59" s="188">
        <v>0</v>
      </c>
      <c r="E59" s="188">
        <v>0</v>
      </c>
    </row>
    <row r="60" spans="2:5" s="189" customFormat="1" ht="12.75">
      <c r="B60" s="189" t="s">
        <v>582</v>
      </c>
      <c r="D60" s="188">
        <v>0</v>
      </c>
      <c r="E60" s="188">
        <v>0</v>
      </c>
    </row>
    <row r="61" spans="2:5" s="189" customFormat="1" ht="12.75">
      <c r="B61" s="189" t="s">
        <v>505</v>
      </c>
      <c r="D61" s="188">
        <f>-35767-7998-20004</f>
        <v>-63769</v>
      </c>
      <c r="E61" s="188">
        <f>-31695-30604-15918</f>
        <v>-78217</v>
      </c>
    </row>
    <row r="62" spans="4:5" s="189" customFormat="1" ht="12.75">
      <c r="D62" s="190">
        <f>SUM(D53:D61)</f>
        <v>-166169</v>
      </c>
      <c r="E62" s="190">
        <f>SUM(E53:E61)</f>
        <v>-22574</v>
      </c>
    </row>
    <row r="63" spans="4:5" s="189" customFormat="1" ht="12.75">
      <c r="D63" s="188"/>
      <c r="E63" s="188"/>
    </row>
    <row r="64" spans="2:5" s="189" customFormat="1" ht="12.75">
      <c r="B64" s="192" t="s">
        <v>504</v>
      </c>
      <c r="D64" s="188"/>
      <c r="E64" s="188"/>
    </row>
    <row r="65" spans="2:5" s="189" customFormat="1" ht="12.75">
      <c r="B65" s="189" t="s">
        <v>503</v>
      </c>
      <c r="D65" s="188">
        <f>-4771400-307500-20004</f>
        <v>-5098904</v>
      </c>
      <c r="E65" s="188">
        <f>-4201913-288084-15918</f>
        <v>-4505915</v>
      </c>
    </row>
    <row r="66" spans="2:5" s="189" customFormat="1" ht="12.75">
      <c r="B66" s="189" t="s">
        <v>502</v>
      </c>
      <c r="D66" s="188">
        <v>0</v>
      </c>
      <c r="E66" s="188">
        <v>0</v>
      </c>
    </row>
    <row r="67" spans="2:5" s="189" customFormat="1" ht="12.75">
      <c r="B67" s="189" t="s">
        <v>501</v>
      </c>
      <c r="D67" s="188">
        <v>0</v>
      </c>
      <c r="E67" s="188">
        <v>0</v>
      </c>
    </row>
    <row r="68" spans="2:5" s="189" customFormat="1" ht="12.75">
      <c r="B68" s="189" t="s">
        <v>500</v>
      </c>
      <c r="D68" s="188">
        <v>0</v>
      </c>
      <c r="E68" s="188">
        <v>0</v>
      </c>
    </row>
    <row r="69" spans="2:5" s="189" customFormat="1" ht="12.75">
      <c r="B69" s="191" t="s">
        <v>499</v>
      </c>
      <c r="D69" s="188">
        <v>307500</v>
      </c>
      <c r="E69" s="188">
        <v>288084</v>
      </c>
    </row>
    <row r="70" spans="2:5" s="189" customFormat="1" ht="12.75">
      <c r="B70" s="189" t="s">
        <v>498</v>
      </c>
      <c r="D70" s="188">
        <f>-SUM(D34:D42)</f>
        <v>1282620</v>
      </c>
      <c r="E70" s="188">
        <f>-SUM(E34:E42)</f>
        <v>1314299</v>
      </c>
    </row>
    <row r="71" spans="2:5" s="189" customFormat="1" ht="12.75">
      <c r="B71" s="189" t="s">
        <v>497</v>
      </c>
      <c r="D71" s="188">
        <f>-D61</f>
        <v>63769</v>
      </c>
      <c r="E71" s="188">
        <f>-E61</f>
        <v>78217</v>
      </c>
    </row>
    <row r="72" spans="2:5" s="189" customFormat="1" ht="12.75">
      <c r="B72" s="189" t="s">
        <v>496</v>
      </c>
      <c r="D72" s="188">
        <v>0</v>
      </c>
      <c r="E72" s="188">
        <v>24103</v>
      </c>
    </row>
    <row r="73" spans="2:5" s="189" customFormat="1" ht="12.75">
      <c r="B73" s="189" t="s">
        <v>495</v>
      </c>
      <c r="D73" s="188">
        <v>0</v>
      </c>
      <c r="E73" s="188">
        <v>4586694</v>
      </c>
    </row>
    <row r="74" spans="2:5" s="189" customFormat="1" ht="12.75">
      <c r="B74" s="189" t="s">
        <v>494</v>
      </c>
      <c r="D74" s="188"/>
      <c r="E74" s="188">
        <v>0</v>
      </c>
    </row>
    <row r="75" spans="2:5" s="189" customFormat="1" ht="12.75">
      <c r="B75" s="189" t="s">
        <v>493</v>
      </c>
      <c r="D75" s="188">
        <v>0</v>
      </c>
      <c r="E75" s="188">
        <v>-5643562</v>
      </c>
    </row>
    <row r="76" spans="2:5" s="189" customFormat="1" ht="12.75">
      <c r="B76" s="189" t="s">
        <v>492</v>
      </c>
      <c r="D76" s="188">
        <f>795913-741593</f>
        <v>54320</v>
      </c>
      <c r="E76" s="188">
        <v>41677</v>
      </c>
    </row>
    <row r="77" spans="2:5" s="189" customFormat="1" ht="12.75">
      <c r="B77" s="189" t="s">
        <v>491</v>
      </c>
      <c r="D77" s="188">
        <f>-48400-128117-31403</f>
        <v>-207920</v>
      </c>
      <c r="E77" s="188">
        <f>-1445769+1340676</f>
        <v>-105093</v>
      </c>
    </row>
    <row r="78" spans="2:5" s="189" customFormat="1" ht="12.75">
      <c r="B78" s="191" t="s">
        <v>591</v>
      </c>
      <c r="D78" s="188">
        <v>-180306</v>
      </c>
      <c r="E78" s="188">
        <v>-226617</v>
      </c>
    </row>
    <row r="79" spans="2:5" s="189" customFormat="1" ht="12.75">
      <c r="B79" s="191" t="s">
        <v>593</v>
      </c>
      <c r="D79" s="188">
        <v>0</v>
      </c>
      <c r="E79" s="188">
        <v>-11059</v>
      </c>
    </row>
    <row r="80" spans="2:5" s="189" customFormat="1" ht="12.75">
      <c r="B80" s="191" t="s">
        <v>592</v>
      </c>
      <c r="D80" s="188">
        <v>351434</v>
      </c>
      <c r="E80" s="188">
        <v>288406</v>
      </c>
    </row>
    <row r="81" spans="2:5" s="189" customFormat="1" ht="12.75">
      <c r="B81" s="189" t="s">
        <v>490</v>
      </c>
      <c r="D81" s="188">
        <f>-E82</f>
        <v>0</v>
      </c>
      <c r="E81" s="188">
        <v>0</v>
      </c>
    </row>
    <row r="82" spans="2:5" s="189" customFormat="1" ht="12.75">
      <c r="B82" s="189" t="s">
        <v>489</v>
      </c>
      <c r="D82" s="188">
        <v>0</v>
      </c>
      <c r="E82" s="188">
        <v>0</v>
      </c>
    </row>
    <row r="83" spans="2:5" s="189" customFormat="1" ht="12.75">
      <c r="B83" s="191" t="s">
        <v>594</v>
      </c>
      <c r="D83" s="188">
        <v>0</v>
      </c>
      <c r="E83" s="188">
        <v>10918</v>
      </c>
    </row>
    <row r="84" spans="2:5" s="189" customFormat="1" ht="12.75">
      <c r="B84" s="189" t="s">
        <v>488</v>
      </c>
      <c r="D84" s="188">
        <f>-E85</f>
        <v>0</v>
      </c>
      <c r="E84" s="188">
        <v>0</v>
      </c>
    </row>
    <row r="85" spans="2:5" s="189" customFormat="1" ht="12.75">
      <c r="B85" s="189" t="s">
        <v>487</v>
      </c>
      <c r="D85" s="188">
        <v>0</v>
      </c>
      <c r="E85" s="188">
        <v>0</v>
      </c>
    </row>
    <row r="86" spans="2:5" s="189" customFormat="1" ht="12.75">
      <c r="B86" s="189" t="s">
        <v>486</v>
      </c>
      <c r="D86" s="188">
        <v>0</v>
      </c>
      <c r="E86" s="188">
        <v>0</v>
      </c>
    </row>
    <row r="87" spans="2:5" s="189" customFormat="1" ht="12.75">
      <c r="B87" s="189" t="s">
        <v>485</v>
      </c>
      <c r="D87" s="188">
        <v>0</v>
      </c>
      <c r="E87" s="188">
        <v>0</v>
      </c>
    </row>
    <row r="88" spans="2:5" s="189" customFormat="1" ht="12.75">
      <c r="B88" s="189" t="s">
        <v>484</v>
      </c>
      <c r="D88" s="188">
        <f>-E89</f>
        <v>0</v>
      </c>
      <c r="E88" s="213">
        <v>0</v>
      </c>
    </row>
    <row r="89" spans="2:5" s="189" customFormat="1" ht="12.75">
      <c r="B89" s="189" t="s">
        <v>483</v>
      </c>
      <c r="D89" s="188">
        <v>0</v>
      </c>
      <c r="E89" s="188">
        <v>0</v>
      </c>
    </row>
    <row r="90" spans="2:5" s="189" customFormat="1" ht="12.75">
      <c r="B90" s="189" t="s">
        <v>482</v>
      </c>
      <c r="D90" s="188">
        <f>-E91</f>
        <v>0</v>
      </c>
      <c r="E90" s="188">
        <v>0</v>
      </c>
    </row>
    <row r="91" spans="2:5" s="189" customFormat="1" ht="12.75">
      <c r="B91" s="189" t="s">
        <v>481</v>
      </c>
      <c r="D91" s="188">
        <v>0</v>
      </c>
      <c r="E91" s="188">
        <v>0</v>
      </c>
    </row>
    <row r="92" spans="2:5" s="189" customFormat="1" ht="12.75">
      <c r="B92" s="189" t="s">
        <v>480</v>
      </c>
      <c r="D92" s="188">
        <v>0</v>
      </c>
      <c r="E92" s="188">
        <v>0</v>
      </c>
    </row>
    <row r="93" spans="2:5" s="189" customFormat="1" ht="12.75">
      <c r="B93" s="189" t="s">
        <v>479</v>
      </c>
      <c r="D93" s="188">
        <v>0</v>
      </c>
      <c r="E93" s="188">
        <v>0</v>
      </c>
    </row>
    <row r="94" spans="2:5" s="189" customFormat="1" ht="12.75">
      <c r="B94" s="189" t="s">
        <v>478</v>
      </c>
      <c r="D94" s="188">
        <v>0</v>
      </c>
      <c r="E94" s="188">
        <v>0</v>
      </c>
    </row>
    <row r="95" spans="2:5" s="189" customFormat="1" ht="12.75">
      <c r="B95" s="189" t="s">
        <v>477</v>
      </c>
      <c r="D95" s="188">
        <f>+'[1]BalanceGeneral'!G116</f>
        <v>0</v>
      </c>
      <c r="E95" s="188">
        <v>0</v>
      </c>
    </row>
    <row r="96" spans="2:5" s="189" customFormat="1" ht="12.75">
      <c r="B96" s="189" t="s">
        <v>476</v>
      </c>
      <c r="D96" s="188">
        <v>0</v>
      </c>
      <c r="E96" s="188">
        <v>0</v>
      </c>
    </row>
    <row r="97" spans="2:5" s="189" customFormat="1" ht="12.75">
      <c r="B97" s="189" t="s">
        <v>475</v>
      </c>
      <c r="D97" s="188">
        <v>0</v>
      </c>
      <c r="E97" s="188">
        <v>0</v>
      </c>
    </row>
    <row r="98" spans="2:5" s="189" customFormat="1" ht="12.75">
      <c r="B98" s="189" t="s">
        <v>474</v>
      </c>
      <c r="D98" s="188">
        <f>-E99</f>
        <v>0</v>
      </c>
      <c r="E98" s="188">
        <v>0</v>
      </c>
    </row>
    <row r="99" spans="2:5" s="189" customFormat="1" ht="12.75">
      <c r="B99" s="189" t="s">
        <v>473</v>
      </c>
      <c r="D99" s="188">
        <v>0</v>
      </c>
      <c r="E99" s="188">
        <v>0</v>
      </c>
    </row>
    <row r="100" spans="4:7" s="189" customFormat="1" ht="12.75">
      <c r="D100" s="190">
        <f>SUM(D65:D99)</f>
        <v>-3427487</v>
      </c>
      <c r="E100" s="190">
        <f>SUM(E65:E99)</f>
        <v>-3859848</v>
      </c>
      <c r="F100" s="189">
        <v>-1620887014</v>
      </c>
      <c r="G100" s="188" t="e">
        <f>-#REF!+F100</f>
        <v>#REF!</v>
      </c>
    </row>
    <row r="101" spans="4:5" s="189" customFormat="1" ht="12.75">
      <c r="D101" s="188"/>
      <c r="E101" s="188"/>
    </row>
    <row r="102" spans="2:5" s="189" customFormat="1" ht="12.75">
      <c r="B102" s="192" t="s">
        <v>27</v>
      </c>
      <c r="D102" s="188"/>
      <c r="E102" s="188"/>
    </row>
    <row r="103" spans="2:5" s="189" customFormat="1" ht="12.75">
      <c r="B103" s="189" t="s">
        <v>472</v>
      </c>
      <c r="D103" s="188">
        <v>-20235</v>
      </c>
      <c r="E103" s="188">
        <v>-96400</v>
      </c>
    </row>
    <row r="104" spans="2:5" s="189" customFormat="1" ht="12.75">
      <c r="B104" s="189" t="s">
        <v>471</v>
      </c>
      <c r="D104" s="188">
        <v>219575</v>
      </c>
      <c r="E104" s="188">
        <v>178424</v>
      </c>
    </row>
    <row r="105" spans="2:5" s="189" customFormat="1" ht="12.75">
      <c r="B105" s="189" t="s">
        <v>470</v>
      </c>
      <c r="D105" s="188">
        <v>0</v>
      </c>
      <c r="E105" s="188">
        <v>0</v>
      </c>
    </row>
    <row r="106" spans="2:5" s="189" customFormat="1" ht="12.75">
      <c r="B106" s="189" t="s">
        <v>469</v>
      </c>
      <c r="D106" s="188">
        <v>0</v>
      </c>
      <c r="E106" s="188">
        <v>0</v>
      </c>
    </row>
    <row r="107" spans="2:5" s="189" customFormat="1" ht="12.75">
      <c r="B107" s="189" t="s">
        <v>468</v>
      </c>
      <c r="D107" s="188">
        <v>-213000</v>
      </c>
      <c r="E107" s="188">
        <v>-178424</v>
      </c>
    </row>
    <row r="108" spans="4:6" s="189" customFormat="1" ht="12.75">
      <c r="D108" s="190">
        <f>SUM(D103:D107)</f>
        <v>-13660</v>
      </c>
      <c r="E108" s="190">
        <f>SUM(E103:E107)</f>
        <v>-96400</v>
      </c>
      <c r="F108" s="189">
        <v>-186463674</v>
      </c>
    </row>
    <row r="109" spans="4:5" s="189" customFormat="1" ht="12.75">
      <c r="D109" s="188"/>
      <c r="E109" s="188"/>
    </row>
    <row r="110" spans="2:5" s="189" customFormat="1" ht="12.75">
      <c r="B110" s="192" t="s">
        <v>467</v>
      </c>
      <c r="D110" s="188"/>
      <c r="E110" s="188"/>
    </row>
    <row r="111" spans="2:5" s="189" customFormat="1" ht="12.75">
      <c r="B111" s="189" t="s">
        <v>466</v>
      </c>
      <c r="D111" s="188">
        <v>9692222</v>
      </c>
      <c r="E111" s="188">
        <v>8030229</v>
      </c>
    </row>
    <row r="112" spans="2:5" s="189" customFormat="1" ht="12.75">
      <c r="B112" s="189" t="s">
        <v>465</v>
      </c>
      <c r="D112" s="188">
        <v>-9633976</v>
      </c>
      <c r="E112" s="188">
        <v>-9464869</v>
      </c>
    </row>
    <row r="113" spans="2:5" s="189" customFormat="1" ht="12.75">
      <c r="B113" s="191" t="s">
        <v>464</v>
      </c>
      <c r="D113" s="188"/>
      <c r="E113" s="188"/>
    </row>
    <row r="114" spans="2:5" s="189" customFormat="1" ht="12.75">
      <c r="B114" s="189" t="s">
        <v>463</v>
      </c>
      <c r="D114" s="188"/>
      <c r="E114" s="188"/>
    </row>
    <row r="115" spans="2:5" s="189" customFormat="1" ht="12.75">
      <c r="B115" s="191" t="s">
        <v>462</v>
      </c>
      <c r="D115" s="188">
        <v>0</v>
      </c>
      <c r="E115" s="188">
        <v>0</v>
      </c>
    </row>
    <row r="116" spans="2:5" s="189" customFormat="1" ht="12.75">
      <c r="B116" s="189" t="s">
        <v>461</v>
      </c>
      <c r="D116" s="188">
        <v>0</v>
      </c>
      <c r="E116" s="188">
        <v>0</v>
      </c>
    </row>
    <row r="117" spans="2:5" s="189" customFormat="1" ht="12.75">
      <c r="B117" s="189" t="s">
        <v>460</v>
      </c>
      <c r="D117" s="188">
        <v>-3935768</v>
      </c>
      <c r="E117" s="188">
        <v>-3609358</v>
      </c>
    </row>
    <row r="118" spans="2:5" s="189" customFormat="1" ht="12.75">
      <c r="B118" s="189" t="s">
        <v>459</v>
      </c>
      <c r="D118" s="188">
        <v>3935768</v>
      </c>
      <c r="E118" s="188">
        <v>3609358</v>
      </c>
    </row>
    <row r="119" spans="2:5" s="189" customFormat="1" ht="12.75">
      <c r="B119" s="189" t="s">
        <v>458</v>
      </c>
      <c r="D119" s="188">
        <v>0</v>
      </c>
      <c r="E119" s="188">
        <v>0</v>
      </c>
    </row>
    <row r="120" spans="2:5" s="189" customFormat="1" ht="12.75">
      <c r="B120" s="189" t="s">
        <v>457</v>
      </c>
      <c r="D120" s="188">
        <v>0</v>
      </c>
      <c r="E120" s="188">
        <v>1516500</v>
      </c>
    </row>
    <row r="121" spans="2:5" s="189" customFormat="1" ht="12.75">
      <c r="B121" s="189" t="s">
        <v>456</v>
      </c>
      <c r="D121" s="188">
        <v>0</v>
      </c>
      <c r="E121" s="188">
        <v>0</v>
      </c>
    </row>
    <row r="122" spans="4:7" s="189" customFormat="1" ht="12.75">
      <c r="D122" s="190">
        <f>SUM(D111:D121)</f>
        <v>58246</v>
      </c>
      <c r="E122" s="190">
        <f>SUM(E111:E121)</f>
        <v>81860</v>
      </c>
      <c r="F122" s="189">
        <v>-396632815</v>
      </c>
      <c r="G122" s="188" t="e">
        <f>-#REF!+F122</f>
        <v>#REF!</v>
      </c>
    </row>
    <row r="123" spans="4:5" s="189" customFormat="1" ht="12.75">
      <c r="D123" s="190"/>
      <c r="E123" s="190"/>
    </row>
    <row r="124" spans="2:5" s="189" customFormat="1" ht="12.75">
      <c r="B124" s="192" t="s">
        <v>455</v>
      </c>
      <c r="D124" s="188"/>
      <c r="E124" s="188"/>
    </row>
    <row r="125" spans="2:5" s="189" customFormat="1" ht="12.75">
      <c r="B125" s="191" t="s">
        <v>454</v>
      </c>
      <c r="D125" s="188">
        <v>0</v>
      </c>
      <c r="E125" s="188">
        <v>0</v>
      </c>
    </row>
    <row r="126" spans="2:5" s="189" customFormat="1" ht="12.75">
      <c r="B126" s="191" t="s">
        <v>453</v>
      </c>
      <c r="D126" s="194">
        <v>0</v>
      </c>
      <c r="E126" s="194">
        <v>0</v>
      </c>
    </row>
    <row r="127" spans="2:5" s="189" customFormat="1" ht="12.75">
      <c r="B127" s="191"/>
      <c r="D127" s="190">
        <f>+D125+D126</f>
        <v>0</v>
      </c>
      <c r="E127" s="190">
        <v>0</v>
      </c>
    </row>
    <row r="128" spans="4:5" s="189" customFormat="1" ht="12.75">
      <c r="D128" s="190"/>
      <c r="E128" s="190"/>
    </row>
    <row r="129" spans="2:5" s="189" customFormat="1" ht="12.75">
      <c r="B129" s="192" t="s">
        <v>452</v>
      </c>
      <c r="D129" s="188"/>
      <c r="E129" s="188"/>
    </row>
    <row r="130" spans="2:5" s="189" customFormat="1" ht="12.75">
      <c r="B130" s="189" t="s">
        <v>451</v>
      </c>
      <c r="D130" s="188">
        <f>-15486953-1982484</f>
        <v>-17469437</v>
      </c>
      <c r="E130" s="188">
        <f>-9854922-4541860</f>
        <v>-14396782</v>
      </c>
    </row>
    <row r="131" spans="2:5" s="189" customFormat="1" ht="12.75">
      <c r="B131" s="189" t="s">
        <v>450</v>
      </c>
      <c r="D131" s="188">
        <f>13309345+164797+8100978</f>
        <v>21575120</v>
      </c>
      <c r="E131" s="188">
        <f>10640834+5465079</f>
        <v>16105913</v>
      </c>
    </row>
    <row r="132" spans="4:5" s="189" customFormat="1" ht="12.75">
      <c r="D132" s="190">
        <f>SUM(D130:D131)</f>
        <v>4105683</v>
      </c>
      <c r="E132" s="190">
        <f>SUM(E130:E131)</f>
        <v>1709131</v>
      </c>
    </row>
    <row r="133" spans="2:5" s="189" customFormat="1" ht="12.75">
      <c r="B133" s="189" t="s">
        <v>449</v>
      </c>
      <c r="D133" s="188">
        <v>-741593</v>
      </c>
      <c r="E133" s="188">
        <v>-923359</v>
      </c>
    </row>
    <row r="134" spans="2:5" s="189" customFormat="1" ht="12.75">
      <c r="B134" s="189" t="s">
        <v>448</v>
      </c>
      <c r="D134" s="188">
        <f>431652+349141+1800553</f>
        <v>2581346</v>
      </c>
      <c r="E134" s="188">
        <f>-2667+1340676</f>
        <v>1338009</v>
      </c>
    </row>
    <row r="135" spans="2:5" s="189" customFormat="1" ht="12.75">
      <c r="B135" s="189" t="s">
        <v>447</v>
      </c>
      <c r="D135" s="188">
        <f>-1758585-116692</f>
        <v>-1875277</v>
      </c>
      <c r="E135" s="188">
        <f>-1486425-89899</f>
        <v>-1576324</v>
      </c>
    </row>
    <row r="136" spans="2:5" s="189" customFormat="1" ht="12.75">
      <c r="B136" s="189" t="s">
        <v>446</v>
      </c>
      <c r="D136" s="188">
        <v>0</v>
      </c>
      <c r="E136" s="188">
        <v>0</v>
      </c>
    </row>
    <row r="137" spans="2:5" s="189" customFormat="1" ht="12.75">
      <c r="B137" s="189" t="s">
        <v>445</v>
      </c>
      <c r="D137" s="188">
        <f>-193959+107470</f>
        <v>-86489</v>
      </c>
      <c r="E137" s="188">
        <f>-2176-93529+357179</f>
        <v>261474</v>
      </c>
    </row>
    <row r="138" spans="4:5" s="189" customFormat="1" ht="12.75">
      <c r="D138" s="190">
        <f>SUM(D133:D137)</f>
        <v>-122013</v>
      </c>
      <c r="E138" s="190">
        <f>SUM(E133:E137)</f>
        <v>-900200</v>
      </c>
    </row>
    <row r="139" spans="2:5" s="189" customFormat="1" ht="12.75">
      <c r="B139" s="192" t="s">
        <v>189</v>
      </c>
      <c r="C139" s="192"/>
      <c r="D139" s="190">
        <f>D132+D138</f>
        <v>3983670</v>
      </c>
      <c r="E139" s="190">
        <f>E132+E138</f>
        <v>808931</v>
      </c>
    </row>
    <row r="140" spans="4:5" s="189" customFormat="1" ht="12.75">
      <c r="D140" s="188"/>
      <c r="E140" s="188"/>
    </row>
    <row r="141" spans="2:5" s="189" customFormat="1" ht="12.75">
      <c r="B141" s="192" t="s">
        <v>444</v>
      </c>
      <c r="D141" s="188"/>
      <c r="E141" s="188"/>
    </row>
    <row r="142" spans="2:5" s="189" customFormat="1" ht="12.75">
      <c r="B142" s="189" t="s">
        <v>443</v>
      </c>
      <c r="D142" s="188">
        <v>-4873459</v>
      </c>
      <c r="E142" s="188">
        <v>-4873459</v>
      </c>
    </row>
    <row r="143" spans="2:5" s="189" customFormat="1" ht="12.75">
      <c r="B143" s="189" t="s">
        <v>442</v>
      </c>
      <c r="D143" s="188">
        <v>7198861</v>
      </c>
      <c r="E143" s="188">
        <v>4873459</v>
      </c>
    </row>
    <row r="144" spans="2:5" s="189" customFormat="1" ht="12.75">
      <c r="B144" s="189" t="s">
        <v>441</v>
      </c>
      <c r="D144" s="188">
        <v>-2271041</v>
      </c>
      <c r="E144" s="188">
        <v>-2918696</v>
      </c>
    </row>
    <row r="145" spans="2:5" s="189" customFormat="1" ht="12.75">
      <c r="B145" s="189" t="s">
        <v>440</v>
      </c>
      <c r="D145" s="188">
        <v>-914891</v>
      </c>
      <c r="E145" s="188">
        <v>-792502</v>
      </c>
    </row>
    <row r="146" spans="2:5" s="189" customFormat="1" ht="12.75">
      <c r="B146" s="189" t="s">
        <v>439</v>
      </c>
      <c r="D146" s="188">
        <v>-10000000</v>
      </c>
      <c r="E146" s="188">
        <v>-10000000</v>
      </c>
    </row>
    <row r="147" spans="2:5" s="189" customFormat="1" ht="12.75">
      <c r="B147" s="189" t="s">
        <v>438</v>
      </c>
      <c r="D147" s="188">
        <v>10000000</v>
      </c>
      <c r="E147" s="188">
        <v>10000000</v>
      </c>
    </row>
    <row r="148" spans="2:5" s="189" customFormat="1" ht="12.75">
      <c r="B148" s="189" t="s">
        <v>437</v>
      </c>
      <c r="D148" s="188">
        <v>914891</v>
      </c>
      <c r="E148" s="188">
        <v>792502</v>
      </c>
    </row>
    <row r="149" spans="2:5" s="189" customFormat="1" ht="12.75">
      <c r="B149" s="189" t="s">
        <v>436</v>
      </c>
      <c r="D149" s="188">
        <v>0</v>
      </c>
      <c r="E149" s="188">
        <v>0</v>
      </c>
    </row>
    <row r="150" spans="2:5" s="189" customFormat="1" ht="12.75">
      <c r="B150" s="189" t="s">
        <v>435</v>
      </c>
      <c r="D150" s="188">
        <v>0</v>
      </c>
      <c r="E150" s="188">
        <v>0</v>
      </c>
    </row>
    <row r="151" spans="4:5" s="189" customFormat="1" ht="12.75">
      <c r="D151" s="193">
        <f>SUM(D142:D150)</f>
        <v>54361</v>
      </c>
      <c r="E151" s="193">
        <f>SUM(E142:E150)</f>
        <v>-2918696</v>
      </c>
    </row>
    <row r="152" spans="2:5" s="189" customFormat="1" ht="12.75">
      <c r="B152" s="192" t="s">
        <v>434</v>
      </c>
      <c r="D152" s="188"/>
      <c r="E152" s="188"/>
    </row>
    <row r="153" spans="2:5" s="189" customFormat="1" ht="12.75">
      <c r="B153" s="189" t="s">
        <v>433</v>
      </c>
      <c r="D153" s="188">
        <v>-4844126</v>
      </c>
      <c r="E153" s="188">
        <v>-4329177</v>
      </c>
    </row>
    <row r="154" spans="2:5" s="189" customFormat="1" ht="12.75">
      <c r="B154" s="189" t="s">
        <v>432</v>
      </c>
      <c r="D154" s="188">
        <v>5151616</v>
      </c>
      <c r="E154" s="188">
        <v>4617261</v>
      </c>
    </row>
    <row r="155" spans="2:5" s="189" customFormat="1" ht="12.75">
      <c r="B155" s="191" t="s">
        <v>431</v>
      </c>
      <c r="D155" s="188">
        <f>-D69</f>
        <v>-307500</v>
      </c>
      <c r="E155" s="188">
        <v>-288084</v>
      </c>
    </row>
    <row r="156" spans="4:5" s="189" customFormat="1" ht="12.75">
      <c r="D156" s="190">
        <f>SUM(D153:D155)</f>
        <v>-10</v>
      </c>
      <c r="E156" s="190">
        <f>SUM(E153:E155)</f>
        <v>0</v>
      </c>
    </row>
    <row r="157" spans="4:5" s="189" customFormat="1" ht="12.75">
      <c r="D157" s="188"/>
      <c r="E157" s="188"/>
    </row>
    <row r="158" spans="4:5" s="189" customFormat="1" ht="12.75">
      <c r="D158" s="188">
        <f>D21+D27+D51+D62+D100+D108+D122+D127+D139+D151+D156</f>
        <v>3632997</v>
      </c>
      <c r="E158" s="188">
        <f>E21+E27+E51+E62+E100+E108+E122+E139+E156</f>
        <v>-111812</v>
      </c>
    </row>
    <row r="159" spans="2:5" s="189" customFormat="1" ht="12.75">
      <c r="B159" s="189" t="s">
        <v>430</v>
      </c>
      <c r="D159" s="188">
        <v>1062935</v>
      </c>
      <c r="E159" s="188">
        <f>180134+58825+577096</f>
        <v>816055</v>
      </c>
    </row>
    <row r="160" spans="2:5" s="189" customFormat="1" ht="12.75">
      <c r="B160" s="189" t="s">
        <v>189</v>
      </c>
      <c r="D160" s="190">
        <f>D158+D159</f>
        <v>4695932</v>
      </c>
      <c r="E160" s="190">
        <f>E158+E159</f>
        <v>704243</v>
      </c>
    </row>
    <row r="161" spans="2:5" ht="12.75">
      <c r="B161" s="189" t="s">
        <v>429</v>
      </c>
      <c r="C161" s="189"/>
      <c r="D161" s="188">
        <v>2807187</v>
      </c>
      <c r="E161" s="188">
        <v>648769</v>
      </c>
    </row>
    <row r="162" spans="2:5" ht="12.75">
      <c r="B162" s="189" t="s">
        <v>428</v>
      </c>
      <c r="C162" s="189"/>
      <c r="D162" s="188">
        <f>+D160-D161</f>
        <v>1888745</v>
      </c>
      <c r="E162" s="188">
        <f>+E160-E161</f>
        <v>55474</v>
      </c>
    </row>
    <row r="163" spans="4:5" ht="12.75">
      <c r="D163" s="187"/>
      <c r="E163" s="187"/>
    </row>
    <row r="164" spans="4:5" ht="12.75">
      <c r="D164" s="187"/>
      <c r="E164" s="187"/>
    </row>
    <row r="165" spans="4:5" ht="12.75">
      <c r="D165" s="187"/>
      <c r="E165" s="187"/>
    </row>
    <row r="166" spans="4:5" ht="12.75">
      <c r="D166" s="187"/>
      <c r="E166" s="187"/>
    </row>
    <row r="167" spans="4:5" ht="12.75">
      <c r="D167" s="187"/>
      <c r="E167" s="187"/>
    </row>
    <row r="168" spans="4:5" ht="12.75">
      <c r="D168" s="187"/>
      <c r="E168" s="187"/>
    </row>
    <row r="169" spans="4:5" ht="12.75">
      <c r="D169" s="187"/>
      <c r="E169" s="187"/>
    </row>
    <row r="170" spans="4:5" ht="12.75">
      <c r="D170" s="187"/>
      <c r="E170" s="187"/>
    </row>
    <row r="171" spans="4:5" ht="12.75">
      <c r="D171" s="187"/>
      <c r="E171" s="187"/>
    </row>
    <row r="172" spans="4:5" ht="12.75">
      <c r="D172" s="187"/>
      <c r="E172" s="187"/>
    </row>
    <row r="173" spans="4:5" ht="12.75">
      <c r="D173" s="187"/>
      <c r="E173" s="187"/>
    </row>
    <row r="174" ht="12.75">
      <c r="D174" s="187"/>
    </row>
    <row r="175" ht="12.75">
      <c r="D175" s="187"/>
    </row>
    <row r="176" ht="12.75">
      <c r="D176" s="187"/>
    </row>
    <row r="177" ht="12.75">
      <c r="D177" s="187"/>
    </row>
    <row r="178" ht="12.75">
      <c r="D178" s="187"/>
    </row>
    <row r="179" ht="12.75">
      <c r="D179" s="187"/>
    </row>
    <row r="180" ht="12.75">
      <c r="D180" s="187"/>
    </row>
    <row r="181" ht="12.75">
      <c r="D181" s="187"/>
    </row>
    <row r="182" ht="12.75">
      <c r="D182" s="187"/>
    </row>
    <row r="183" ht="12.75">
      <c r="D183" s="187"/>
    </row>
    <row r="184" ht="12.75">
      <c r="D184" s="187"/>
    </row>
    <row r="185" ht="12.75">
      <c r="D185" s="187"/>
    </row>
    <row r="186" ht="12.75">
      <c r="D186" s="187"/>
    </row>
    <row r="187" ht="12.75">
      <c r="D187" s="187"/>
    </row>
    <row r="188" ht="12.75">
      <c r="D188" s="187"/>
    </row>
    <row r="189" ht="12.75">
      <c r="D189" s="187"/>
    </row>
    <row r="190" ht="12.75">
      <c r="D190" s="187"/>
    </row>
    <row r="191" ht="12.75">
      <c r="D191" s="187"/>
    </row>
    <row r="192" ht="12.75">
      <c r="D192" s="187"/>
    </row>
    <row r="193" ht="12.75">
      <c r="D193" s="187"/>
    </row>
    <row r="194" ht="12.75">
      <c r="D194" s="187"/>
    </row>
    <row r="195" ht="12.75">
      <c r="D195" s="187"/>
    </row>
    <row r="196" ht="12.75">
      <c r="D196" s="187"/>
    </row>
    <row r="197" ht="12.75">
      <c r="D197" s="187"/>
    </row>
    <row r="198" ht="12.75">
      <c r="D198" s="187"/>
    </row>
    <row r="199" ht="12.75">
      <c r="D199" s="187"/>
    </row>
    <row r="200" ht="12.75">
      <c r="D200" s="187"/>
    </row>
    <row r="201" ht="12.75">
      <c r="D201" s="187"/>
    </row>
    <row r="202" ht="12.75">
      <c r="D202" s="187"/>
    </row>
    <row r="203" ht="12.75">
      <c r="D203" s="187"/>
    </row>
    <row r="204" ht="12.75">
      <c r="D204" s="187"/>
    </row>
    <row r="205" ht="12.75">
      <c r="D205" s="187"/>
    </row>
    <row r="206" ht="12.75">
      <c r="D206" s="187"/>
    </row>
    <row r="207" ht="12.75">
      <c r="D207" s="187"/>
    </row>
    <row r="208" ht="12.75">
      <c r="D208" s="187"/>
    </row>
    <row r="209" ht="12.75">
      <c r="D209" s="187"/>
    </row>
    <row r="210" ht="12.75">
      <c r="D210" s="187"/>
    </row>
    <row r="211" ht="12.75">
      <c r="D211" s="187"/>
    </row>
    <row r="212" ht="12.75">
      <c r="D212" s="187"/>
    </row>
    <row r="213" ht="12.75">
      <c r="D213" s="187"/>
    </row>
    <row r="214" ht="12.75">
      <c r="D214" s="187"/>
    </row>
    <row r="215" ht="12.75">
      <c r="D215" s="187"/>
    </row>
    <row r="216" ht="12.75">
      <c r="D216" s="187"/>
    </row>
    <row r="217" ht="12.75">
      <c r="D217" s="187"/>
    </row>
    <row r="218" ht="12.75">
      <c r="D218" s="187"/>
    </row>
    <row r="219" ht="12.75">
      <c r="D219" s="187"/>
    </row>
    <row r="220" ht="12.75">
      <c r="D220" s="187"/>
    </row>
    <row r="221" ht="12.75">
      <c r="D221" s="187"/>
    </row>
    <row r="222" ht="12.75">
      <c r="D222" s="187"/>
    </row>
    <row r="223" ht="12.75">
      <c r="D223" s="187"/>
    </row>
    <row r="224" ht="12.75">
      <c r="D224" s="187"/>
    </row>
    <row r="225" ht="12.75">
      <c r="D225" s="187"/>
    </row>
    <row r="226" ht="12.75">
      <c r="D226" s="187"/>
    </row>
    <row r="227" ht="12.75">
      <c r="D227" s="187"/>
    </row>
    <row r="228" ht="12.75">
      <c r="D228" s="187"/>
    </row>
    <row r="229" ht="12.75">
      <c r="D229" s="187"/>
    </row>
  </sheetData>
  <sheetProtection/>
  <printOptions/>
  <pageMargins left="0.7874015748031497" right="0.3937007874015748" top="0.7874015748031497" bottom="0.7874015748031497" header="0.5118110236220472" footer="0.5118110236220472"/>
  <pageSetup firstPageNumber="1" useFirstPageNumber="1" horizontalDpi="300" verticalDpi="300" orientation="portrait" paperSize="9" scale="75" r:id="rId1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P33"/>
  <sheetViews>
    <sheetView zoomScalePageLayoutView="0" workbookViewId="0" topLeftCell="A1">
      <selection activeCell="J27" sqref="J27"/>
    </sheetView>
  </sheetViews>
  <sheetFormatPr defaultColWidth="11.421875" defaultRowHeight="15"/>
  <cols>
    <col min="1" max="1" width="2.28125" style="0" customWidth="1"/>
    <col min="7" max="7" width="12.7109375" style="0" customWidth="1"/>
  </cols>
  <sheetData>
    <row r="1" spans="2:13" ht="26.25">
      <c r="B1" s="446" t="s">
        <v>0</v>
      </c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</row>
    <row r="3" spans="2:13" ht="21">
      <c r="B3" s="447" t="s">
        <v>783</v>
      </c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</row>
    <row r="4" spans="2:13" ht="21">
      <c r="B4" s="447" t="s">
        <v>768</v>
      </c>
      <c r="C4" s="447"/>
      <c r="D4" s="447"/>
      <c r="E4" s="447"/>
      <c r="F4" s="447"/>
      <c r="G4" s="447"/>
      <c r="H4" s="447"/>
      <c r="I4" s="447"/>
      <c r="J4" s="447"/>
      <c r="K4" s="447"/>
      <c r="L4" s="447"/>
      <c r="M4" s="447"/>
    </row>
    <row r="5" spans="2:13" ht="15">
      <c r="B5" s="427" t="s">
        <v>18</v>
      </c>
      <c r="C5" s="427"/>
      <c r="D5" s="427"/>
      <c r="E5" s="427"/>
      <c r="F5" s="427"/>
      <c r="G5" s="427"/>
      <c r="H5" s="427"/>
      <c r="I5" s="427"/>
      <c r="J5" s="427"/>
      <c r="K5" s="427"/>
      <c r="L5" s="427"/>
      <c r="M5" s="427"/>
    </row>
    <row r="7" spans="2:13" ht="15">
      <c r="B7" s="1" t="s">
        <v>1</v>
      </c>
      <c r="C7" s="2"/>
      <c r="D7" s="2"/>
      <c r="E7" s="3"/>
      <c r="F7" s="41">
        <v>44012</v>
      </c>
      <c r="G7" s="41">
        <v>43830</v>
      </c>
      <c r="H7" s="1" t="s">
        <v>2</v>
      </c>
      <c r="I7" s="2"/>
      <c r="J7" s="2"/>
      <c r="K7" s="3"/>
      <c r="L7" s="215">
        <v>44012</v>
      </c>
      <c r="M7" s="215">
        <v>43830</v>
      </c>
    </row>
    <row r="8" spans="2:13" ht="15">
      <c r="B8" s="5" t="s">
        <v>3</v>
      </c>
      <c r="C8" s="6"/>
      <c r="D8" s="6"/>
      <c r="E8" s="6"/>
      <c r="F8" s="7"/>
      <c r="G8" s="8"/>
      <c r="H8" s="7" t="s">
        <v>4</v>
      </c>
      <c r="I8" s="9"/>
      <c r="J8" s="9"/>
      <c r="K8" s="10"/>
      <c r="L8" s="10"/>
      <c r="M8" s="10"/>
    </row>
    <row r="9" spans="2:13" ht="15">
      <c r="B9" s="11" t="s">
        <v>399</v>
      </c>
      <c r="F9" s="12">
        <f>+NOTAS!F57</f>
        <v>2364941</v>
      </c>
      <c r="G9" s="12">
        <f>+NOTAS!G57</f>
        <v>660222</v>
      </c>
      <c r="H9" s="12" t="s">
        <v>633</v>
      </c>
      <c r="I9" s="13"/>
      <c r="J9" s="13"/>
      <c r="K9" s="14"/>
      <c r="L9" s="14">
        <f>+NOTAS!E260</f>
        <v>291278</v>
      </c>
      <c r="M9" s="14">
        <f>+NOTAS!G260</f>
        <v>543710</v>
      </c>
    </row>
    <row r="10" spans="2:13" ht="15">
      <c r="B10" s="11" t="s">
        <v>625</v>
      </c>
      <c r="F10" s="12">
        <v>0</v>
      </c>
      <c r="G10" s="12">
        <v>0</v>
      </c>
      <c r="H10" s="12" t="s">
        <v>635</v>
      </c>
      <c r="I10" s="13"/>
      <c r="J10" s="13"/>
      <c r="K10" s="14"/>
      <c r="L10" s="14">
        <f>+NOTAS!E283</f>
        <v>13292979</v>
      </c>
      <c r="M10" s="14">
        <f>+NOTAS!G283</f>
        <v>17919422</v>
      </c>
    </row>
    <row r="11" spans="2:13" ht="15">
      <c r="B11" s="11" t="s">
        <v>400</v>
      </c>
      <c r="F11" s="12">
        <f>+NOTAS!E107</f>
        <v>4479196</v>
      </c>
      <c r="G11" s="12">
        <f>+NOTAS!G107</f>
        <v>5806742</v>
      </c>
      <c r="H11" s="12" t="s">
        <v>638</v>
      </c>
      <c r="I11" s="13"/>
      <c r="J11" s="13"/>
      <c r="K11" s="14"/>
      <c r="L11" s="14">
        <f>+NOTAS!E324</f>
        <v>114398</v>
      </c>
      <c r="M11" s="14">
        <v>35419</v>
      </c>
    </row>
    <row r="12" spans="2:13" ht="15">
      <c r="B12" s="11" t="s">
        <v>401</v>
      </c>
      <c r="F12" s="12">
        <f>+NOTAS!E183</f>
        <v>4163313</v>
      </c>
      <c r="G12" s="12">
        <f>+NOTAS!G183</f>
        <v>4211721</v>
      </c>
      <c r="H12" s="12" t="s">
        <v>5</v>
      </c>
      <c r="I12" s="13"/>
      <c r="J12" s="13"/>
      <c r="K12" s="14"/>
      <c r="L12" s="14">
        <v>5596</v>
      </c>
      <c r="M12" s="14">
        <v>15099</v>
      </c>
    </row>
    <row r="13" spans="2:13" ht="15">
      <c r="B13" s="11" t="s">
        <v>402</v>
      </c>
      <c r="F13" s="12">
        <f>+NOTAS!E197</f>
        <v>25432633</v>
      </c>
      <c r="G13" s="12">
        <f>+NOTAS!G197</f>
        <v>25598205</v>
      </c>
      <c r="H13" s="12" t="s">
        <v>6</v>
      </c>
      <c r="I13" s="13"/>
      <c r="J13" s="13"/>
      <c r="K13" s="14"/>
      <c r="L13" s="14">
        <v>0</v>
      </c>
      <c r="M13" s="14">
        <v>0</v>
      </c>
    </row>
    <row r="14" spans="2:13" ht="15">
      <c r="B14" s="11" t="s">
        <v>403</v>
      </c>
      <c r="F14" s="12">
        <f>+NOTAS!E203</f>
        <v>2888132</v>
      </c>
      <c r="G14" s="12">
        <f>+NOTAS!G203</f>
        <v>2741958</v>
      </c>
      <c r="H14" s="12" t="s">
        <v>7</v>
      </c>
      <c r="I14" s="13"/>
      <c r="J14" s="13"/>
      <c r="K14" s="14"/>
      <c r="L14" s="14">
        <v>0</v>
      </c>
      <c r="M14" s="14">
        <v>0</v>
      </c>
    </row>
    <row r="15" spans="2:13" ht="15">
      <c r="B15" s="11"/>
      <c r="F15" s="12"/>
      <c r="G15" s="12"/>
      <c r="H15" s="12" t="s">
        <v>682</v>
      </c>
      <c r="I15" s="13"/>
      <c r="J15" s="13"/>
      <c r="K15" s="14"/>
      <c r="L15" s="14">
        <v>0</v>
      </c>
      <c r="M15" s="14">
        <v>0</v>
      </c>
    </row>
    <row r="16" spans="2:13" ht="15">
      <c r="B16" s="5" t="s">
        <v>8</v>
      </c>
      <c r="C16" s="6"/>
      <c r="D16" s="6"/>
      <c r="E16" s="6"/>
      <c r="F16" s="15">
        <f>SUM(F9:F15)+1</f>
        <v>39328216</v>
      </c>
      <c r="G16" s="15">
        <f>SUM(G9:G15)</f>
        <v>39018848</v>
      </c>
      <c r="H16" s="7" t="s">
        <v>9</v>
      </c>
      <c r="I16" s="9"/>
      <c r="J16" s="9"/>
      <c r="K16" s="16"/>
      <c r="L16" s="17">
        <f>SUM(L9:L15)</f>
        <v>13704251</v>
      </c>
      <c r="M16" s="17">
        <f>SUM(M9:M15)</f>
        <v>18513650</v>
      </c>
    </row>
    <row r="17" spans="2:13" ht="15">
      <c r="B17" s="11"/>
      <c r="F17" s="12"/>
      <c r="G17" s="12"/>
      <c r="H17" s="12"/>
      <c r="I17" s="13"/>
      <c r="J17" s="13"/>
      <c r="K17" s="14"/>
      <c r="L17" s="14"/>
      <c r="M17" s="14"/>
    </row>
    <row r="18" spans="2:13" ht="15">
      <c r="B18" s="5" t="s">
        <v>10</v>
      </c>
      <c r="C18" s="6"/>
      <c r="D18" s="6"/>
      <c r="F18" s="12"/>
      <c r="G18" s="12"/>
      <c r="H18" s="7" t="s">
        <v>11</v>
      </c>
      <c r="I18" s="13"/>
      <c r="J18" s="13"/>
      <c r="K18" s="14"/>
      <c r="L18" s="14"/>
      <c r="M18" s="14"/>
    </row>
    <row r="19" spans="2:13" ht="15">
      <c r="B19" s="11" t="s">
        <v>683</v>
      </c>
      <c r="F19" s="12">
        <f>+NOTAS!E114</f>
        <v>1270112</v>
      </c>
      <c r="G19" s="12">
        <f>+NOTAS!G114</f>
        <v>931995</v>
      </c>
      <c r="H19" s="12" t="s">
        <v>633</v>
      </c>
      <c r="I19" s="13"/>
      <c r="J19" s="13"/>
      <c r="K19" s="14"/>
      <c r="L19" s="14">
        <f>+NOTAS!E275</f>
        <v>61671</v>
      </c>
      <c r="M19" s="14">
        <f>+NOTAS!G275</f>
        <v>58447</v>
      </c>
    </row>
    <row r="20" spans="2:13" ht="15">
      <c r="B20" s="11" t="s">
        <v>401</v>
      </c>
      <c r="F20" s="12">
        <v>0</v>
      </c>
      <c r="G20" s="12">
        <v>0</v>
      </c>
      <c r="H20" s="12" t="s">
        <v>636</v>
      </c>
      <c r="I20" s="13"/>
      <c r="J20" s="13"/>
      <c r="K20" s="14"/>
      <c r="L20" s="14">
        <f>+NOTAS!E295</f>
        <v>6395023</v>
      </c>
      <c r="M20" s="14">
        <f>+NOTAS!G295</f>
        <v>1423934</v>
      </c>
    </row>
    <row r="21" spans="2:13" ht="15">
      <c r="B21" s="11" t="s">
        <v>402</v>
      </c>
      <c r="F21" s="12">
        <v>0</v>
      </c>
      <c r="G21" s="12">
        <v>0</v>
      </c>
      <c r="H21" s="12"/>
      <c r="I21" s="13"/>
      <c r="J21" s="13"/>
      <c r="K21" s="14"/>
      <c r="L21" s="14"/>
      <c r="M21" s="14"/>
    </row>
    <row r="22" spans="2:13" ht="15">
      <c r="B22" s="11" t="s">
        <v>624</v>
      </c>
      <c r="F22" s="12">
        <v>0</v>
      </c>
      <c r="G22" s="12">
        <v>0</v>
      </c>
      <c r="H22" s="7" t="s">
        <v>12</v>
      </c>
      <c r="I22" s="13"/>
      <c r="J22" s="13"/>
      <c r="K22" s="14"/>
      <c r="L22" s="15">
        <f>+L19+L20</f>
        <v>6456694</v>
      </c>
      <c r="M22" s="15">
        <f>+M19+M20</f>
        <v>1482381</v>
      </c>
    </row>
    <row r="23" spans="2:13" ht="15">
      <c r="B23" s="11" t="s">
        <v>404</v>
      </c>
      <c r="F23" s="12">
        <f>+NOTAS!H253</f>
        <v>11939913</v>
      </c>
      <c r="G23" s="12">
        <f>+NOTAS!H254</f>
        <v>12138937</v>
      </c>
      <c r="H23" s="7" t="s">
        <v>13</v>
      </c>
      <c r="I23" s="13"/>
      <c r="J23" s="13"/>
      <c r="K23" s="14"/>
      <c r="L23" s="15">
        <f>+L16+L22</f>
        <v>20160945</v>
      </c>
      <c r="M23" s="15">
        <f>+M16+M22</f>
        <v>19996031</v>
      </c>
    </row>
    <row r="24" spans="2:13" ht="15">
      <c r="B24" s="11" t="s">
        <v>622</v>
      </c>
      <c r="F24" s="12">
        <v>0</v>
      </c>
      <c r="G24" s="18">
        <v>0</v>
      </c>
      <c r="H24" s="20" t="s">
        <v>405</v>
      </c>
      <c r="I24" s="19"/>
      <c r="J24" s="19"/>
      <c r="K24" s="14"/>
      <c r="L24" s="14"/>
      <c r="M24" s="14"/>
    </row>
    <row r="25" spans="2:16" ht="15">
      <c r="B25" s="11" t="s">
        <v>403</v>
      </c>
      <c r="F25" s="12">
        <v>0</v>
      </c>
      <c r="G25" s="12">
        <f>+NOTAS!G210</f>
        <v>0</v>
      </c>
      <c r="H25" s="12"/>
      <c r="I25" s="13"/>
      <c r="J25" s="13"/>
      <c r="K25" s="14"/>
      <c r="L25" s="14"/>
      <c r="M25" s="14"/>
      <c r="P25" s="13"/>
    </row>
    <row r="26" spans="2:16" ht="15">
      <c r="B26" s="5" t="s">
        <v>14</v>
      </c>
      <c r="F26" s="15">
        <f>SUM(F19:F25)</f>
        <v>13210025</v>
      </c>
      <c r="G26" s="15">
        <f>SUM(G19:G25)</f>
        <v>13070932</v>
      </c>
      <c r="H26" s="21" t="s">
        <v>15</v>
      </c>
      <c r="I26" s="19"/>
      <c r="J26" s="19"/>
      <c r="K26" s="19"/>
      <c r="L26" s="15">
        <f>+'EVOL.PATR.'!L21</f>
        <v>32377290</v>
      </c>
      <c r="M26" s="15">
        <v>32093750</v>
      </c>
      <c r="P26" s="13"/>
    </row>
    <row r="27" spans="2:13" ht="15">
      <c r="B27" s="22" t="s">
        <v>16</v>
      </c>
      <c r="C27" s="23"/>
      <c r="D27" s="23"/>
      <c r="E27" s="24"/>
      <c r="F27" s="15">
        <f>+F16+F26-2</f>
        <v>52538239</v>
      </c>
      <c r="G27" s="15">
        <f>+G16+G26+1</f>
        <v>52089781</v>
      </c>
      <c r="H27" s="25" t="s">
        <v>17</v>
      </c>
      <c r="I27" s="26"/>
      <c r="J27" s="26"/>
      <c r="K27" s="27"/>
      <c r="L27" s="15">
        <f>+L23+L26+4</f>
        <v>52538239</v>
      </c>
      <c r="M27" s="15">
        <f>+M23+M26</f>
        <v>52089781</v>
      </c>
    </row>
    <row r="28" spans="6:13" ht="15">
      <c r="F28" s="13"/>
      <c r="G28" s="13"/>
      <c r="H28" s="13"/>
      <c r="I28" s="13"/>
      <c r="J28" s="13"/>
      <c r="K28" s="13"/>
      <c r="L28" s="13"/>
      <c r="M28" s="13"/>
    </row>
    <row r="29" spans="6:13" ht="15">
      <c r="F29" s="13"/>
      <c r="G29" s="13"/>
      <c r="H29" s="13"/>
      <c r="I29" s="13"/>
      <c r="J29" s="13"/>
      <c r="K29" s="13"/>
      <c r="L29" s="13">
        <f>+F27-L27</f>
        <v>0</v>
      </c>
      <c r="M29" s="13"/>
    </row>
    <row r="32" spans="7:10" ht="15">
      <c r="G32" s="427" t="s">
        <v>714</v>
      </c>
      <c r="H32" s="427"/>
      <c r="I32" s="427" t="s">
        <v>716</v>
      </c>
      <c r="J32" s="427"/>
    </row>
    <row r="33" spans="7:10" ht="15">
      <c r="G33" s="427" t="s">
        <v>715</v>
      </c>
      <c r="H33" s="427"/>
      <c r="I33" s="427" t="s">
        <v>717</v>
      </c>
      <c r="J33" s="427"/>
    </row>
  </sheetData>
  <sheetProtection/>
  <mergeCells count="8">
    <mergeCell ref="G33:H33"/>
    <mergeCell ref="I33:J33"/>
    <mergeCell ref="B1:M1"/>
    <mergeCell ref="B3:M3"/>
    <mergeCell ref="B4:M4"/>
    <mergeCell ref="B5:M5"/>
    <mergeCell ref="G32:H32"/>
    <mergeCell ref="I32:J32"/>
  </mergeCells>
  <printOptions/>
  <pageMargins left="1.4960629921259843" right="0.11811023622047245" top="1.3385826771653544" bottom="0.15748031496062992" header="0.31496062992125984" footer="0.31496062992125984"/>
  <pageSetup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M31"/>
  <sheetViews>
    <sheetView zoomScalePageLayoutView="0" workbookViewId="0" topLeftCell="A4">
      <selection activeCell="I20" sqref="I20"/>
    </sheetView>
  </sheetViews>
  <sheetFormatPr defaultColWidth="11.421875" defaultRowHeight="15"/>
  <cols>
    <col min="1" max="1" width="5.8515625" style="0" customWidth="1"/>
    <col min="2" max="2" width="7.140625" style="0" customWidth="1"/>
    <col min="9" max="9" width="16.140625" style="0" bestFit="1" customWidth="1"/>
  </cols>
  <sheetData>
    <row r="6" spans="1:11" ht="21">
      <c r="A6" s="43"/>
      <c r="B6" s="43"/>
      <c r="C6" s="447" t="s">
        <v>0</v>
      </c>
      <c r="D6" s="447"/>
      <c r="E6" s="447"/>
      <c r="F6" s="447"/>
      <c r="G6" s="447"/>
      <c r="H6" s="447"/>
      <c r="I6" s="447"/>
      <c r="J6" s="447"/>
      <c r="K6" s="43"/>
    </row>
    <row r="7" spans="1:11" ht="21">
      <c r="A7" s="43"/>
      <c r="B7" s="43"/>
      <c r="C7" s="447" t="s">
        <v>784</v>
      </c>
      <c r="D7" s="447"/>
      <c r="E7" s="447"/>
      <c r="F7" s="447"/>
      <c r="G7" s="447"/>
      <c r="H7" s="447"/>
      <c r="I7" s="447"/>
      <c r="J7" s="447"/>
      <c r="K7" s="43"/>
    </row>
    <row r="8" spans="1:11" ht="21">
      <c r="A8" s="43"/>
      <c r="B8" s="43"/>
      <c r="C8" s="447" t="s">
        <v>785</v>
      </c>
      <c r="D8" s="447"/>
      <c r="E8" s="447"/>
      <c r="F8" s="447"/>
      <c r="G8" s="447"/>
      <c r="H8" s="447"/>
      <c r="I8" s="447"/>
      <c r="J8" s="447"/>
      <c r="K8" s="43"/>
    </row>
    <row r="9" spans="1:11" ht="15">
      <c r="A9" s="42"/>
      <c r="B9" s="42"/>
      <c r="C9" s="427" t="s">
        <v>18</v>
      </c>
      <c r="D9" s="427"/>
      <c r="E9" s="427"/>
      <c r="F9" s="427"/>
      <c r="G9" s="427"/>
      <c r="H9" s="427"/>
      <c r="I9" s="427"/>
      <c r="J9" s="427"/>
      <c r="K9" s="42"/>
    </row>
    <row r="12" spans="3:10" ht="15">
      <c r="C12" s="431" t="s">
        <v>19</v>
      </c>
      <c r="D12" s="432"/>
      <c r="E12" s="432"/>
      <c r="F12" s="432"/>
      <c r="G12" s="432"/>
      <c r="H12" s="433"/>
      <c r="I12" s="451" t="s">
        <v>20</v>
      </c>
      <c r="J12" s="452"/>
    </row>
    <row r="13" spans="3:10" ht="15">
      <c r="C13" s="448"/>
      <c r="D13" s="449"/>
      <c r="E13" s="449"/>
      <c r="F13" s="449"/>
      <c r="G13" s="449"/>
      <c r="H13" s="450"/>
      <c r="I13" s="4">
        <v>44012</v>
      </c>
      <c r="J13" s="28">
        <v>43646</v>
      </c>
    </row>
    <row r="14" spans="3:10" ht="15">
      <c r="C14" s="29" t="s">
        <v>21</v>
      </c>
      <c r="D14" s="30"/>
      <c r="E14" s="30"/>
      <c r="F14" s="30"/>
      <c r="G14" s="30"/>
      <c r="H14" s="30"/>
      <c r="I14" s="31"/>
      <c r="J14" s="40"/>
    </row>
    <row r="15" spans="3:12" ht="15">
      <c r="C15" s="11" t="s">
        <v>22</v>
      </c>
      <c r="I15" s="12">
        <v>11151468</v>
      </c>
      <c r="J15" s="18">
        <v>11619471</v>
      </c>
      <c r="L15" s="13"/>
    </row>
    <row r="16" spans="3:10" ht="15">
      <c r="C16" s="5" t="s">
        <v>23</v>
      </c>
      <c r="I16" s="12"/>
      <c r="J16" s="18"/>
    </row>
    <row r="17" spans="3:13" ht="15">
      <c r="C17" s="11" t="s">
        <v>406</v>
      </c>
      <c r="I17" s="416">
        <f>-COSTOS!J36</f>
        <v>-7989389</v>
      </c>
      <c r="J17" s="18">
        <v>-8040036</v>
      </c>
      <c r="K17" s="226"/>
      <c r="L17" s="226"/>
      <c r="M17" s="226"/>
    </row>
    <row r="18" spans="3:10" ht="15">
      <c r="C18" s="5" t="s">
        <v>24</v>
      </c>
      <c r="I18" s="32">
        <f>+I15+I17</f>
        <v>3162079</v>
      </c>
      <c r="J18" s="15">
        <f>+J15+J17</f>
        <v>3579435</v>
      </c>
    </row>
    <row r="19" spans="3:10" ht="15">
      <c r="C19" s="5" t="s">
        <v>23</v>
      </c>
      <c r="I19" s="12"/>
      <c r="J19" s="18"/>
    </row>
    <row r="20" spans="3:10" ht="15">
      <c r="C20" s="11" t="s">
        <v>640</v>
      </c>
      <c r="I20" s="12">
        <f>-+NOTAS!E389</f>
        <v>-1984112</v>
      </c>
      <c r="J20" s="18">
        <f>-+NOTAS!G389</f>
        <v>-2576050</v>
      </c>
    </row>
    <row r="21" spans="3:10" ht="15">
      <c r="C21" s="11" t="s">
        <v>25</v>
      </c>
      <c r="I21" s="12">
        <v>0</v>
      </c>
      <c r="J21" s="18">
        <v>0</v>
      </c>
    </row>
    <row r="22" spans="3:10" ht="15">
      <c r="C22" s="11" t="s">
        <v>644</v>
      </c>
      <c r="I22" s="12">
        <f>NOTAS!E424</f>
        <v>-913328</v>
      </c>
      <c r="J22" s="18">
        <f>NOTAS!G424</f>
        <v>-1047074</v>
      </c>
    </row>
    <row r="23" spans="3:10" ht="15">
      <c r="C23" s="5" t="s">
        <v>26</v>
      </c>
      <c r="I23" s="32">
        <f>+I18+I20+I22-1</f>
        <v>264638</v>
      </c>
      <c r="J23" s="15">
        <f>+J18+J20+J22-1</f>
        <v>-43690</v>
      </c>
    </row>
    <row r="24" spans="3:10" ht="15">
      <c r="C24" s="11" t="s">
        <v>642</v>
      </c>
      <c r="I24" s="33">
        <f>NOTAS!E410</f>
        <v>18903</v>
      </c>
      <c r="J24" s="34">
        <f>NOTAS!G410-1</f>
        <v>116062</v>
      </c>
    </row>
    <row r="25" spans="3:10" ht="15">
      <c r="C25" s="11" t="s">
        <v>651</v>
      </c>
      <c r="I25" s="34">
        <v>0</v>
      </c>
      <c r="J25" s="34">
        <v>0</v>
      </c>
    </row>
    <row r="26" spans="3:10" ht="15">
      <c r="C26" s="11" t="s">
        <v>650</v>
      </c>
      <c r="I26" s="12">
        <v>0</v>
      </c>
      <c r="J26" s="34">
        <v>-7237</v>
      </c>
    </row>
    <row r="27" spans="3:10" ht="15">
      <c r="C27" s="1" t="s">
        <v>28</v>
      </c>
      <c r="D27" s="35"/>
      <c r="E27" s="35"/>
      <c r="F27" s="35"/>
      <c r="G27" s="35"/>
      <c r="H27" s="36"/>
      <c r="I27" s="15">
        <f>+I23+I24+I25+I26-1</f>
        <v>283540</v>
      </c>
      <c r="J27" s="15">
        <f>+J23+J24+J25+J26+1</f>
        <v>65136</v>
      </c>
    </row>
    <row r="28" spans="3:10" ht="15">
      <c r="C28" s="37"/>
      <c r="H28" s="37"/>
      <c r="I28" s="37"/>
      <c r="J28" s="37"/>
    </row>
    <row r="29" spans="3:9" ht="15">
      <c r="C29" s="38"/>
      <c r="D29" s="39"/>
      <c r="E29" s="39"/>
      <c r="F29" s="39"/>
      <c r="G29" s="39"/>
      <c r="H29" s="39"/>
      <c r="I29" s="39"/>
    </row>
    <row r="30" spans="4:8" ht="36">
      <c r="D30" s="184"/>
      <c r="E30" s="427" t="s">
        <v>714</v>
      </c>
      <c r="F30" s="427"/>
      <c r="G30" s="427" t="s">
        <v>716</v>
      </c>
      <c r="H30" s="427"/>
    </row>
    <row r="31" spans="5:8" ht="15">
      <c r="E31" s="427" t="s">
        <v>715</v>
      </c>
      <c r="F31" s="427"/>
      <c r="G31" s="427" t="s">
        <v>717</v>
      </c>
      <c r="H31" s="427"/>
    </row>
  </sheetData>
  <sheetProtection/>
  <mergeCells count="11">
    <mergeCell ref="G30:H30"/>
    <mergeCell ref="E31:F31"/>
    <mergeCell ref="G31:H31"/>
    <mergeCell ref="C13:H13"/>
    <mergeCell ref="C12:H12"/>
    <mergeCell ref="C6:J6"/>
    <mergeCell ref="C7:J7"/>
    <mergeCell ref="C8:J8"/>
    <mergeCell ref="C9:J9"/>
    <mergeCell ref="I12:J12"/>
    <mergeCell ref="E30:F30"/>
  </mergeCells>
  <printOptions/>
  <pageMargins left="0.9055118110236221" right="0" top="1.3385826771653544" bottom="0.5511811023622047" header="0.31496062992125984" footer="0.31496062992125984"/>
  <pageSetup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42"/>
  <sheetViews>
    <sheetView zoomScalePageLayoutView="0" workbookViewId="0" topLeftCell="A1">
      <selection activeCell="G1" sqref="G1"/>
    </sheetView>
  </sheetViews>
  <sheetFormatPr defaultColWidth="11.421875" defaultRowHeight="15"/>
  <cols>
    <col min="1" max="1" width="5.28125" style="0" customWidth="1"/>
    <col min="2" max="2" width="3.57421875" style="0" customWidth="1"/>
    <col min="7" max="7" width="14.7109375" style="0" customWidth="1"/>
    <col min="8" max="8" width="19.7109375" style="0" customWidth="1"/>
  </cols>
  <sheetData>
    <row r="2" spans="1:9" ht="21">
      <c r="A2" s="43"/>
      <c r="B2" s="43"/>
      <c r="C2" s="447" t="s">
        <v>0</v>
      </c>
      <c r="D2" s="447"/>
      <c r="E2" s="447"/>
      <c r="F2" s="447"/>
      <c r="G2" s="447"/>
      <c r="H2" s="447"/>
      <c r="I2" s="43"/>
    </row>
    <row r="3" spans="1:9" ht="21">
      <c r="A3" s="43"/>
      <c r="B3" s="43"/>
      <c r="C3" s="447" t="s">
        <v>786</v>
      </c>
      <c r="D3" s="447"/>
      <c r="E3" s="447"/>
      <c r="F3" s="447"/>
      <c r="G3" s="447"/>
      <c r="H3" s="447"/>
      <c r="I3" s="43"/>
    </row>
    <row r="4" spans="1:9" ht="21">
      <c r="A4" s="43"/>
      <c r="B4" s="43"/>
      <c r="C4" s="447" t="s">
        <v>772</v>
      </c>
      <c r="D4" s="447"/>
      <c r="E4" s="447"/>
      <c r="F4" s="447"/>
      <c r="G4" s="447"/>
      <c r="H4" s="447"/>
      <c r="I4" s="43"/>
    </row>
    <row r="5" spans="1:9" ht="15">
      <c r="A5" s="42"/>
      <c r="B5" s="42"/>
      <c r="C5" s="427" t="s">
        <v>18</v>
      </c>
      <c r="D5" s="427"/>
      <c r="E5" s="427"/>
      <c r="F5" s="427"/>
      <c r="G5" s="427"/>
      <c r="H5" s="427"/>
      <c r="I5" s="42"/>
    </row>
    <row r="7" spans="3:8" ht="15">
      <c r="C7" s="451" t="s">
        <v>213</v>
      </c>
      <c r="D7" s="453"/>
      <c r="E7" s="453"/>
      <c r="F7" s="452"/>
      <c r="G7" s="41">
        <v>44012</v>
      </c>
      <c r="H7" s="256">
        <v>43830</v>
      </c>
    </row>
    <row r="8" spans="3:8" ht="15">
      <c r="C8" s="104" t="s">
        <v>214</v>
      </c>
      <c r="D8" s="105"/>
      <c r="E8" s="106"/>
      <c r="F8" s="106"/>
      <c r="G8" s="107"/>
      <c r="H8" s="84"/>
    </row>
    <row r="9" spans="3:8" ht="15">
      <c r="C9" s="11" t="s">
        <v>215</v>
      </c>
      <c r="G9" s="18">
        <f>+H13</f>
        <v>660221</v>
      </c>
      <c r="H9" s="14">
        <v>1710158</v>
      </c>
    </row>
    <row r="10" spans="3:8" ht="15">
      <c r="C10" s="11" t="s">
        <v>216</v>
      </c>
      <c r="G10" s="18">
        <v>0</v>
      </c>
      <c r="H10" s="14"/>
    </row>
    <row r="11" spans="3:8" ht="15">
      <c r="C11" s="5" t="s">
        <v>217</v>
      </c>
      <c r="D11" s="6"/>
      <c r="E11" s="6"/>
      <c r="F11" s="6"/>
      <c r="G11" s="15">
        <f>+G9</f>
        <v>660221</v>
      </c>
      <c r="H11" s="17">
        <f>+H9</f>
        <v>1710158</v>
      </c>
    </row>
    <row r="12" spans="3:8" ht="15">
      <c r="C12" s="11" t="s">
        <v>218</v>
      </c>
      <c r="G12" s="108">
        <f>+G13-G11</f>
        <v>1704720</v>
      </c>
      <c r="H12" s="109">
        <v>-1049937</v>
      </c>
    </row>
    <row r="13" spans="3:8" ht="15">
      <c r="C13" s="5" t="s">
        <v>219</v>
      </c>
      <c r="D13" s="6"/>
      <c r="E13" s="6"/>
      <c r="F13" s="6"/>
      <c r="G13" s="15">
        <v>2364941</v>
      </c>
      <c r="H13" s="17">
        <f>+H11+H12</f>
        <v>660221</v>
      </c>
    </row>
    <row r="14" spans="3:8" ht="15">
      <c r="C14" s="11"/>
      <c r="G14" s="18"/>
      <c r="H14" s="14"/>
    </row>
    <row r="15" spans="3:8" ht="15">
      <c r="C15" s="5" t="s">
        <v>220</v>
      </c>
      <c r="D15" s="6"/>
      <c r="E15" s="6"/>
      <c r="G15" s="18"/>
      <c r="H15" s="14"/>
    </row>
    <row r="16" spans="3:8" ht="15">
      <c r="C16" s="11" t="s">
        <v>221</v>
      </c>
      <c r="G16" s="18">
        <v>12178591</v>
      </c>
      <c r="H16" s="14">
        <v>24491350</v>
      </c>
    </row>
    <row r="17" spans="3:8" ht="15">
      <c r="C17" s="11" t="s">
        <v>222</v>
      </c>
      <c r="G17" s="18">
        <v>-7379009</v>
      </c>
      <c r="H17" s="14">
        <v>-22317779</v>
      </c>
    </row>
    <row r="18" spans="3:8" ht="15">
      <c r="C18" s="11" t="s">
        <v>223</v>
      </c>
      <c r="G18" s="110">
        <v>0</v>
      </c>
      <c r="H18" s="27" t="s">
        <v>766</v>
      </c>
    </row>
    <row r="19" spans="3:8" ht="15">
      <c r="C19" s="5" t="s">
        <v>224</v>
      </c>
      <c r="D19" s="6"/>
      <c r="E19" s="6"/>
      <c r="F19" s="6"/>
      <c r="G19" s="111">
        <f>+G16+G17</f>
        <v>4799582</v>
      </c>
      <c r="H19" s="111">
        <f>+H16+H17</f>
        <v>2173571</v>
      </c>
    </row>
    <row r="20" spans="3:8" ht="15">
      <c r="C20" s="11"/>
      <c r="G20" s="18"/>
      <c r="H20" s="14"/>
    </row>
    <row r="21" spans="3:8" ht="15">
      <c r="C21" s="11" t="s">
        <v>225</v>
      </c>
      <c r="G21" s="18">
        <v>0</v>
      </c>
      <c r="H21" s="14">
        <v>0</v>
      </c>
    </row>
    <row r="22" spans="3:8" ht="15">
      <c r="C22" s="11" t="s">
        <v>226</v>
      </c>
      <c r="G22" s="18">
        <v>2272546</v>
      </c>
      <c r="H22" s="14">
        <v>0</v>
      </c>
    </row>
    <row r="23" spans="3:8" ht="15">
      <c r="C23" s="11" t="s">
        <v>227</v>
      </c>
      <c r="G23" s="18">
        <v>0</v>
      </c>
      <c r="H23" s="14">
        <v>0</v>
      </c>
    </row>
    <row r="24" spans="3:8" ht="15">
      <c r="C24" s="11" t="s">
        <v>228</v>
      </c>
      <c r="G24" s="18">
        <v>0</v>
      </c>
      <c r="H24" s="14">
        <v>0</v>
      </c>
    </row>
    <row r="25" spans="3:8" ht="15">
      <c r="C25" s="5" t="s">
        <v>229</v>
      </c>
      <c r="G25" s="15">
        <f>+G19+G22+G23+G24</f>
        <v>7072128</v>
      </c>
      <c r="H25" s="15">
        <f>SUM(H19:H24)</f>
        <v>2173571</v>
      </c>
    </row>
    <row r="26" spans="3:8" ht="15">
      <c r="C26" s="11"/>
      <c r="G26" s="18"/>
      <c r="H26" s="14"/>
    </row>
    <row r="27" spans="3:8" ht="15">
      <c r="C27" s="11" t="s">
        <v>230</v>
      </c>
      <c r="G27" s="18">
        <v>-5308012</v>
      </c>
      <c r="H27" s="14">
        <v>-2942629</v>
      </c>
    </row>
    <row r="28" spans="3:8" ht="15">
      <c r="C28" s="11" t="s">
        <v>231</v>
      </c>
      <c r="G28" s="18">
        <v>0</v>
      </c>
      <c r="H28" s="14">
        <v>0</v>
      </c>
    </row>
    <row r="29" spans="3:8" ht="15">
      <c r="C29" s="11" t="s">
        <v>232</v>
      </c>
      <c r="G29" s="18">
        <v>-27167</v>
      </c>
      <c r="H29" s="14">
        <v>-203427</v>
      </c>
    </row>
    <row r="30" spans="3:8" ht="15">
      <c r="C30" s="11" t="s">
        <v>233</v>
      </c>
      <c r="G30" s="18">
        <v>-32229</v>
      </c>
      <c r="H30" s="14">
        <v>-77452</v>
      </c>
    </row>
    <row r="31" spans="3:8" ht="15">
      <c r="C31" s="11" t="s">
        <v>234</v>
      </c>
      <c r="G31" s="18">
        <v>0</v>
      </c>
      <c r="H31" s="14">
        <v>0</v>
      </c>
    </row>
    <row r="32" spans="3:8" ht="15">
      <c r="C32" s="11" t="s">
        <v>235</v>
      </c>
      <c r="G32" s="18">
        <v>0</v>
      </c>
      <c r="H32" s="14">
        <v>0</v>
      </c>
    </row>
    <row r="33" spans="3:8" ht="15">
      <c r="C33" s="11" t="s">
        <v>236</v>
      </c>
      <c r="G33" s="18">
        <v>0</v>
      </c>
      <c r="H33" s="14">
        <v>0</v>
      </c>
    </row>
    <row r="34" spans="3:8" ht="15">
      <c r="C34" s="22" t="s">
        <v>237</v>
      </c>
      <c r="D34" s="23"/>
      <c r="E34" s="23"/>
      <c r="F34" s="24"/>
      <c r="G34" s="15">
        <f>SUM(G25:G33)</f>
        <v>1704720</v>
      </c>
      <c r="H34" s="15">
        <f>SUM(H25:H33)</f>
        <v>-1049937</v>
      </c>
    </row>
    <row r="36" ht="15">
      <c r="C36" t="s">
        <v>238</v>
      </c>
    </row>
    <row r="41" spans="5:8" ht="15">
      <c r="E41" s="427" t="s">
        <v>714</v>
      </c>
      <c r="F41" s="427"/>
      <c r="G41" s="427" t="s">
        <v>716</v>
      </c>
      <c r="H41" s="427"/>
    </row>
    <row r="42" spans="5:8" ht="15">
      <c r="E42" s="427" t="s">
        <v>715</v>
      </c>
      <c r="F42" s="427"/>
      <c r="G42" s="427" t="s">
        <v>717</v>
      </c>
      <c r="H42" s="427"/>
    </row>
  </sheetData>
  <sheetProtection/>
  <mergeCells count="9">
    <mergeCell ref="E42:F42"/>
    <mergeCell ref="G41:H41"/>
    <mergeCell ref="G42:H42"/>
    <mergeCell ref="C7:F7"/>
    <mergeCell ref="C2:H2"/>
    <mergeCell ref="C3:H3"/>
    <mergeCell ref="C4:H4"/>
    <mergeCell ref="C5:H5"/>
    <mergeCell ref="E41:F41"/>
  </mergeCells>
  <printOptions/>
  <pageMargins left="1.1023622047244095" right="0.7086614173228347" top="2.5196850393700787" bottom="0.7480314960629921" header="0.31496062992125984" footer="0.31496062992125984"/>
  <pageSetup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4">
      <selection activeCell="B21" sqref="B21"/>
    </sheetView>
  </sheetViews>
  <sheetFormatPr defaultColWidth="11.421875" defaultRowHeight="15"/>
  <cols>
    <col min="1" max="1" width="4.00390625" style="0" customWidth="1"/>
    <col min="2" max="2" width="45.28125" style="0" customWidth="1"/>
    <col min="3" max="3" width="10.140625" style="0" customWidth="1"/>
    <col min="4" max="4" width="9.00390625" style="0" customWidth="1"/>
    <col min="5" max="5" width="9.7109375" style="0" customWidth="1"/>
    <col min="6" max="6" width="8.8515625" style="0" customWidth="1"/>
    <col min="7" max="7" width="10.00390625" style="0" customWidth="1"/>
    <col min="8" max="8" width="11.00390625" style="0" customWidth="1"/>
    <col min="9" max="9" width="10.421875" style="0" customWidth="1"/>
    <col min="10" max="10" width="10.140625" style="0" customWidth="1"/>
    <col min="11" max="11" width="10.28125" style="0" customWidth="1"/>
    <col min="12" max="12" width="10.00390625" style="0" customWidth="1"/>
  </cols>
  <sheetData>
    <row r="1" spans="1:12" ht="21">
      <c r="A1" s="43"/>
      <c r="B1" s="447" t="s">
        <v>0</v>
      </c>
      <c r="C1" s="447"/>
      <c r="D1" s="447"/>
      <c r="E1" s="447"/>
      <c r="F1" s="447"/>
      <c r="G1" s="447"/>
      <c r="H1" s="447"/>
      <c r="I1" s="447"/>
      <c r="J1" s="447"/>
      <c r="K1" s="447"/>
      <c r="L1" s="447"/>
    </row>
    <row r="2" spans="1:12" ht="21">
      <c r="A2" s="43"/>
      <c r="B2" s="447" t="s">
        <v>769</v>
      </c>
      <c r="C2" s="447"/>
      <c r="D2" s="447"/>
      <c r="E2" s="447"/>
      <c r="F2" s="447"/>
      <c r="G2" s="447"/>
      <c r="H2" s="447"/>
      <c r="I2" s="447"/>
      <c r="J2" s="447"/>
      <c r="K2" s="447"/>
      <c r="L2" s="447"/>
    </row>
    <row r="3" spans="1:12" ht="21">
      <c r="A3" s="43"/>
      <c r="B3" s="447" t="s">
        <v>779</v>
      </c>
      <c r="C3" s="447"/>
      <c r="D3" s="447"/>
      <c r="E3" s="447"/>
      <c r="F3" s="447"/>
      <c r="G3" s="447"/>
      <c r="H3" s="447"/>
      <c r="I3" s="447"/>
      <c r="J3" s="447"/>
      <c r="K3" s="447"/>
      <c r="L3" s="447"/>
    </row>
    <row r="4" spans="1:12" ht="15">
      <c r="A4" s="42"/>
      <c r="B4" s="449" t="s">
        <v>18</v>
      </c>
      <c r="C4" s="449"/>
      <c r="D4" s="449"/>
      <c r="E4" s="449"/>
      <c r="F4" s="449"/>
      <c r="G4" s="449"/>
      <c r="H4" s="449"/>
      <c r="I4" s="449"/>
      <c r="J4" s="449"/>
      <c r="K4" s="449"/>
      <c r="L4" s="449"/>
    </row>
    <row r="5" spans="2:12" ht="15">
      <c r="B5" s="87"/>
      <c r="C5" s="454" t="s">
        <v>186</v>
      </c>
      <c r="D5" s="456"/>
      <c r="E5" s="456"/>
      <c r="F5" s="457"/>
      <c r="G5" s="84"/>
      <c r="H5" s="454" t="s">
        <v>187</v>
      </c>
      <c r="I5" s="455"/>
      <c r="J5" s="84"/>
      <c r="K5" s="76" t="s">
        <v>188</v>
      </c>
      <c r="L5" s="91" t="s">
        <v>189</v>
      </c>
    </row>
    <row r="6" spans="2:12" ht="15">
      <c r="B6" s="92" t="s">
        <v>190</v>
      </c>
      <c r="C6" s="91" t="s">
        <v>191</v>
      </c>
      <c r="D6" s="91" t="s">
        <v>192</v>
      </c>
      <c r="E6" s="93" t="s">
        <v>193</v>
      </c>
      <c r="F6" s="94"/>
      <c r="G6" s="95" t="s">
        <v>189</v>
      </c>
      <c r="H6" s="91" t="s">
        <v>194</v>
      </c>
      <c r="I6" s="96" t="s">
        <v>195</v>
      </c>
      <c r="J6" s="95" t="s">
        <v>189</v>
      </c>
      <c r="K6" s="97" t="s">
        <v>196</v>
      </c>
      <c r="L6" s="97" t="s">
        <v>197</v>
      </c>
    </row>
    <row r="7" spans="2:12" ht="15">
      <c r="B7" s="240"/>
      <c r="C7" s="99" t="s">
        <v>198</v>
      </c>
      <c r="D7" s="99" t="s">
        <v>199</v>
      </c>
      <c r="E7" s="241" t="s">
        <v>200</v>
      </c>
      <c r="F7" s="99" t="s">
        <v>201</v>
      </c>
      <c r="G7" s="75"/>
      <c r="H7" s="99" t="s">
        <v>202</v>
      </c>
      <c r="I7" s="241" t="s">
        <v>203</v>
      </c>
      <c r="J7" s="75"/>
      <c r="K7" s="99" t="s">
        <v>204</v>
      </c>
      <c r="L7" s="99" t="s">
        <v>205</v>
      </c>
    </row>
    <row r="8" spans="2:12" ht="15">
      <c r="B8" s="101" t="s">
        <v>764</v>
      </c>
      <c r="C8" s="15">
        <v>15000000</v>
      </c>
      <c r="D8" s="15"/>
      <c r="E8" s="15"/>
      <c r="F8" s="15"/>
      <c r="G8" s="15">
        <f>+C8</f>
        <v>15000000</v>
      </c>
      <c r="H8" s="15">
        <v>1417543</v>
      </c>
      <c r="I8" s="15">
        <v>6300015</v>
      </c>
      <c r="J8" s="15">
        <f>+H8+I8</f>
        <v>7717558</v>
      </c>
      <c r="K8" s="15">
        <v>9376192</v>
      </c>
      <c r="L8" s="15">
        <f>+G8+J8+K8</f>
        <v>32093750</v>
      </c>
    </row>
    <row r="9" spans="2:12" ht="15">
      <c r="B9" s="83"/>
      <c r="C9" s="34"/>
      <c r="D9" s="34"/>
      <c r="E9" s="34"/>
      <c r="F9" s="34"/>
      <c r="G9" s="34"/>
      <c r="H9" s="34"/>
      <c r="I9" s="34"/>
      <c r="J9" s="34"/>
      <c r="K9" s="34"/>
      <c r="L9" s="34"/>
    </row>
    <row r="10" spans="2:12" ht="15">
      <c r="B10" s="83" t="s">
        <v>206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</row>
    <row r="11" spans="2:12" ht="15">
      <c r="B11" s="83" t="s">
        <v>207</v>
      </c>
      <c r="C11" s="34"/>
      <c r="D11" s="34"/>
      <c r="E11" s="34"/>
      <c r="F11" s="34"/>
      <c r="G11" s="34"/>
      <c r="H11" s="34">
        <v>0</v>
      </c>
      <c r="I11" s="34"/>
      <c r="J11" s="34">
        <f>+H11</f>
        <v>0</v>
      </c>
      <c r="K11" s="34"/>
      <c r="L11" s="34">
        <f>+J11</f>
        <v>0</v>
      </c>
    </row>
    <row r="12" spans="2:12" ht="15">
      <c r="B12" s="83" t="s">
        <v>208</v>
      </c>
      <c r="C12" s="34"/>
      <c r="D12" s="34"/>
      <c r="E12" s="34"/>
      <c r="F12" s="34"/>
      <c r="G12" s="34"/>
      <c r="H12" s="34"/>
      <c r="I12" s="34"/>
      <c r="J12" s="34"/>
      <c r="K12" s="34"/>
      <c r="L12" s="34">
        <f>+I12</f>
        <v>0</v>
      </c>
    </row>
    <row r="13" spans="2:12" ht="15">
      <c r="B13" s="83" t="s">
        <v>607</v>
      </c>
      <c r="C13" s="34"/>
      <c r="D13" s="34"/>
      <c r="E13" s="34"/>
      <c r="F13" s="34"/>
      <c r="G13" s="34"/>
      <c r="H13" s="34"/>
      <c r="I13" s="34"/>
      <c r="J13" s="34"/>
      <c r="K13" s="34"/>
      <c r="L13" s="34">
        <f>+K13</f>
        <v>0</v>
      </c>
    </row>
    <row r="14" spans="2:12" ht="15">
      <c r="B14" s="83" t="s">
        <v>209</v>
      </c>
      <c r="C14" s="34"/>
      <c r="D14" s="34"/>
      <c r="E14" s="34"/>
      <c r="F14" s="34"/>
      <c r="G14" s="34"/>
      <c r="H14" s="34"/>
      <c r="I14" s="34"/>
      <c r="J14" s="34"/>
      <c r="K14" s="34"/>
      <c r="L14" s="34">
        <f>+K14</f>
        <v>0</v>
      </c>
    </row>
    <row r="15" spans="2:12" ht="15">
      <c r="B15" s="83" t="s">
        <v>727</v>
      </c>
      <c r="C15" s="34"/>
      <c r="D15" s="34"/>
      <c r="E15" s="34"/>
      <c r="F15" s="34"/>
      <c r="G15" s="34"/>
      <c r="H15" s="34"/>
      <c r="I15" s="34"/>
      <c r="J15" s="34"/>
      <c r="K15" s="34"/>
      <c r="L15" s="34">
        <f>+K15</f>
        <v>0</v>
      </c>
    </row>
    <row r="16" spans="2:12" ht="15">
      <c r="B16" s="83" t="s">
        <v>210</v>
      </c>
      <c r="C16" s="34"/>
      <c r="D16" s="34"/>
      <c r="E16" s="34"/>
      <c r="F16" s="34"/>
      <c r="G16" s="34"/>
      <c r="H16" s="34"/>
      <c r="I16" s="34">
        <v>0</v>
      </c>
      <c r="J16" s="34">
        <f>+I16</f>
        <v>0</v>
      </c>
      <c r="K16" s="34"/>
      <c r="L16" s="34">
        <f>+J16</f>
        <v>0</v>
      </c>
    </row>
    <row r="17" spans="2:12" ht="15">
      <c r="B17" s="83" t="s">
        <v>211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</row>
    <row r="18" spans="2:12" ht="15">
      <c r="B18" s="83" t="s">
        <v>212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</row>
    <row r="19" spans="2:12" ht="15">
      <c r="B19" s="83" t="s">
        <v>586</v>
      </c>
      <c r="C19" s="34"/>
      <c r="D19" s="34"/>
      <c r="E19" s="34"/>
      <c r="F19" s="34"/>
      <c r="G19" s="34"/>
      <c r="H19" s="34"/>
      <c r="I19" s="34"/>
      <c r="J19" s="34"/>
      <c r="K19" s="34">
        <v>283540</v>
      </c>
      <c r="L19" s="34">
        <f>+K19</f>
        <v>283540</v>
      </c>
    </row>
    <row r="20" spans="2:12" ht="15">
      <c r="B20" s="83"/>
      <c r="C20" s="34"/>
      <c r="D20" s="34"/>
      <c r="E20" s="34"/>
      <c r="F20" s="34"/>
      <c r="G20" s="34"/>
      <c r="H20" s="34"/>
      <c r="I20" s="34"/>
      <c r="J20" s="34"/>
      <c r="K20" s="34"/>
      <c r="L20" s="34"/>
    </row>
    <row r="21" spans="2:12" ht="15.75" thickBot="1">
      <c r="B21" s="102" t="s">
        <v>780</v>
      </c>
      <c r="C21" s="103">
        <f aca="true" t="shared" si="0" ref="C21:I21">SUM(C8:C19)</f>
        <v>15000000</v>
      </c>
      <c r="D21" s="103">
        <f t="shared" si="0"/>
        <v>0</v>
      </c>
      <c r="E21" s="103">
        <f t="shared" si="0"/>
        <v>0</v>
      </c>
      <c r="F21" s="103">
        <f t="shared" si="0"/>
        <v>0</v>
      </c>
      <c r="G21" s="103">
        <f t="shared" si="0"/>
        <v>15000000</v>
      </c>
      <c r="H21" s="103">
        <f t="shared" si="0"/>
        <v>1417543</v>
      </c>
      <c r="I21" s="103">
        <f t="shared" si="0"/>
        <v>6300015</v>
      </c>
      <c r="J21" s="103">
        <f>SUM(J8:J19)+1</f>
        <v>7717559</v>
      </c>
      <c r="K21" s="103">
        <f>SUM(K8:K19)-1</f>
        <v>9659731</v>
      </c>
      <c r="L21" s="103">
        <f>SUM(L8:L19)</f>
        <v>32377290</v>
      </c>
    </row>
    <row r="22" ht="15.75" thickTop="1"/>
    <row r="23" ht="15">
      <c r="B23" s="6"/>
    </row>
    <row r="26" spans="5:8" ht="15">
      <c r="E26" s="427" t="s">
        <v>714</v>
      </c>
      <c r="F26" s="427"/>
      <c r="G26" s="427" t="s">
        <v>716</v>
      </c>
      <c r="H26" s="427"/>
    </row>
    <row r="27" spans="5:8" ht="15">
      <c r="E27" s="427" t="s">
        <v>715</v>
      </c>
      <c r="F27" s="427"/>
      <c r="G27" s="427" t="s">
        <v>717</v>
      </c>
      <c r="H27" s="427"/>
    </row>
  </sheetData>
  <sheetProtection/>
  <mergeCells count="11">
    <mergeCell ref="E26:F26"/>
    <mergeCell ref="G26:H26"/>
    <mergeCell ref="E27:F27"/>
    <mergeCell ref="G27:H27"/>
    <mergeCell ref="B1:L1"/>
    <mergeCell ref="B2:L2"/>
    <mergeCell ref="B3:L3"/>
    <mergeCell ref="B4:L4"/>
    <mergeCell ref="H5:I5"/>
    <mergeCell ref="C5:F5"/>
  </mergeCells>
  <printOptions/>
  <pageMargins left="1.7716535433070868" right="0.1968503937007874" top="1.535433070866142" bottom="0.7480314960629921" header="0.31496062992125984" footer="0.31496062992125984"/>
  <pageSetup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N29" sqref="N29"/>
    </sheetView>
  </sheetViews>
  <sheetFormatPr defaultColWidth="11.421875" defaultRowHeight="15"/>
  <cols>
    <col min="1" max="1" width="5.00390625" style="0" customWidth="1"/>
    <col min="2" max="2" width="24.7109375" style="0" customWidth="1"/>
    <col min="3" max="3" width="9.8515625" style="0" customWidth="1"/>
    <col min="4" max="4" width="11.57421875" style="0" customWidth="1"/>
    <col min="5" max="5" width="9.421875" style="0" customWidth="1"/>
    <col min="6" max="6" width="9.7109375" style="0" customWidth="1"/>
    <col min="7" max="7" width="10.57421875" style="0" customWidth="1"/>
    <col min="8" max="8" width="11.57421875" style="0" customWidth="1"/>
    <col min="9" max="9" width="3.7109375" style="0" customWidth="1"/>
    <col min="10" max="10" width="10.57421875" style="0" customWidth="1"/>
    <col min="11" max="11" width="7.421875" style="0" bestFit="1" customWidth="1"/>
    <col min="12" max="12" width="8.57421875" style="0" customWidth="1"/>
    <col min="13" max="13" width="10.28125" style="0" customWidth="1"/>
    <col min="14" max="14" width="9.57421875" style="0" customWidth="1"/>
  </cols>
  <sheetData>
    <row r="1" ht="15">
      <c r="N1" s="6" t="s">
        <v>239</v>
      </c>
    </row>
    <row r="2" spans="1:14" ht="21">
      <c r="A2" s="43"/>
      <c r="B2" s="447" t="s">
        <v>0</v>
      </c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</row>
    <row r="3" spans="1:14" ht="21">
      <c r="A3" s="43"/>
      <c r="B3" s="447" t="s">
        <v>781</v>
      </c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</row>
    <row r="4" spans="1:14" ht="21">
      <c r="A4" s="43"/>
      <c r="B4" s="447" t="s">
        <v>240</v>
      </c>
      <c r="C4" s="447"/>
      <c r="D4" s="447"/>
      <c r="E4" s="447"/>
      <c r="F4" s="447"/>
      <c r="G4" s="447"/>
      <c r="H4" s="447"/>
      <c r="I4" s="447"/>
      <c r="J4" s="447"/>
      <c r="K4" s="447"/>
      <c r="L4" s="447"/>
      <c r="M4" s="447"/>
      <c r="N4" s="447"/>
    </row>
    <row r="5" spans="1:14" ht="15">
      <c r="A5" s="42"/>
      <c r="B5" s="427" t="s">
        <v>18</v>
      </c>
      <c r="C5" s="427"/>
      <c r="D5" s="427"/>
      <c r="E5" s="427"/>
      <c r="F5" s="427"/>
      <c r="G5" s="427"/>
      <c r="H5" s="427"/>
      <c r="I5" s="427"/>
      <c r="J5" s="427"/>
      <c r="K5" s="427"/>
      <c r="L5" s="427"/>
      <c r="M5" s="427"/>
      <c r="N5" s="427"/>
    </row>
    <row r="8" spans="2:14" ht="15">
      <c r="B8" s="84"/>
      <c r="C8" s="452" t="s">
        <v>112</v>
      </c>
      <c r="D8" s="482"/>
      <c r="E8" s="482"/>
      <c r="F8" s="482"/>
      <c r="G8" s="482"/>
      <c r="H8" s="482" t="s">
        <v>128</v>
      </c>
      <c r="I8" s="482"/>
      <c r="J8" s="482"/>
      <c r="K8" s="482"/>
      <c r="L8" s="482"/>
      <c r="M8" s="451"/>
      <c r="N8" s="84"/>
    </row>
    <row r="9" spans="2:14" ht="15">
      <c r="B9" s="87"/>
      <c r="C9" s="91" t="s">
        <v>114</v>
      </c>
      <c r="D9" s="91" t="s">
        <v>241</v>
      </c>
      <c r="E9" s="91" t="s">
        <v>242</v>
      </c>
      <c r="F9" s="91" t="s">
        <v>243</v>
      </c>
      <c r="G9" s="91" t="s">
        <v>244</v>
      </c>
      <c r="H9" s="91" t="s">
        <v>245</v>
      </c>
      <c r="I9" s="91"/>
      <c r="J9" s="91" t="s">
        <v>246</v>
      </c>
      <c r="K9" s="91" t="s">
        <v>247</v>
      </c>
      <c r="L9" s="91" t="s">
        <v>116</v>
      </c>
      <c r="M9" s="112" t="s">
        <v>245</v>
      </c>
      <c r="N9" s="97" t="s">
        <v>248</v>
      </c>
    </row>
    <row r="10" spans="2:14" ht="15">
      <c r="B10" s="92" t="s">
        <v>57</v>
      </c>
      <c r="C10" s="97" t="s">
        <v>197</v>
      </c>
      <c r="D10" s="97" t="s">
        <v>197</v>
      </c>
      <c r="E10" s="97" t="s">
        <v>197</v>
      </c>
      <c r="F10" s="97" t="s">
        <v>197</v>
      </c>
      <c r="G10" s="97" t="s">
        <v>249</v>
      </c>
      <c r="H10" s="97" t="s">
        <v>250</v>
      </c>
      <c r="I10" s="97" t="s">
        <v>251</v>
      </c>
      <c r="J10" s="97" t="s">
        <v>197</v>
      </c>
      <c r="K10" s="97" t="s">
        <v>197</v>
      </c>
      <c r="L10" s="97" t="s">
        <v>197</v>
      </c>
      <c r="M10" s="112" t="s">
        <v>252</v>
      </c>
      <c r="N10" s="97"/>
    </row>
    <row r="11" spans="2:14" ht="15">
      <c r="B11" s="85"/>
      <c r="C11" s="99" t="s">
        <v>120</v>
      </c>
      <c r="D11" s="99" t="s">
        <v>120</v>
      </c>
      <c r="E11" s="99" t="s">
        <v>120</v>
      </c>
      <c r="F11" s="99" t="s">
        <v>120</v>
      </c>
      <c r="G11" s="99" t="s">
        <v>120</v>
      </c>
      <c r="H11" s="99" t="s">
        <v>120</v>
      </c>
      <c r="I11" s="99"/>
      <c r="J11" s="99" t="s">
        <v>120</v>
      </c>
      <c r="K11" s="99" t="s">
        <v>120</v>
      </c>
      <c r="L11" s="99" t="s">
        <v>120</v>
      </c>
      <c r="M11" s="100" t="s">
        <v>120</v>
      </c>
      <c r="N11" s="99" t="s">
        <v>253</v>
      </c>
    </row>
    <row r="12" spans="2:14" ht="15">
      <c r="B12" s="84"/>
      <c r="C12" s="84"/>
      <c r="D12" s="84"/>
      <c r="E12" s="84"/>
      <c r="F12" s="84"/>
      <c r="H12" s="84"/>
      <c r="J12" s="84"/>
      <c r="L12" s="84"/>
      <c r="N12" s="84"/>
    </row>
    <row r="13" spans="2:14" ht="15">
      <c r="B13" s="338" t="s">
        <v>254</v>
      </c>
      <c r="C13" s="339">
        <v>472266</v>
      </c>
      <c r="D13" s="339">
        <v>2073</v>
      </c>
      <c r="E13" s="339">
        <v>0</v>
      </c>
      <c r="F13" s="339">
        <v>0</v>
      </c>
      <c r="G13" s="340">
        <f>+C13+D13+F13+2+E13-3</f>
        <v>474338</v>
      </c>
      <c r="H13" s="339">
        <v>-453198</v>
      </c>
      <c r="I13" s="340">
        <v>10</v>
      </c>
      <c r="J13" s="339">
        <v>-8254</v>
      </c>
      <c r="K13" s="340">
        <v>0</v>
      </c>
      <c r="L13" s="339">
        <v>0</v>
      </c>
      <c r="M13" s="340">
        <f>+H13+J13+L13</f>
        <v>-461452</v>
      </c>
      <c r="N13" s="339">
        <f>+G13+M13</f>
        <v>12886</v>
      </c>
    </row>
    <row r="14" spans="2:14" ht="15">
      <c r="B14" s="338"/>
      <c r="C14" s="339"/>
      <c r="D14" s="339"/>
      <c r="E14" s="339"/>
      <c r="F14" s="339"/>
      <c r="G14" s="340"/>
      <c r="H14" s="339"/>
      <c r="I14" s="340"/>
      <c r="J14" s="339"/>
      <c r="K14" s="340"/>
      <c r="L14" s="339"/>
      <c r="M14" s="340"/>
      <c r="N14" s="339"/>
    </row>
    <row r="15" spans="2:14" ht="15">
      <c r="B15" s="338" t="s">
        <v>255</v>
      </c>
      <c r="C15" s="339">
        <v>757827</v>
      </c>
      <c r="D15" s="339">
        <v>25093</v>
      </c>
      <c r="E15" s="339">
        <v>0</v>
      </c>
      <c r="F15" s="339">
        <v>0</v>
      </c>
      <c r="G15" s="340">
        <f>+C15+D15+F15+2+E15-2</f>
        <v>782920</v>
      </c>
      <c r="H15" s="339">
        <v>-749001</v>
      </c>
      <c r="I15" s="340">
        <v>20</v>
      </c>
      <c r="J15" s="339">
        <v>-13623</v>
      </c>
      <c r="K15" s="340">
        <v>0</v>
      </c>
      <c r="L15" s="339">
        <v>0</v>
      </c>
      <c r="M15" s="340">
        <f>+H15+J15+L15+1</f>
        <v>-762623</v>
      </c>
      <c r="N15" s="339">
        <f>+G15+M15</f>
        <v>20297</v>
      </c>
    </row>
    <row r="16" spans="2:14" ht="15">
      <c r="B16" s="338"/>
      <c r="C16" s="339"/>
      <c r="D16" s="339"/>
      <c r="E16" s="339"/>
      <c r="F16" s="339"/>
      <c r="G16" s="340"/>
      <c r="H16" s="339"/>
      <c r="I16" s="340"/>
      <c r="J16" s="339"/>
      <c r="K16" s="340"/>
      <c r="L16" s="339"/>
      <c r="M16" s="340"/>
      <c r="N16" s="339"/>
    </row>
    <row r="17" spans="2:14" ht="15">
      <c r="B17" s="338" t="s">
        <v>256</v>
      </c>
      <c r="C17" s="339">
        <v>2246273</v>
      </c>
      <c r="D17" s="339">
        <v>0</v>
      </c>
      <c r="E17" s="339">
        <v>0</v>
      </c>
      <c r="F17" s="339">
        <v>0</v>
      </c>
      <c r="G17" s="340">
        <f>+C17+D17+F17+2+E17-4</f>
        <v>2246271</v>
      </c>
      <c r="H17" s="339">
        <v>-1914015</v>
      </c>
      <c r="I17" s="340">
        <v>20</v>
      </c>
      <c r="J17" s="339">
        <v>-39085</v>
      </c>
      <c r="K17" s="340">
        <v>0</v>
      </c>
      <c r="L17" s="339">
        <v>0</v>
      </c>
      <c r="M17" s="340">
        <f>+H17+J17+L17+K17-1</f>
        <v>-1953101</v>
      </c>
      <c r="N17" s="339">
        <f>+G17+M17+1</f>
        <v>293171</v>
      </c>
    </row>
    <row r="18" spans="2:14" ht="15">
      <c r="B18" s="338"/>
      <c r="C18" s="339"/>
      <c r="D18" s="339"/>
      <c r="E18" s="339"/>
      <c r="F18" s="339"/>
      <c r="G18" s="340"/>
      <c r="H18" s="339"/>
      <c r="I18" s="340"/>
      <c r="J18" s="339"/>
      <c r="K18" s="340"/>
      <c r="L18" s="339"/>
      <c r="M18" s="340"/>
      <c r="N18" s="339"/>
    </row>
    <row r="19" spans="2:14" ht="15">
      <c r="B19" s="338" t="s">
        <v>257</v>
      </c>
      <c r="C19" s="339">
        <v>316334</v>
      </c>
      <c r="D19" s="339">
        <v>0</v>
      </c>
      <c r="E19" s="339">
        <v>0</v>
      </c>
      <c r="F19" s="339">
        <v>0</v>
      </c>
      <c r="G19" s="340">
        <f>+C19+D19+F19+2+E19-2</f>
        <v>316334</v>
      </c>
      <c r="H19" s="339">
        <v>-189485</v>
      </c>
      <c r="I19" s="340">
        <v>10</v>
      </c>
      <c r="J19" s="339">
        <v>-5504</v>
      </c>
      <c r="K19" s="340">
        <v>0</v>
      </c>
      <c r="L19" s="339">
        <v>0</v>
      </c>
      <c r="M19" s="340">
        <f>+H19+J19+L19</f>
        <v>-194989</v>
      </c>
      <c r="N19" s="339">
        <f>+G19+M19</f>
        <v>121345</v>
      </c>
    </row>
    <row r="20" spans="2:14" ht="15">
      <c r="B20" s="338"/>
      <c r="C20" s="339"/>
      <c r="D20" s="339"/>
      <c r="E20" s="339"/>
      <c r="F20" s="339"/>
      <c r="G20" s="340"/>
      <c r="H20" s="339"/>
      <c r="I20" s="340"/>
      <c r="J20" s="339"/>
      <c r="K20" s="340"/>
      <c r="L20" s="339"/>
      <c r="M20" s="340"/>
      <c r="N20" s="339"/>
    </row>
    <row r="21" spans="2:14" ht="15">
      <c r="B21" s="338" t="s">
        <v>258</v>
      </c>
      <c r="C21" s="339">
        <v>8727202</v>
      </c>
      <c r="D21" s="339">
        <v>0</v>
      </c>
      <c r="E21" s="339">
        <v>0</v>
      </c>
      <c r="F21" s="339">
        <v>0</v>
      </c>
      <c r="G21" s="340">
        <f>+C21+D21+F21+2+E21-2</f>
        <v>8727202</v>
      </c>
      <c r="H21" s="339">
        <v>-4066033</v>
      </c>
      <c r="I21" s="340">
        <v>25</v>
      </c>
      <c r="J21" s="339">
        <v>-151382</v>
      </c>
      <c r="K21" s="340">
        <v>0</v>
      </c>
      <c r="L21" s="339">
        <v>0</v>
      </c>
      <c r="M21" s="340">
        <f>+H21+J21+L21+K21</f>
        <v>-4217415</v>
      </c>
      <c r="N21" s="339">
        <f>+G21+M21</f>
        <v>4509787</v>
      </c>
    </row>
    <row r="22" spans="2:14" ht="15">
      <c r="B22" s="338"/>
      <c r="C22" s="339"/>
      <c r="D22" s="339"/>
      <c r="E22" s="339"/>
      <c r="F22" s="339"/>
      <c r="G22" s="340"/>
      <c r="H22" s="339"/>
      <c r="I22" s="340"/>
      <c r="J22" s="339"/>
      <c r="K22" s="340"/>
      <c r="L22" s="339"/>
      <c r="M22" s="340"/>
      <c r="N22" s="339"/>
    </row>
    <row r="23" spans="2:14" ht="15">
      <c r="B23" s="338" t="s">
        <v>259</v>
      </c>
      <c r="C23" s="339">
        <v>6918219</v>
      </c>
      <c r="D23" s="339">
        <v>0</v>
      </c>
      <c r="E23" s="339">
        <v>0</v>
      </c>
      <c r="F23" s="339">
        <v>0</v>
      </c>
      <c r="G23" s="340">
        <f>+C23+D23+F23+2+E23-2</f>
        <v>6918219</v>
      </c>
      <c r="H23" s="339">
        <v>0</v>
      </c>
      <c r="I23" s="340">
        <v>0</v>
      </c>
      <c r="J23" s="339">
        <v>0</v>
      </c>
      <c r="K23" s="340">
        <v>0</v>
      </c>
      <c r="L23" s="339">
        <v>0</v>
      </c>
      <c r="M23" s="340">
        <f>+H23+J23+L23</f>
        <v>0</v>
      </c>
      <c r="N23" s="339">
        <f>+G23+M23</f>
        <v>6918219</v>
      </c>
    </row>
    <row r="24" spans="2:14" ht="15">
      <c r="B24" s="338"/>
      <c r="C24" s="339"/>
      <c r="D24" s="339"/>
      <c r="E24" s="339"/>
      <c r="F24" s="339"/>
      <c r="G24" s="340"/>
      <c r="H24" s="339"/>
      <c r="I24" s="340"/>
      <c r="J24" s="339"/>
      <c r="K24" s="340"/>
      <c r="L24" s="339"/>
      <c r="M24" s="340"/>
      <c r="N24" s="339"/>
    </row>
    <row r="25" spans="2:14" ht="15">
      <c r="B25" s="338" t="s">
        <v>260</v>
      </c>
      <c r="C25" s="339">
        <v>0</v>
      </c>
      <c r="D25" s="339">
        <v>0</v>
      </c>
      <c r="E25" s="339">
        <v>0</v>
      </c>
      <c r="F25" s="339">
        <v>0</v>
      </c>
      <c r="G25" s="340">
        <f>+C25+D25+F25+2+E25-2</f>
        <v>0</v>
      </c>
      <c r="H25" s="339">
        <v>0</v>
      </c>
      <c r="I25" s="340">
        <v>0</v>
      </c>
      <c r="J25" s="339">
        <v>0</v>
      </c>
      <c r="K25" s="340">
        <v>0</v>
      </c>
      <c r="L25" s="339">
        <v>0</v>
      </c>
      <c r="M25" s="340">
        <v>0</v>
      </c>
      <c r="N25" s="339">
        <f>+G25+M25</f>
        <v>0</v>
      </c>
    </row>
    <row r="26" spans="2:14" ht="15">
      <c r="B26" s="338"/>
      <c r="C26" s="339"/>
      <c r="D26" s="339"/>
      <c r="E26" s="339"/>
      <c r="F26" s="339"/>
      <c r="G26" s="340"/>
      <c r="H26" s="339"/>
      <c r="I26" s="340"/>
      <c r="J26" s="339"/>
      <c r="K26" s="340"/>
      <c r="L26" s="339"/>
      <c r="M26" s="340"/>
      <c r="N26" s="339"/>
    </row>
    <row r="27" spans="2:14" ht="15">
      <c r="B27" s="338" t="s">
        <v>261</v>
      </c>
      <c r="C27" s="339">
        <v>479463</v>
      </c>
      <c r="D27" s="339">
        <v>0</v>
      </c>
      <c r="E27" s="339">
        <v>0</v>
      </c>
      <c r="F27" s="339">
        <v>0</v>
      </c>
      <c r="G27" s="340">
        <f>+C27+D27+F27+2+E27-1</f>
        <v>479464</v>
      </c>
      <c r="H27" s="339">
        <v>-406916</v>
      </c>
      <c r="I27" s="340">
        <v>25</v>
      </c>
      <c r="J27" s="339">
        <v>-8343</v>
      </c>
      <c r="K27" s="340">
        <v>0</v>
      </c>
      <c r="L27" s="339">
        <v>0</v>
      </c>
      <c r="M27" s="340">
        <f>+H27+J27+L27</f>
        <v>-415259</v>
      </c>
      <c r="N27" s="339">
        <f>+G27+M27</f>
        <v>64205</v>
      </c>
    </row>
    <row r="28" spans="2:14" ht="15">
      <c r="B28" s="338"/>
      <c r="C28" s="339"/>
      <c r="D28" s="339"/>
      <c r="E28" s="339"/>
      <c r="F28" s="339"/>
      <c r="G28" s="340"/>
      <c r="H28" s="339"/>
      <c r="I28" s="340"/>
      <c r="J28" s="339"/>
      <c r="K28" s="340"/>
      <c r="L28" s="339"/>
      <c r="M28" s="340"/>
      <c r="N28" s="339"/>
    </row>
    <row r="29" spans="2:14" ht="15">
      <c r="B29" s="341" t="s">
        <v>782</v>
      </c>
      <c r="C29" s="342">
        <f>SUM(C13:C27)+1</f>
        <v>19917585</v>
      </c>
      <c r="D29" s="342">
        <f>SUM(D13:D27)</f>
        <v>27166</v>
      </c>
      <c r="E29" s="342">
        <f>SUM(E13:E27)</f>
        <v>0</v>
      </c>
      <c r="F29" s="342">
        <f>SUM(F13:F27)</f>
        <v>0</v>
      </c>
      <c r="G29" s="342">
        <f>SUM(C29:F29)+1</f>
        <v>19944752</v>
      </c>
      <c r="H29" s="342">
        <f>SUM(H13:H27)-3</f>
        <v>-7778651</v>
      </c>
      <c r="I29" s="342"/>
      <c r="J29" s="342">
        <f>SUM(J13:J27)</f>
        <v>-226191</v>
      </c>
      <c r="K29" s="342">
        <f>+K21</f>
        <v>0</v>
      </c>
      <c r="L29" s="342">
        <f>SUM(L13:L27)</f>
        <v>0</v>
      </c>
      <c r="M29" s="342">
        <f>SUM(M13:M27)-5</f>
        <v>-8004844</v>
      </c>
      <c r="N29" s="342">
        <f>SUM(N13:N27)+3</f>
        <v>11939913</v>
      </c>
    </row>
    <row r="30" spans="2:14" ht="15">
      <c r="B30" s="341" t="s">
        <v>765</v>
      </c>
      <c r="C30" s="342">
        <v>19373356</v>
      </c>
      <c r="D30" s="342">
        <v>230709</v>
      </c>
      <c r="E30" s="342">
        <v>-27282</v>
      </c>
      <c r="F30" s="342">
        <v>340802</v>
      </c>
      <c r="G30" s="342">
        <f>SUM(C30:F30)</f>
        <v>19917585</v>
      </c>
      <c r="H30" s="342">
        <v>-7330816</v>
      </c>
      <c r="I30" s="342"/>
      <c r="J30" s="342">
        <v>-452382</v>
      </c>
      <c r="K30" s="342">
        <v>4547</v>
      </c>
      <c r="L30" s="342">
        <v>0</v>
      </c>
      <c r="M30" s="342">
        <v>-7778651</v>
      </c>
      <c r="N30" s="342">
        <f>+G30+M30-1+4</f>
        <v>12138937</v>
      </c>
    </row>
    <row r="31" spans="2:14" ht="15">
      <c r="B31" s="343"/>
      <c r="C31" s="342"/>
      <c r="D31" s="342"/>
      <c r="E31" s="342"/>
      <c r="F31" s="342"/>
      <c r="G31" s="342"/>
      <c r="H31" s="342"/>
      <c r="I31" s="342"/>
      <c r="J31" s="342"/>
      <c r="K31" s="342"/>
      <c r="L31" s="342"/>
      <c r="M31" s="342"/>
      <c r="N31" s="344"/>
    </row>
    <row r="32" spans="3:14" ht="15"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</row>
    <row r="33" spans="3:14" ht="15">
      <c r="C33" s="13"/>
      <c r="D33" s="13"/>
      <c r="E33" s="13"/>
      <c r="F33" s="13"/>
      <c r="G33" s="114"/>
      <c r="H33" s="114"/>
      <c r="I33" s="114"/>
      <c r="J33" s="13"/>
      <c r="K33" s="13"/>
      <c r="L33" s="13"/>
      <c r="M33" s="13"/>
      <c r="N33" s="13"/>
    </row>
    <row r="34" spans="3:14" ht="15">
      <c r="C34" s="13"/>
      <c r="D34" s="13"/>
      <c r="E34" s="13"/>
      <c r="F34" s="13"/>
      <c r="G34" s="115"/>
      <c r="H34" s="115"/>
      <c r="I34" s="115"/>
      <c r="J34" s="13"/>
      <c r="K34" s="13"/>
      <c r="L34" s="13"/>
      <c r="M34" s="13"/>
      <c r="N34" s="13"/>
    </row>
    <row r="35" spans="3:14" ht="15"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</row>
    <row r="36" spans="3:14" ht="15">
      <c r="C36" s="13"/>
      <c r="D36" s="13"/>
      <c r="E36" s="427" t="s">
        <v>714</v>
      </c>
      <c r="F36" s="427"/>
      <c r="G36" s="427"/>
      <c r="H36" s="427"/>
      <c r="I36" s="13"/>
      <c r="J36" s="427" t="s">
        <v>716</v>
      </c>
      <c r="K36" s="427"/>
      <c r="L36" s="13"/>
      <c r="M36" s="13"/>
      <c r="N36" s="13"/>
    </row>
    <row r="37" spans="3:14" ht="15">
      <c r="C37" s="13"/>
      <c r="D37" s="13"/>
      <c r="E37" s="427" t="s">
        <v>715</v>
      </c>
      <c r="F37" s="427"/>
      <c r="G37" s="427"/>
      <c r="H37" s="427"/>
      <c r="I37" s="13"/>
      <c r="J37" s="427" t="s">
        <v>717</v>
      </c>
      <c r="K37" s="427"/>
      <c r="L37" s="13"/>
      <c r="M37" s="13"/>
      <c r="N37" s="13"/>
    </row>
    <row r="38" spans="3:14" ht="15"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</row>
  </sheetData>
  <sheetProtection/>
  <mergeCells count="12">
    <mergeCell ref="E36:F36"/>
    <mergeCell ref="J36:K36"/>
    <mergeCell ref="E37:F37"/>
    <mergeCell ref="G37:H37"/>
    <mergeCell ref="J37:K37"/>
    <mergeCell ref="G36:H36"/>
    <mergeCell ref="B2:N2"/>
    <mergeCell ref="B3:N3"/>
    <mergeCell ref="B4:N4"/>
    <mergeCell ref="B5:N5"/>
    <mergeCell ref="C8:G8"/>
    <mergeCell ref="H8:M8"/>
  </mergeCells>
  <printOptions/>
  <pageMargins left="1.299212598425197" right="0" top="1.141732283464567" bottom="0.7480314960629921" header="0.31496062992125984" footer="0.31496062992125984"/>
  <pageSetup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1">
      <selection activeCell="B31" sqref="B31"/>
    </sheetView>
  </sheetViews>
  <sheetFormatPr defaultColWidth="11.421875" defaultRowHeight="15"/>
  <cols>
    <col min="1" max="1" width="5.00390625" style="0" customWidth="1"/>
    <col min="2" max="2" width="35.421875" style="0" customWidth="1"/>
    <col min="3" max="3" width="11.28125" style="0" customWidth="1"/>
    <col min="4" max="4" width="14.28125" style="0" customWidth="1"/>
    <col min="5" max="5" width="10.8515625" style="0" customWidth="1"/>
    <col min="6" max="6" width="11.57421875" style="0" customWidth="1"/>
    <col min="7" max="7" width="13.421875" style="0" customWidth="1"/>
    <col min="9" max="9" width="8.00390625" style="0" customWidth="1"/>
    <col min="10" max="10" width="14.421875" style="0" customWidth="1"/>
  </cols>
  <sheetData>
    <row r="1" ht="15">
      <c r="K1" s="6" t="s">
        <v>264</v>
      </c>
    </row>
    <row r="2" spans="1:11" ht="21">
      <c r="A2" s="43"/>
      <c r="B2" s="447" t="s">
        <v>0</v>
      </c>
      <c r="C2" s="447"/>
      <c r="D2" s="447"/>
      <c r="E2" s="447"/>
      <c r="F2" s="447"/>
      <c r="G2" s="447"/>
      <c r="H2" s="447"/>
      <c r="I2" s="447"/>
      <c r="J2" s="447"/>
      <c r="K2" s="447"/>
    </row>
    <row r="3" spans="1:11" ht="21">
      <c r="A3" s="43"/>
      <c r="B3" s="447" t="s">
        <v>781</v>
      </c>
      <c r="C3" s="447"/>
      <c r="D3" s="447"/>
      <c r="E3" s="447"/>
      <c r="F3" s="447"/>
      <c r="G3" s="447"/>
      <c r="H3" s="447"/>
      <c r="I3" s="447"/>
      <c r="J3" s="447"/>
      <c r="K3" s="447"/>
    </row>
    <row r="4" spans="1:11" ht="21">
      <c r="A4" s="43"/>
      <c r="B4" s="447" t="s">
        <v>265</v>
      </c>
      <c r="C4" s="447"/>
      <c r="D4" s="447"/>
      <c r="E4" s="447"/>
      <c r="F4" s="447"/>
      <c r="G4" s="447"/>
      <c r="H4" s="447"/>
      <c r="I4" s="447"/>
      <c r="J4" s="447"/>
      <c r="K4" s="447"/>
    </row>
    <row r="5" spans="1:11" ht="15">
      <c r="A5" s="42"/>
      <c r="B5" s="427" t="s">
        <v>18</v>
      </c>
      <c r="C5" s="427"/>
      <c r="D5" s="427"/>
      <c r="E5" s="427"/>
      <c r="F5" s="427"/>
      <c r="G5" s="427"/>
      <c r="H5" s="427"/>
      <c r="I5" s="427"/>
      <c r="J5" s="427"/>
      <c r="K5" s="427"/>
    </row>
    <row r="8" spans="2:11" ht="15">
      <c r="B8" s="84"/>
      <c r="C8" s="452" t="s">
        <v>112</v>
      </c>
      <c r="D8" s="482"/>
      <c r="E8" s="482"/>
      <c r="F8" s="482"/>
      <c r="G8" s="482" t="s">
        <v>128</v>
      </c>
      <c r="H8" s="482"/>
      <c r="I8" s="482"/>
      <c r="J8" s="451"/>
      <c r="K8" s="84"/>
    </row>
    <row r="9" spans="2:11" ht="15">
      <c r="B9" s="87"/>
      <c r="C9" s="116" t="s">
        <v>114</v>
      </c>
      <c r="D9" s="116"/>
      <c r="E9" s="116"/>
      <c r="F9" s="116" t="s">
        <v>244</v>
      </c>
      <c r="G9" s="116" t="s">
        <v>245</v>
      </c>
      <c r="H9" s="116" t="s">
        <v>197</v>
      </c>
      <c r="I9" s="116"/>
      <c r="J9" s="117" t="s">
        <v>245</v>
      </c>
      <c r="K9" s="92" t="s">
        <v>248</v>
      </c>
    </row>
    <row r="10" spans="2:11" ht="15">
      <c r="B10" s="92" t="s">
        <v>57</v>
      </c>
      <c r="C10" s="92" t="s">
        <v>197</v>
      </c>
      <c r="D10" s="92" t="s">
        <v>266</v>
      </c>
      <c r="E10" s="92" t="s">
        <v>267</v>
      </c>
      <c r="F10" s="92" t="s">
        <v>249</v>
      </c>
      <c r="G10" s="92" t="s">
        <v>250</v>
      </c>
      <c r="H10" s="92"/>
      <c r="I10" s="92" t="s">
        <v>247</v>
      </c>
      <c r="J10" s="117" t="s">
        <v>252</v>
      </c>
      <c r="K10" s="92"/>
    </row>
    <row r="11" spans="2:11" ht="15">
      <c r="B11" s="85"/>
      <c r="C11" s="98" t="s">
        <v>120</v>
      </c>
      <c r="D11" s="98"/>
      <c r="E11" s="98"/>
      <c r="F11" s="98" t="s">
        <v>120</v>
      </c>
      <c r="G11" s="98" t="s">
        <v>120</v>
      </c>
      <c r="H11" s="98" t="s">
        <v>120</v>
      </c>
      <c r="I11" s="98"/>
      <c r="J11" s="118" t="s">
        <v>120</v>
      </c>
      <c r="K11" s="98" t="s">
        <v>253</v>
      </c>
    </row>
    <row r="12" spans="2:11" ht="15">
      <c r="B12" s="84" t="s">
        <v>268</v>
      </c>
      <c r="C12" s="119">
        <v>0</v>
      </c>
      <c r="D12" s="119">
        <v>0</v>
      </c>
      <c r="E12" s="119">
        <v>0</v>
      </c>
      <c r="F12" s="13">
        <v>0</v>
      </c>
      <c r="G12" s="119">
        <v>0</v>
      </c>
      <c r="H12" s="119">
        <v>0</v>
      </c>
      <c r="I12" s="119">
        <v>0</v>
      </c>
      <c r="J12" s="13">
        <v>0</v>
      </c>
      <c r="K12" s="119">
        <v>0</v>
      </c>
    </row>
    <row r="13" spans="2:11" ht="15">
      <c r="B13" s="87"/>
      <c r="C13" s="18"/>
      <c r="D13" s="18"/>
      <c r="E13" s="18"/>
      <c r="F13" s="13"/>
      <c r="G13" s="18"/>
      <c r="H13" s="18"/>
      <c r="I13" s="18"/>
      <c r="J13" s="13"/>
      <c r="K13" s="18"/>
    </row>
    <row r="14" spans="2:11" ht="15">
      <c r="B14" s="87"/>
      <c r="C14" s="18"/>
      <c r="D14" s="18"/>
      <c r="E14" s="18"/>
      <c r="F14" s="13"/>
      <c r="G14" s="18"/>
      <c r="H14" s="18"/>
      <c r="I14" s="18"/>
      <c r="J14" s="13"/>
      <c r="K14" s="18"/>
    </row>
    <row r="15" spans="2:11" ht="18.75">
      <c r="B15" s="87"/>
      <c r="C15" s="18"/>
      <c r="D15" s="120"/>
      <c r="E15" s="121"/>
      <c r="F15" s="121"/>
      <c r="G15" s="121"/>
      <c r="H15" s="121"/>
      <c r="I15" s="14"/>
      <c r="J15" s="13"/>
      <c r="K15" s="18"/>
    </row>
    <row r="16" spans="2:11" ht="18.75">
      <c r="B16" s="87"/>
      <c r="C16" s="18"/>
      <c r="D16" s="483" t="s">
        <v>297</v>
      </c>
      <c r="E16" s="484"/>
      <c r="F16" s="484"/>
      <c r="G16" s="484"/>
      <c r="H16" s="484"/>
      <c r="I16" s="485"/>
      <c r="J16" s="13"/>
      <c r="K16" s="18"/>
    </row>
    <row r="17" spans="2:11" ht="15">
      <c r="B17" s="87"/>
      <c r="C17" s="18"/>
      <c r="D17" s="18"/>
      <c r="E17" s="18"/>
      <c r="F17" s="13"/>
      <c r="G17" s="18"/>
      <c r="H17" s="18"/>
      <c r="I17" s="18"/>
      <c r="J17" s="13"/>
      <c r="K17" s="18"/>
    </row>
    <row r="18" spans="2:11" ht="15">
      <c r="B18" s="87"/>
      <c r="C18" s="18"/>
      <c r="D18" s="18"/>
      <c r="E18" s="18"/>
      <c r="F18" s="13"/>
      <c r="G18" s="18"/>
      <c r="H18" s="18"/>
      <c r="I18" s="18"/>
      <c r="J18" s="13"/>
      <c r="K18" s="18"/>
    </row>
    <row r="19" spans="2:11" ht="15">
      <c r="B19" s="87"/>
      <c r="C19" s="18"/>
      <c r="D19" s="18"/>
      <c r="E19" s="18"/>
      <c r="F19" s="13"/>
      <c r="G19" s="18"/>
      <c r="H19" s="18"/>
      <c r="I19" s="110"/>
      <c r="J19" s="13"/>
      <c r="K19" s="18"/>
    </row>
    <row r="20" spans="2:11" ht="15">
      <c r="B20" s="101" t="s">
        <v>262</v>
      </c>
      <c r="C20" s="34">
        <f>+C12</f>
        <v>0</v>
      </c>
      <c r="D20" s="34"/>
      <c r="E20" s="34">
        <f>+E12</f>
        <v>0</v>
      </c>
      <c r="F20" s="34">
        <f>+F12</f>
        <v>0</v>
      </c>
      <c r="G20" s="34">
        <f>+G12</f>
        <v>0</v>
      </c>
      <c r="H20" s="34">
        <f>+H12</f>
        <v>0</v>
      </c>
      <c r="I20" s="34">
        <f>+I12</f>
        <v>0</v>
      </c>
      <c r="J20" s="34"/>
      <c r="K20" s="34">
        <f>+K12</f>
        <v>0</v>
      </c>
    </row>
    <row r="21" spans="2:11" ht="15">
      <c r="B21" s="113" t="s">
        <v>263</v>
      </c>
      <c r="C21" s="34">
        <v>0</v>
      </c>
      <c r="D21" s="34">
        <v>0</v>
      </c>
      <c r="E21" s="34">
        <v>0</v>
      </c>
      <c r="F21" s="34">
        <f>+C21+E21</f>
        <v>0</v>
      </c>
      <c r="G21" s="34">
        <v>0</v>
      </c>
      <c r="H21" s="34"/>
      <c r="I21" s="34">
        <v>0</v>
      </c>
      <c r="J21" s="34">
        <v>0</v>
      </c>
      <c r="K21" s="34">
        <f>+F21</f>
        <v>0</v>
      </c>
    </row>
    <row r="25" spans="5:8" ht="15">
      <c r="E25" s="427" t="s">
        <v>714</v>
      </c>
      <c r="F25" s="427"/>
      <c r="G25" s="427" t="s">
        <v>716</v>
      </c>
      <c r="H25" s="427"/>
    </row>
    <row r="26" spans="5:8" ht="15">
      <c r="E26" s="427" t="s">
        <v>715</v>
      </c>
      <c r="F26" s="427"/>
      <c r="G26" s="427" t="s">
        <v>717</v>
      </c>
      <c r="H26" s="427"/>
    </row>
  </sheetData>
  <sheetProtection/>
  <mergeCells count="11">
    <mergeCell ref="G8:J8"/>
    <mergeCell ref="E25:F25"/>
    <mergeCell ref="G25:H25"/>
    <mergeCell ref="E26:F26"/>
    <mergeCell ref="G26:H26"/>
    <mergeCell ref="D16:I16"/>
    <mergeCell ref="B2:K2"/>
    <mergeCell ref="B3:K3"/>
    <mergeCell ref="B4:K4"/>
    <mergeCell ref="B5:K5"/>
    <mergeCell ref="C8:F8"/>
  </mergeCells>
  <printOptions/>
  <pageMargins left="1.4960629921259843" right="1.299212598425197" top="1.3385826771653544" bottom="0.7480314960629921" header="0.31496062992125984" footer="0.31496062992125984"/>
  <pageSetup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B4" sqref="B4:N4"/>
    </sheetView>
  </sheetViews>
  <sheetFormatPr defaultColWidth="11.421875" defaultRowHeight="15"/>
  <cols>
    <col min="1" max="1" width="5.00390625" style="0" customWidth="1"/>
    <col min="2" max="2" width="32.8515625" style="0" customWidth="1"/>
    <col min="3" max="3" width="8.28125" style="0" customWidth="1"/>
    <col min="4" max="4" width="11.7109375" style="0" customWidth="1"/>
    <col min="5" max="5" width="8.421875" style="0" customWidth="1"/>
    <col min="6" max="6" width="8.7109375" style="0" customWidth="1"/>
    <col min="7" max="7" width="13.7109375" style="0" customWidth="1"/>
    <col min="8" max="8" width="7.8515625" style="0" customWidth="1"/>
    <col min="10" max="10" width="10.140625" style="0" customWidth="1"/>
    <col min="11" max="11" width="8.57421875" style="0" customWidth="1"/>
    <col min="13" max="13" width="10.8515625" style="0" customWidth="1"/>
    <col min="14" max="14" width="9.421875" style="0" customWidth="1"/>
  </cols>
  <sheetData>
    <row r="1" ht="15">
      <c r="N1" s="6" t="s">
        <v>269</v>
      </c>
    </row>
    <row r="2" spans="1:14" ht="21">
      <c r="A2" s="43"/>
      <c r="B2" s="447" t="s">
        <v>0</v>
      </c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</row>
    <row r="3" spans="1:14" ht="21">
      <c r="A3" s="43"/>
      <c r="B3" s="447" t="s">
        <v>781</v>
      </c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</row>
    <row r="4" spans="1:14" ht="21">
      <c r="A4" s="43"/>
      <c r="B4" s="447" t="s">
        <v>270</v>
      </c>
      <c r="C4" s="447"/>
      <c r="D4" s="447"/>
      <c r="E4" s="447"/>
      <c r="F4" s="447"/>
      <c r="G4" s="447"/>
      <c r="H4" s="447"/>
      <c r="I4" s="447"/>
      <c r="J4" s="447"/>
      <c r="K4" s="447"/>
      <c r="L4" s="447"/>
      <c r="M4" s="447"/>
      <c r="N4" s="447"/>
    </row>
    <row r="5" spans="1:14" ht="21">
      <c r="A5" s="43"/>
      <c r="B5" s="447" t="s">
        <v>271</v>
      </c>
      <c r="C5" s="447"/>
      <c r="D5" s="447"/>
      <c r="E5" s="447"/>
      <c r="F5" s="447"/>
      <c r="G5" s="447"/>
      <c r="H5" s="447"/>
      <c r="I5" s="447"/>
      <c r="J5" s="447"/>
      <c r="K5" s="447"/>
      <c r="L5" s="447"/>
      <c r="M5" s="447"/>
      <c r="N5" s="447"/>
    </row>
    <row r="6" spans="1:14" ht="15">
      <c r="A6" s="42"/>
      <c r="B6" s="427" t="s">
        <v>18</v>
      </c>
      <c r="C6" s="427"/>
      <c r="D6" s="427"/>
      <c r="E6" s="427"/>
      <c r="F6" s="427"/>
      <c r="G6" s="427"/>
      <c r="H6" s="427"/>
      <c r="I6" s="427"/>
      <c r="J6" s="427"/>
      <c r="K6" s="427"/>
      <c r="L6" s="427"/>
      <c r="M6" s="427"/>
      <c r="N6" s="427"/>
    </row>
    <row r="9" spans="2:14" ht="15">
      <c r="B9" s="84"/>
      <c r="C9" s="122"/>
      <c r="D9" s="123"/>
      <c r="E9" s="123"/>
      <c r="F9" s="123"/>
      <c r="G9" s="124"/>
      <c r="H9" s="124"/>
      <c r="I9" s="123"/>
      <c r="J9" s="451" t="s">
        <v>272</v>
      </c>
      <c r="K9" s="453"/>
      <c r="L9" s="453"/>
      <c r="M9" s="453"/>
      <c r="N9" s="452"/>
    </row>
    <row r="10" spans="2:14" ht="15">
      <c r="B10" s="97" t="s">
        <v>273</v>
      </c>
      <c r="C10" s="97"/>
      <c r="D10" s="97" t="s">
        <v>274</v>
      </c>
      <c r="E10" s="97"/>
      <c r="F10" s="97" t="s">
        <v>274</v>
      </c>
      <c r="G10" s="125" t="s">
        <v>274</v>
      </c>
      <c r="H10" s="125" t="s">
        <v>275</v>
      </c>
      <c r="I10" s="97" t="s">
        <v>274</v>
      </c>
      <c r="J10" s="96" t="s">
        <v>276</v>
      </c>
      <c r="K10" s="97" t="s">
        <v>247</v>
      </c>
      <c r="L10" s="97" t="s">
        <v>277</v>
      </c>
      <c r="M10" s="454" t="s">
        <v>278</v>
      </c>
      <c r="N10" s="455"/>
    </row>
    <row r="11" spans="2:14" ht="15">
      <c r="B11" s="97" t="s">
        <v>279</v>
      </c>
      <c r="C11" s="97" t="s">
        <v>280</v>
      </c>
      <c r="D11" s="97" t="s">
        <v>281</v>
      </c>
      <c r="E11" s="97" t="s">
        <v>282</v>
      </c>
      <c r="F11" s="97" t="s">
        <v>281</v>
      </c>
      <c r="G11" s="97" t="s">
        <v>283</v>
      </c>
      <c r="H11" s="97" t="s">
        <v>284</v>
      </c>
      <c r="I11" s="97" t="s">
        <v>285</v>
      </c>
      <c r="J11" s="97"/>
      <c r="K11" s="97" t="s">
        <v>197</v>
      </c>
      <c r="L11" s="97"/>
      <c r="M11" s="112"/>
      <c r="N11" s="97"/>
    </row>
    <row r="12" spans="2:14" ht="15">
      <c r="B12" s="99" t="s">
        <v>286</v>
      </c>
      <c r="C12" s="99"/>
      <c r="D12" s="99" t="s">
        <v>287</v>
      </c>
      <c r="E12" s="99"/>
      <c r="F12" s="99" t="s">
        <v>189</v>
      </c>
      <c r="G12" s="99" t="s">
        <v>288</v>
      </c>
      <c r="H12" s="99" t="s">
        <v>289</v>
      </c>
      <c r="I12" s="99" t="s">
        <v>290</v>
      </c>
      <c r="J12" s="99" t="s">
        <v>291</v>
      </c>
      <c r="K12" s="99" t="s">
        <v>120</v>
      </c>
      <c r="L12" s="99" t="s">
        <v>292</v>
      </c>
      <c r="M12" s="100" t="s">
        <v>293</v>
      </c>
      <c r="N12" s="99" t="s">
        <v>205</v>
      </c>
    </row>
    <row r="13" spans="2:14" ht="15">
      <c r="B13" s="84"/>
      <c r="C13" s="84"/>
      <c r="D13" s="84"/>
      <c r="E13" s="84"/>
      <c r="F13" s="84"/>
      <c r="H13" s="84"/>
      <c r="J13" s="84"/>
      <c r="L13" s="84"/>
      <c r="N13" s="84"/>
    </row>
    <row r="14" spans="2:14" ht="15">
      <c r="B14" s="87"/>
      <c r="C14" s="87"/>
      <c r="D14" s="87"/>
      <c r="E14" s="87"/>
      <c r="F14" s="87"/>
      <c r="H14" s="87"/>
      <c r="J14" s="87"/>
      <c r="L14" s="87"/>
      <c r="N14" s="87"/>
    </row>
    <row r="15" spans="2:14" ht="15">
      <c r="B15" s="87" t="s">
        <v>294</v>
      </c>
      <c r="C15" s="87"/>
      <c r="D15" s="87"/>
      <c r="E15" s="87"/>
      <c r="F15" s="87"/>
      <c r="H15" s="87"/>
      <c r="J15" s="87"/>
      <c r="L15" s="87"/>
      <c r="N15" s="87"/>
    </row>
    <row r="16" spans="2:14" ht="15">
      <c r="B16" s="87" t="s">
        <v>295</v>
      </c>
      <c r="C16" s="87"/>
      <c r="D16" s="87"/>
      <c r="E16" s="87"/>
      <c r="F16" s="87"/>
      <c r="H16" s="87"/>
      <c r="J16" s="87"/>
      <c r="L16" s="87"/>
      <c r="N16" s="87"/>
    </row>
    <row r="17" spans="2:14" ht="18.75">
      <c r="B17" s="87" t="s">
        <v>296</v>
      </c>
      <c r="C17" s="87"/>
      <c r="D17" s="87"/>
      <c r="E17" s="483" t="s">
        <v>297</v>
      </c>
      <c r="F17" s="484"/>
      <c r="G17" s="484"/>
      <c r="H17" s="484"/>
      <c r="I17" s="484"/>
      <c r="J17" s="485"/>
      <c r="L17" s="87"/>
      <c r="N17" s="87"/>
    </row>
    <row r="18" spans="2:14" ht="15">
      <c r="B18" s="87"/>
      <c r="C18" s="87"/>
      <c r="D18" s="87"/>
      <c r="E18" s="87"/>
      <c r="F18" s="87"/>
      <c r="H18" s="87"/>
      <c r="J18" s="87"/>
      <c r="L18" s="87"/>
      <c r="N18" s="87"/>
    </row>
    <row r="19" spans="2:14" ht="15">
      <c r="B19" s="87"/>
      <c r="C19" s="85"/>
      <c r="D19" s="85"/>
      <c r="E19" s="85"/>
      <c r="F19" s="85"/>
      <c r="H19" s="87"/>
      <c r="J19" s="85"/>
      <c r="K19" s="23"/>
      <c r="L19" s="85"/>
      <c r="M19" s="23"/>
      <c r="N19" s="85"/>
    </row>
    <row r="20" spans="2:14" ht="15">
      <c r="B20" s="84" t="s">
        <v>298</v>
      </c>
      <c r="C20" s="37"/>
      <c r="D20" s="37"/>
      <c r="E20" s="37"/>
      <c r="F20" s="37"/>
      <c r="G20" s="106"/>
      <c r="H20" s="83"/>
      <c r="I20" s="106"/>
      <c r="J20" s="37"/>
      <c r="K20" s="37"/>
      <c r="L20" s="37"/>
      <c r="M20" s="37"/>
      <c r="N20" s="37"/>
    </row>
    <row r="21" spans="2:14" ht="15">
      <c r="B21" s="85" t="s">
        <v>299</v>
      </c>
      <c r="C21" s="37"/>
      <c r="D21" s="37"/>
      <c r="E21" s="37"/>
      <c r="F21" s="37"/>
      <c r="H21" s="83"/>
      <c r="J21" s="37"/>
      <c r="K21" s="37"/>
      <c r="L21" s="37"/>
      <c r="M21" s="37"/>
      <c r="N21" s="37"/>
    </row>
    <row r="22" spans="1:14" ht="15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</row>
    <row r="23" spans="2:14" ht="15">
      <c r="B23" s="84" t="s">
        <v>294</v>
      </c>
      <c r="C23" s="84"/>
      <c r="D23" s="84"/>
      <c r="E23" s="84"/>
      <c r="F23" s="84"/>
      <c r="G23" s="106"/>
      <c r="H23" s="84"/>
      <c r="I23" s="106"/>
      <c r="J23" s="84"/>
      <c r="K23" s="106"/>
      <c r="L23" s="84"/>
      <c r="M23" s="106"/>
      <c r="N23" s="84"/>
    </row>
    <row r="24" spans="2:14" ht="15">
      <c r="B24" s="87" t="s">
        <v>300</v>
      </c>
      <c r="C24" s="87"/>
      <c r="D24" s="87"/>
      <c r="E24" s="87"/>
      <c r="F24" s="87"/>
      <c r="H24" s="87"/>
      <c r="J24" s="87"/>
      <c r="L24" s="87"/>
      <c r="N24" s="87"/>
    </row>
    <row r="25" spans="2:14" ht="15">
      <c r="B25" s="87" t="s">
        <v>296</v>
      </c>
      <c r="C25" s="87"/>
      <c r="D25" s="87"/>
      <c r="E25" s="87"/>
      <c r="F25" s="87"/>
      <c r="H25" s="87"/>
      <c r="J25" s="87"/>
      <c r="L25" s="87"/>
      <c r="N25" s="87"/>
    </row>
    <row r="26" spans="2:14" ht="15">
      <c r="B26" s="87"/>
      <c r="C26" s="87"/>
      <c r="D26" s="87"/>
      <c r="E26" s="87"/>
      <c r="F26" s="87"/>
      <c r="H26" s="87"/>
      <c r="J26" s="87"/>
      <c r="L26" s="87"/>
      <c r="N26" s="87"/>
    </row>
    <row r="27" spans="2:14" ht="15">
      <c r="B27" s="87"/>
      <c r="C27" s="85"/>
      <c r="D27" s="85"/>
      <c r="E27" s="85"/>
      <c r="F27" s="85"/>
      <c r="H27" s="87"/>
      <c r="J27" s="85"/>
      <c r="K27" s="23"/>
      <c r="L27" s="85"/>
      <c r="M27" s="23"/>
      <c r="N27" s="85"/>
    </row>
    <row r="28" spans="2:14" ht="15">
      <c r="B28" s="84" t="s">
        <v>298</v>
      </c>
      <c r="C28" s="37"/>
      <c r="D28" s="37"/>
      <c r="E28" s="37"/>
      <c r="F28" s="37"/>
      <c r="G28" s="106"/>
      <c r="H28" s="83"/>
      <c r="I28" s="106"/>
      <c r="J28" s="37"/>
      <c r="K28" s="37"/>
      <c r="L28" s="37"/>
      <c r="M28" s="37"/>
      <c r="N28" s="37"/>
    </row>
    <row r="29" spans="2:14" ht="15">
      <c r="B29" s="85" t="s">
        <v>299</v>
      </c>
      <c r="C29" s="37"/>
      <c r="D29" s="37"/>
      <c r="E29" s="37"/>
      <c r="F29" s="37"/>
      <c r="H29" s="83"/>
      <c r="J29" s="37"/>
      <c r="K29" s="37"/>
      <c r="L29" s="37"/>
      <c r="M29" s="37"/>
      <c r="N29" s="37"/>
    </row>
    <row r="33" spans="7:10" ht="15">
      <c r="G33" s="427" t="s">
        <v>714</v>
      </c>
      <c r="H33" s="427"/>
      <c r="I33" s="427" t="s">
        <v>716</v>
      </c>
      <c r="J33" s="427"/>
    </row>
    <row r="34" spans="7:10" ht="15">
      <c r="G34" s="427" t="s">
        <v>715</v>
      </c>
      <c r="H34" s="427"/>
      <c r="I34" s="427" t="s">
        <v>717</v>
      </c>
      <c r="J34" s="427"/>
    </row>
  </sheetData>
  <sheetProtection/>
  <mergeCells count="12">
    <mergeCell ref="G33:H33"/>
    <mergeCell ref="I33:J33"/>
    <mergeCell ref="G34:H34"/>
    <mergeCell ref="I34:J34"/>
    <mergeCell ref="M10:N10"/>
    <mergeCell ref="E17:J17"/>
    <mergeCell ref="B2:N2"/>
    <mergeCell ref="B3:N3"/>
    <mergeCell ref="B4:N4"/>
    <mergeCell ref="B5:N5"/>
    <mergeCell ref="B6:N6"/>
    <mergeCell ref="J9:N9"/>
  </mergeCells>
  <printOptions/>
  <pageMargins left="1.1023622047244095" right="0.7086614173228347" top="1.141732283464567" bottom="0.7480314960629921" header="0.31496062992125984" footer="0.31496062992125984"/>
  <pageSetup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B4" sqref="B4:G4"/>
    </sheetView>
  </sheetViews>
  <sheetFormatPr defaultColWidth="11.421875" defaultRowHeight="15"/>
  <cols>
    <col min="1" max="1" width="5.00390625" style="0" customWidth="1"/>
    <col min="2" max="2" width="34.28125" style="0" customWidth="1"/>
    <col min="3" max="3" width="12.8515625" style="0" customWidth="1"/>
    <col min="4" max="4" width="16.00390625" style="0" customWidth="1"/>
    <col min="5" max="5" width="18.140625" style="0" customWidth="1"/>
    <col min="6" max="7" width="19.28125" style="0" customWidth="1"/>
  </cols>
  <sheetData>
    <row r="1" ht="15">
      <c r="G1" s="126" t="s">
        <v>301</v>
      </c>
    </row>
    <row r="2" spans="1:7" ht="21">
      <c r="A2" s="43"/>
      <c r="B2" s="447" t="s">
        <v>0</v>
      </c>
      <c r="C2" s="447"/>
      <c r="D2" s="447"/>
      <c r="E2" s="447"/>
      <c r="F2" s="447"/>
      <c r="G2" s="447"/>
    </row>
    <row r="3" spans="1:7" ht="21">
      <c r="A3" s="43"/>
      <c r="B3" s="447" t="s">
        <v>781</v>
      </c>
      <c r="C3" s="447"/>
      <c r="D3" s="447"/>
      <c r="E3" s="447"/>
      <c r="F3" s="447"/>
      <c r="G3" s="447"/>
    </row>
    <row r="4" spans="1:7" ht="21">
      <c r="A4" s="43"/>
      <c r="B4" s="447" t="s">
        <v>302</v>
      </c>
      <c r="C4" s="447"/>
      <c r="D4" s="447"/>
      <c r="E4" s="447"/>
      <c r="F4" s="447"/>
      <c r="G4" s="447"/>
    </row>
    <row r="5" spans="1:7" ht="15">
      <c r="A5" s="42"/>
      <c r="B5" s="427" t="s">
        <v>18</v>
      </c>
      <c r="C5" s="427"/>
      <c r="D5" s="427"/>
      <c r="E5" s="427"/>
      <c r="F5" s="427"/>
      <c r="G5" s="427"/>
    </row>
    <row r="8" spans="2:7" ht="15">
      <c r="B8" s="486" t="s">
        <v>57</v>
      </c>
      <c r="C8" s="116" t="s">
        <v>303</v>
      </c>
      <c r="D8" s="486" t="s">
        <v>304</v>
      </c>
      <c r="E8" s="116" t="s">
        <v>303</v>
      </c>
      <c r="F8" s="116" t="s">
        <v>305</v>
      </c>
      <c r="G8" s="116" t="s">
        <v>305</v>
      </c>
    </row>
    <row r="9" spans="2:7" ht="15">
      <c r="B9" s="487"/>
      <c r="C9" s="98" t="s">
        <v>306</v>
      </c>
      <c r="D9" s="487"/>
      <c r="E9" s="98" t="s">
        <v>307</v>
      </c>
      <c r="F9" s="98" t="s">
        <v>308</v>
      </c>
      <c r="G9" s="98" t="s">
        <v>309</v>
      </c>
    </row>
    <row r="10" spans="2:7" ht="15">
      <c r="B10" s="84"/>
      <c r="C10" s="84"/>
      <c r="D10" s="84"/>
      <c r="E10" s="84"/>
      <c r="F10" s="84"/>
      <c r="G10" s="84"/>
    </row>
    <row r="11" spans="2:7" ht="15">
      <c r="B11" s="87"/>
      <c r="C11" s="87"/>
      <c r="D11" s="87"/>
      <c r="E11" s="87"/>
      <c r="F11" s="87"/>
      <c r="G11" s="87"/>
    </row>
    <row r="12" spans="2:7" ht="15">
      <c r="B12" s="87" t="s">
        <v>294</v>
      </c>
      <c r="C12" s="87"/>
      <c r="D12" s="87"/>
      <c r="E12" s="87"/>
      <c r="F12" s="87"/>
      <c r="G12" s="87"/>
    </row>
    <row r="13" spans="2:7" ht="15">
      <c r="B13" s="87" t="s">
        <v>310</v>
      </c>
      <c r="C13" s="87"/>
      <c r="D13" s="87"/>
      <c r="E13" s="87"/>
      <c r="F13" s="87"/>
      <c r="G13" s="85"/>
    </row>
    <row r="14" spans="2:7" ht="18.75">
      <c r="B14" s="87" t="s">
        <v>296</v>
      </c>
      <c r="C14" s="483" t="s">
        <v>297</v>
      </c>
      <c r="D14" s="484"/>
      <c r="E14" s="484"/>
      <c r="F14" s="484"/>
      <c r="G14" s="485"/>
    </row>
    <row r="15" spans="2:7" ht="15">
      <c r="B15" s="87"/>
      <c r="C15" s="87"/>
      <c r="D15" s="87"/>
      <c r="E15" s="87"/>
      <c r="F15" s="87"/>
      <c r="G15" s="84"/>
    </row>
    <row r="16" spans="2:7" ht="15">
      <c r="B16" s="87"/>
      <c r="C16" s="85"/>
      <c r="D16" s="85"/>
      <c r="E16" s="85"/>
      <c r="F16" s="85"/>
      <c r="G16" s="85"/>
    </row>
    <row r="17" spans="2:7" ht="15">
      <c r="B17" s="83" t="s">
        <v>311</v>
      </c>
      <c r="C17" s="83"/>
      <c r="D17" s="83"/>
      <c r="E17" s="83"/>
      <c r="F17" s="83"/>
      <c r="G17" s="83"/>
    </row>
    <row r="18" spans="1:7" ht="15">
      <c r="A18" s="37"/>
      <c r="B18" s="37"/>
      <c r="C18" s="37"/>
      <c r="D18" s="37"/>
      <c r="E18" s="37"/>
      <c r="F18" s="37"/>
      <c r="G18" s="37"/>
    </row>
    <row r="19" spans="2:7" ht="15">
      <c r="B19" s="84"/>
      <c r="C19" s="127"/>
      <c r="D19" s="84"/>
      <c r="E19" s="84"/>
      <c r="F19" s="84"/>
      <c r="G19" s="84"/>
    </row>
    <row r="20" spans="2:7" ht="15">
      <c r="B20" s="87" t="s">
        <v>294</v>
      </c>
      <c r="C20" s="87"/>
      <c r="D20" s="87"/>
      <c r="E20" s="87"/>
      <c r="F20" s="87"/>
      <c r="G20" s="87"/>
    </row>
    <row r="21" spans="2:7" ht="15">
      <c r="B21" s="87" t="s">
        <v>312</v>
      </c>
      <c r="C21" s="87"/>
      <c r="D21" s="87"/>
      <c r="E21" s="87"/>
      <c r="F21" s="87"/>
      <c r="G21" s="87"/>
    </row>
    <row r="22" spans="2:7" ht="15">
      <c r="B22" s="87" t="s">
        <v>296</v>
      </c>
      <c r="C22" s="87"/>
      <c r="D22" s="87"/>
      <c r="E22" s="87"/>
      <c r="F22" s="87"/>
      <c r="G22" s="87"/>
    </row>
    <row r="23" spans="2:7" ht="15">
      <c r="B23" s="87"/>
      <c r="C23" s="85"/>
      <c r="D23" s="85"/>
      <c r="E23" s="85"/>
      <c r="F23" s="85"/>
      <c r="G23" s="85"/>
    </row>
    <row r="24" spans="2:7" ht="15">
      <c r="B24" s="83" t="s">
        <v>311</v>
      </c>
      <c r="C24" s="83"/>
      <c r="D24" s="83"/>
      <c r="E24" s="83"/>
      <c r="F24" s="83"/>
      <c r="G24" s="83"/>
    </row>
    <row r="25" spans="2:7" ht="15">
      <c r="B25" s="83" t="s">
        <v>313</v>
      </c>
      <c r="C25" s="83"/>
      <c r="D25" s="83"/>
      <c r="E25" s="83"/>
      <c r="F25" s="83"/>
      <c r="G25" s="83"/>
    </row>
    <row r="29" spans="4:7" ht="15">
      <c r="D29" s="427" t="s">
        <v>714</v>
      </c>
      <c r="E29" s="427"/>
      <c r="F29" s="427" t="s">
        <v>716</v>
      </c>
      <c r="G29" s="427"/>
    </row>
    <row r="30" spans="4:7" ht="15">
      <c r="D30" s="427" t="s">
        <v>715</v>
      </c>
      <c r="E30" s="427"/>
      <c r="F30" s="427" t="s">
        <v>717</v>
      </c>
      <c r="G30" s="427"/>
    </row>
  </sheetData>
  <sheetProtection/>
  <mergeCells count="11">
    <mergeCell ref="D8:D9"/>
    <mergeCell ref="D29:E29"/>
    <mergeCell ref="F29:G29"/>
    <mergeCell ref="D30:E30"/>
    <mergeCell ref="F30:G30"/>
    <mergeCell ref="C14:G14"/>
    <mergeCell ref="B2:G2"/>
    <mergeCell ref="B3:G3"/>
    <mergeCell ref="B4:G4"/>
    <mergeCell ref="B5:G5"/>
    <mergeCell ref="B8:B9"/>
  </mergeCells>
  <printOptions/>
  <pageMargins left="1.8897637795275593" right="0" top="0.7480314960629921" bottom="0.7480314960629921" header="0.31496062992125984" footer="0.31496062992125984"/>
  <pageSetup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</dc:creator>
  <cp:keywords/>
  <dc:description/>
  <cp:lastModifiedBy>Gloria</cp:lastModifiedBy>
  <cp:lastPrinted>2020-08-14T17:07:14Z</cp:lastPrinted>
  <dcterms:created xsi:type="dcterms:W3CDTF">2013-08-28T19:49:48Z</dcterms:created>
  <dcterms:modified xsi:type="dcterms:W3CDTF">2020-08-17T16:16:26Z</dcterms:modified>
  <cp:category/>
  <cp:version/>
  <cp:contentType/>
  <cp:contentStatus/>
</cp:coreProperties>
</file>