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605" windowHeight="6855" tabRatio="759" activeTab="0"/>
  </bookViews>
  <sheets>
    <sheet name="Caratula" sheetId="1" r:id="rId1"/>
    <sheet name="Indice" sheetId="2" r:id="rId2"/>
    <sheet name="BG" sheetId="3" r:id="rId3"/>
    <sheet name="ER" sheetId="4" r:id="rId4"/>
    <sheet name="EVPN" sheetId="5" r:id="rId5"/>
    <sheet name="EFE" sheetId="6" r:id="rId6"/>
    <sheet name="Nota1" sheetId="7" r:id="rId7"/>
    <sheet name="Nota 2" sheetId="8" r:id="rId8"/>
    <sheet name="Nota 3" sheetId="9" r:id="rId9"/>
    <sheet name="Nota 4" sheetId="10" r:id="rId10"/>
    <sheet name="Nota 5" sheetId="11" r:id="rId11"/>
    <sheet name="Nota 6" sheetId="12" r:id="rId12"/>
    <sheet name="Nota 7" sheetId="13" r:id="rId13"/>
    <sheet name="Nota 8" sheetId="14" r:id="rId14"/>
    <sheet name="Nota 9" sheetId="15" r:id="rId15"/>
    <sheet name="Nota 10" sheetId="16" r:id="rId16"/>
    <sheet name="Nota 11" sheetId="17" r:id="rId17"/>
    <sheet name="Nota 12" sheetId="18" r:id="rId18"/>
    <sheet name="Nota 13" sheetId="19" r:id="rId19"/>
    <sheet name="Nota 14" sheetId="20" r:id="rId20"/>
    <sheet name="Nota 15" sheetId="21" r:id="rId21"/>
    <sheet name="Nota 16" sheetId="22" r:id="rId22"/>
    <sheet name="Nota 17" sheetId="23" r:id="rId23"/>
    <sheet name="Nota 18" sheetId="24" r:id="rId24"/>
    <sheet name="Nota 19" sheetId="25" r:id="rId25"/>
    <sheet name="Nota 20" sheetId="26" r:id="rId26"/>
    <sheet name=" Nota 21" sheetId="27" r:id="rId27"/>
    <sheet name="Nota 22" sheetId="28" r:id="rId28"/>
    <sheet name="Nota 23" sheetId="29" r:id="rId29"/>
    <sheet name="Nota 24" sheetId="30" r:id="rId30"/>
    <sheet name="Nota 25" sheetId="31" r:id="rId31"/>
    <sheet name="Nota 26" sheetId="32" r:id="rId32"/>
    <sheet name="Nota 27" sheetId="33" r:id="rId33"/>
    <sheet name="Nota 28" sheetId="34" r:id="rId34"/>
    <sheet name="Nota 29" sheetId="35" r:id="rId35"/>
    <sheet name="Nota 30" sheetId="36" r:id="rId36"/>
    <sheet name="Nota 31" sheetId="37" r:id="rId37"/>
    <sheet name="Nota 32" sheetId="38" r:id="rId38"/>
    <sheet name="Nota 33" sheetId="39" r:id="rId39"/>
    <sheet name="Nota 34" sheetId="40" r:id="rId40"/>
    <sheet name="Nota 35" sheetId="41" r:id="rId41"/>
    <sheet name="Nota 36" sheetId="42" r:id="rId42"/>
    <sheet name="Nota 37" sheetId="43" r:id="rId43"/>
    <sheet name="Nota 38" sheetId="44" r:id="rId44"/>
    <sheet name="Nota 39" sheetId="45" r:id="rId45"/>
    <sheet name="Nota 40" sheetId="46" r:id="rId46"/>
    <sheet name="Base de Monedas" sheetId="47" r:id="rId47"/>
  </sheets>
  <definedNames>
    <definedName name="_Hlk15378568" localSheetId="7">'Nota 2'!$A$12</definedName>
    <definedName name="_xlfn.IFERROR" hidden="1">#NAME?</definedName>
    <definedName name="_xlnm.Print_Area" localSheetId="3">'ER'!$A$1:$D$47</definedName>
  </definedNames>
  <calcPr fullCalcOnLoad="1"/>
</workbook>
</file>

<file path=xl/sharedStrings.xml><?xml version="1.0" encoding="utf-8"?>
<sst xmlns="http://schemas.openxmlformats.org/spreadsheetml/2006/main" count="2156" uniqueCount="1030">
  <si>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</si>
  <si>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</si>
  <si>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</si>
  <si>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</si>
  <si>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</si>
  <si>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</si>
  <si>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</si>
  <si>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</si>
  <si>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</si>
  <si>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</si>
  <si>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</si>
  <si>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</si>
  <si>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</si>
  <si>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</si>
  <si>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</si>
  <si>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</si>
  <si>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</si>
  <si>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</si>
  <si>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</si>
  <si>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</si>
  <si>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</si>
  <si>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</si>
  <si>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</si>
  <si>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</si>
  <si>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</si>
  <si>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</si>
  <si>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</si>
  <si>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</si>
  <si>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</si>
  <si>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</si>
  <si>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</si>
  <si>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</si>
  <si>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</si>
  <si>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</si>
  <si>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</si>
  <si>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</si>
  <si>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</si>
  <si>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</si>
  <si>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</si>
  <si>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</si>
  <si>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</si>
  <si>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</si>
  <si>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</si>
  <si>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</si>
  <si>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</si>
  <si>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</si>
  <si>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</si>
  <si>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</si>
  <si>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</si>
  <si>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</si>
  <si>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</si>
  <si>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</si>
  <si>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</si>
  <si>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</si>
  <si>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</si>
  <si>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</si>
  <si>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</si>
  <si>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</si>
  <si>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</si>
  <si>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</si>
  <si>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</si>
  <si>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</si>
  <si>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</si>
  <si>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</si>
  <si>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</si>
  <si>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</si>
  <si>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</si>
  <si>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</si>
  <si>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</si>
  <si>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</si>
  <si>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</si>
  <si>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</si>
  <si>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</si>
  <si>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</si>
  <si>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</si>
  <si>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</si>
  <si>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</si>
  <si>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</si>
  <si>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</si>
  <si>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</si>
  <si>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</si>
  <si>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</si>
  <si>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</si>
  <si>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</si>
  <si>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</si>
  <si>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</si>
  <si>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</si>
  <si>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</si>
  <si>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</si>
  <si>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</si>
  <si>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</si>
  <si>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</si>
  <si>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</si>
  <si>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</si>
  <si>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</si>
  <si>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</si>
  <si>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</si>
  <si>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</si>
  <si>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</si>
  <si>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</si>
  <si>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</si>
  <si>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</si>
  <si>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</si>
  <si>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Detallar cartera vencida y no vencida por clientes locales, extranjeros y partes relacionadas</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</si>
  <si>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</si>
  <si>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</si>
  <si>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</si>
  <si>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</si>
  <si>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</si>
  <si>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</si>
  <si>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</si>
  <si>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</si>
  <si>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</si>
  <si>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</si>
  <si>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</si>
  <si>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</si>
  <si>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</si>
  <si>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</si>
  <si>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</si>
  <si>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</si>
  <si>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</si>
  <si>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</si>
  <si>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</si>
  <si>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</si>
  <si>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</si>
  <si>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</si>
  <si>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</si>
  <si>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</si>
  <si>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</si>
  <si>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</si>
  <si>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</si>
  <si>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</si>
  <si>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</si>
  <si>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</si>
  <si>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</si>
  <si>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</si>
  <si>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</si>
  <si>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</si>
  <si>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(Indicar otras cuentas)</t>
  </si>
  <si>
    <t>Impuesto a la renta a pagar</t>
  </si>
  <si>
    <t>Otros impuestos a pagar</t>
  </si>
  <si>
    <t>(Indicar otros impuestos)</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</si>
  <si>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</si>
  <si>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</si>
  <si>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</si>
  <si>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</si>
  <si>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</si>
  <si>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</si>
  <si>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</si>
  <si>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</si>
  <si>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</si>
  <si>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</si>
  <si>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</si>
  <si>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</si>
  <si>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</si>
  <si>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</si>
  <si>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</si>
  <si>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</si>
  <si>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</si>
  <si>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</si>
  <si>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</si>
  <si>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</si>
  <si>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h. Inventarios</t>
  </si>
  <si>
    <t>j. Intangibles</t>
  </si>
  <si>
    <t>k. Goodwill</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</si>
  <si>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</si>
  <si>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</si>
  <si>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</si>
  <si>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</si>
  <si>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i. Activos disponibles para la venta</t>
  </si>
  <si>
    <t>j. Previsiones para desvalorización y deterioro de inventarios</t>
  </si>
  <si>
    <t>e.   Inversiones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</si>
  <si>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</si>
  <si>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previsiones para desvalorización y deterioro de inventarios han sido estimadas tomando como base la valorización del stock deteriorado existente al cierre del ejercicio.</t>
  </si>
  <si>
    <t>k. Propiedades, planta y equipo</t>
  </si>
  <si>
    <t>Las propiedades, planta y equipo se exponen a su costo histórico ajustado por el coeficiente de revalúo emitido por la Autoridad Tributaria, menos la correspondiente depreciación acumulada. El incremento neto por la re-expresión se acredita a la respectiva reserva patrimonial, cuyo saldo puede ser utilizado únicamente para  aumentar el capital.</t>
  </si>
  <si>
    <t>El costo de las mejoras que extienden la vida útil de los bienes o aumentan su capacidad productiva es imputado a las cuentas respectivas del activo. Los gastos de mantenimiento son cargados a resultados.</t>
  </si>
  <si>
    <t>Los efectos de los ajustes sobre Propiedades, Planta y Equipo de operaciones discontinuadas se exponen formando parte de la línea “Resultados sobre actividades discontinuadas neto de impuesto a la renta” en el Estado de Resultados.</t>
  </si>
  <si>
    <t>Los intangibles se exponen a su costo incurrido menos las correspondientes amortizaciones acumuladas al cierre del año.</t>
  </si>
  <si>
    <t>Este rubro incluye costos incurridos por la sociedad relacionados con ingresos futuros.</t>
  </si>
  <si>
    <t>El saldo de esta cuenta representa la diferencia entre el valor pagado y el valor razonable de los activos netos adquiridos por la operación de compra de la subsidiaria – Compañía XX.</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</si>
  <si>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t>
  </si>
  <si>
    <t>Las estimaciones sobre los flujos de fondos netos son realizadas por la Gerencia sobre la base de las mejores estimaciones disponibles al momento de la preparación de los presentes estados financieros.  Tal como lo establece la NIF 13 emitida por el Consejo de Contadores Públicos del Paraguay, el Goodwill no se amortiza, sino se afecta a resultados por su deterioro según la NIF 18.</t>
  </si>
  <si>
    <t>Los ingresos y egresos son reconocidos en función de su devengamiento.</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</si>
  <si>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</si>
  <si>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En caso de que la sociedad cuente con Fideicomisos vigentes, deberá exponer claramente en notas a los Estados Financieros, dentro del rubro correspondiente al cual pertenece el bien que ha sido objeto del fideicomiso, ya sea “Créditos/Inventarios u otros activos”, restando al valor del rubro perteneciente, al igual que en la constitución de Fideicomisos de Garantía.</t>
  </si>
  <si>
    <t>Deberá indicarse además los datos del contrato de fideicomiso, del fiduciario, monto, vencimiento. En caso de emisiones a través de un Patrimonio Autónomo, registradas en la CNV, deberán agregar los datos de registro, destino de los fondos, calificación de riesgo si lo tuviere.</t>
  </si>
  <si>
    <t>Seguidos en general para cuantificar, valuar y exponer los hechos y bienes económicos en los estados financieros y que fueran relevantes para el lector de los mismos.</t>
  </si>
  <si>
    <t>Simbología según ISO 4217</t>
  </si>
  <si>
    <t>Miles de G.</t>
  </si>
  <si>
    <t>Deberá mencionarse cualquier  tipo de restricción sobre la distribución de utilidades como ser restricciones estatutarias o de entes reguladores y asambleas.</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</si>
  <si>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</si>
  <si>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</si>
  <si>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</si>
  <si>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</si>
  <si>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</si>
  <si>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</si>
  <si>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</si>
  <si>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</si>
  <si>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</si>
  <si>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</si>
  <si>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</si>
  <si>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</si>
  <si>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</si>
  <si>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</si>
  <si>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</si>
  <si>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</si>
  <si>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</si>
  <si>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</si>
  <si>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</si>
  <si>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</si>
  <si>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</si>
  <si>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</si>
  <si>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</si>
  <si>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</si>
  <si>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</si>
  <si>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</si>
  <si>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</si>
  <si>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</si>
  <si>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</si>
  <si>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</si>
  <si>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</si>
  <si>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</si>
  <si>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</si>
  <si>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</si>
  <si>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</si>
  <si>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</si>
  <si>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</si>
  <si>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</si>
  <si>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</si>
  <si>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</si>
  <si>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</si>
  <si>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</si>
  <si>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</si>
  <si>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</si>
  <si>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</si>
  <si>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</si>
  <si>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</si>
  <si>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</si>
  <si>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</si>
  <si>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</si>
  <si>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</si>
  <si>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</si>
  <si>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</si>
  <si>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</si>
  <si>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</si>
  <si>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</si>
  <si>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</si>
  <si>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</si>
  <si>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</si>
  <si>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</si>
  <si>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</si>
  <si>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</si>
  <si>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</si>
  <si>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</si>
  <si>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</si>
  <si>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</si>
  <si>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</si>
  <si>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</si>
  <si>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</si>
  <si>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</si>
  <si>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</si>
  <si>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</si>
  <si>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</si>
  <si>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</si>
  <si>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</si>
  <si>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</si>
  <si>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</si>
  <si>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</si>
  <si>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</si>
  <si>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</si>
  <si>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</si>
  <si>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</si>
  <si>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</si>
  <si>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</si>
  <si>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</si>
  <si>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</si>
  <si>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</si>
  <si>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</si>
  <si>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</si>
  <si>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</si>
  <si>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</si>
  <si>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</si>
  <si>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</si>
  <si>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</si>
  <si>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</si>
  <si>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</si>
  <si>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</si>
  <si>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</si>
  <si>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</si>
  <si>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Distribución de dividendos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</si>
  <si>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</si>
  <si>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</si>
  <si>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</si>
  <si>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</si>
  <si>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</si>
  <si>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 xml:space="preserve">Las inversiones temporales se valúan de acuerdo a los siguientes criterios de valuación:
 Valores mobiliarios: a su valor de cotización al cierre del año/período menos los gastos estimados de venta. Ver Nota ....
 Colocaciones financieras en moneda local: a su valor nominal más los intereses devengados al cierre del año/período. Ver Nota ....
 Colocaciones financieras en moneda extranjera: a su valor de cotización al cierre del año/período más intereses devengados a ese momento. Ver Nota ....
 Las inversiones no corrientes en sociedades donde no se ejerce el control, se valúan a su valor patrimonial proporcional. Ver Nota ....
</t>
  </si>
  <si>
    <t>Las previsiones para cuentas de dudoso cobro se determinan al cierre de cada ejercicio y/o mensualmente sobre la base del estudio de la cartera de créditos realizado con el objeto de determinar la porción no recuperable de las cuentas a cobrar. Las previsiones para cuentas de dudoso cobro se determinan mensualmente de acuerdo con el siguiente esquema de cálculo: (Indicar política de constitución de previsiones)</t>
  </si>
  <si>
    <t>Las existencias se valúan al menor entre su costo de adquisición o de producción y su valor neto de realización (NIF 12, párrafo 5). Para determinar el consumo (baja de inventarios) se aplicarán las fórmulas de costeo siguientes: FIFO, (Primero Entrado Primero en Salir – PEPS); PPP (Precio Promedio Ponderado); o identificación específica (NIF 12, párrafos 16 a 20). Ver Nota ...</t>
  </si>
  <si>
    <t>La depreciación es calculada por el método de línea recta, saldo decreciente o suma de unidades (la emisora elige uno de los tres métodos con base en el patrón esperado de beneficios económicos y lo aplica consistentemente de ejercicio a ejercicio a menos que haya cambios significativos en dicho patrón considerado -NIF 11 párrafo 43 y 48). Ver Nota ...</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</si>
  <si>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t>
  </si>
  <si>
    <t>l. Reconocimiento de ingresos y egresos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</si>
  <si>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</si>
  <si>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</si>
  <si>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</si>
  <si>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</si>
  <si>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</si>
  <si>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</si>
  <si>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</si>
  <si>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</si>
  <si>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</si>
  <si>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</si>
  <si>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</si>
  <si>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</si>
  <si>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</si>
  <si>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</si>
  <si>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</si>
  <si>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</si>
  <si>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</si>
  <si>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</si>
  <si>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</si>
  <si>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</si>
  <si>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</si>
  <si>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</si>
  <si>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</si>
  <si>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</si>
  <si>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</si>
  <si>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</si>
  <si>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</si>
  <si>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</si>
  <si>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</si>
  <si>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</si>
  <si>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</si>
  <si>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</si>
  <si>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</si>
  <si>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</si>
  <si>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</si>
  <si>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</si>
  <si>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</si>
  <si>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</si>
  <si>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</si>
  <si>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</si>
  <si>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</si>
  <si>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</si>
  <si>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</si>
  <si>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</si>
  <si>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</si>
  <si>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</si>
  <si>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</si>
  <si>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</si>
  <si>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</si>
  <si>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</si>
  <si>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</si>
  <si>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</si>
  <si>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</si>
  <si>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</si>
  <si>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</si>
  <si>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</si>
  <si>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</si>
  <si>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</si>
  <si>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</si>
  <si>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</si>
  <si>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</si>
  <si>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</si>
  <si>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</si>
  <si>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</si>
  <si>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</si>
  <si>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</si>
  <si>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</si>
  <si>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</si>
  <si>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</si>
  <si>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</si>
  <si>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</si>
  <si>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</si>
  <si>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</si>
  <si>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</si>
  <si>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</si>
  <si>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</si>
  <si>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</si>
  <si>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</si>
  <si>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</si>
  <si>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</si>
  <si>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</si>
  <si>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</si>
  <si>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</si>
  <si>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</si>
  <si>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</si>
  <si>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</si>
  <si>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</si>
  <si>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</si>
  <si>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</si>
  <si>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</si>
  <si>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</si>
  <si>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Los activos y pasivos en moneda extranjera se valúan a los tipos de cambio vigentes a la fecha de cierre del ejercicio.</t>
  </si>
  <si>
    <t>m. Impuesto a la renta</t>
  </si>
  <si>
    <t>n. Restricciones a la distribución de utilidades</t>
  </si>
  <si>
    <t>o. Derechos en Fideicomiso</t>
  </si>
  <si>
    <t>p. Otros principios, prácticas y métodos</t>
  </si>
  <si>
    <t>Obs.: En caso de la existencia de saldos y transacciones con partes relacionadas, la información que corresponda a ser expuesta por la sociedad, se ajustará  a lo requerido por la Norma de Información Financiera N° 7 Revelaciones de partes relacionadas.</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</si>
  <si>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</si>
  <si>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</si>
  <si>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</si>
  <si>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</si>
  <si>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</si>
  <si>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</si>
  <si>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</si>
  <si>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</si>
  <si>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</si>
  <si>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</si>
  <si>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</si>
  <si>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</si>
  <si>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</si>
  <si>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</si>
  <si>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</si>
  <si>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</si>
  <si>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</si>
  <si>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</si>
  <si>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</si>
  <si>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</si>
  <si>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</si>
  <si>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</si>
  <si>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</si>
  <si>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</si>
  <si>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</si>
  <si>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</si>
  <si>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</si>
  <si>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</si>
  <si>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</si>
  <si>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</si>
  <si>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</si>
  <si>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</si>
  <si>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</si>
  <si>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</si>
  <si>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</si>
  <si>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</si>
  <si>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</si>
  <si>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</si>
  <si>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</si>
  <si>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</si>
  <si>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</si>
  <si>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</si>
  <si>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</si>
  <si>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</si>
  <si>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</si>
  <si>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</si>
  <si>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</si>
  <si>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</si>
  <si>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</si>
  <si>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</si>
  <si>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</si>
  <si>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</si>
  <si>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</si>
  <si>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</si>
  <si>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</si>
  <si>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</si>
  <si>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</si>
  <si>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</si>
  <si>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</si>
  <si>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</si>
  <si>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</si>
  <si>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</si>
  <si>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</si>
  <si>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</si>
  <si>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</si>
  <si>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</si>
  <si>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</si>
  <si>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</si>
  <si>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</si>
  <si>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</si>
  <si>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</si>
  <si>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</si>
  <si>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</si>
  <si>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</si>
  <si>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</si>
  <si>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</si>
  <si>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</si>
  <si>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</si>
  <si>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</si>
  <si>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</si>
  <si>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</si>
  <si>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</si>
  <si>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</si>
  <si>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</si>
  <si>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</si>
  <si>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</si>
  <si>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</si>
  <si>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</si>
  <si>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</si>
  <si>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</si>
  <si>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</si>
  <si>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</si>
  <si>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</si>
  <si>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</si>
  <si>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</si>
  <si>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</si>
  <si>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</si>
  <si>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</si>
  <si>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</si>
  <si>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</si>
  <si>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</si>
  <si>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</si>
  <si>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</si>
  <si>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</si>
  <si>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</si>
  <si>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</si>
  <si>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</si>
  <si>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</si>
  <si>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</si>
  <si>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</si>
  <si>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</si>
  <si>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</si>
  <si>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</si>
  <si>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</si>
  <si>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</si>
  <si>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</si>
  <si>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</si>
  <si>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</si>
  <si>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</si>
  <si>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</si>
  <si>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</si>
  <si>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</si>
  <si>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</si>
  <si>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</si>
  <si>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</si>
  <si>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</si>
  <si>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</si>
  <si>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</si>
  <si>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</si>
  <si>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</si>
  <si>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</si>
  <si>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</si>
  <si>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</si>
  <si>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</si>
  <si>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</si>
  <si>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</si>
  <si>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</si>
  <si>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</si>
  <si>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</si>
  <si>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</si>
  <si>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</si>
  <si>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</si>
  <si>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</si>
  <si>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</si>
  <si>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</si>
  <si>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</si>
  <si>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</si>
  <si>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</si>
  <si>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</si>
  <si>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</si>
  <si>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</si>
  <si>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</si>
  <si>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</si>
  <si>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</si>
  <si>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</si>
  <si>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</si>
  <si>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</si>
  <si>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</si>
  <si>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</si>
  <si>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</si>
  <si>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</si>
  <si>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</si>
  <si>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</si>
  <si>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</si>
  <si>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</si>
  <si>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</si>
  <si>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</si>
  <si>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</si>
  <si>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</si>
  <si>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</si>
  <si>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</si>
  <si>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</si>
  <si>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</si>
  <si>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</si>
  <si>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</si>
  <si>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</si>
  <si>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</si>
  <si>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</si>
  <si>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</si>
  <si>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</si>
  <si>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</si>
  <si>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</si>
  <si>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</si>
  <si>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</si>
  <si>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</si>
  <si>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</si>
  <si>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</si>
  <si>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</si>
  <si>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</si>
  <si>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</si>
  <si>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</si>
  <si>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</si>
  <si>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</si>
  <si>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</si>
  <si>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</si>
  <si>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</si>
  <si>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</si>
  <si>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</si>
  <si>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</si>
  <si>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</si>
  <si>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</si>
  <si>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</si>
  <si>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</si>
  <si>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</si>
  <si>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</si>
  <si>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</si>
  <si>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</si>
  <si>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</si>
  <si>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</si>
  <si>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</si>
  <si>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</si>
  <si>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</si>
  <si>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</si>
  <si>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</si>
  <si>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</si>
  <si>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</si>
  <si>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</si>
  <si>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</si>
  <si>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</si>
  <si>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</si>
  <si>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</si>
  <si>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</si>
  <si>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</si>
  <si>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</si>
  <si>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</si>
  <si>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</si>
  <si>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</si>
  <si>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</si>
  <si>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</si>
  <si>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</si>
  <si>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</si>
  <si>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</si>
  <si>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</si>
  <si>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</si>
  <si>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</si>
  <si>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</si>
  <si>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</si>
  <si>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</si>
  <si>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</si>
  <si>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</si>
  <si>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</si>
  <si>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</si>
  <si>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</si>
  <si>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</si>
  <si>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</si>
  <si>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</si>
  <si>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</si>
  <si>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</si>
  <si>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</si>
  <si>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</si>
  <si>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</si>
  <si>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</si>
  <si>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</si>
  <si>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</si>
  <si>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</si>
  <si>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</si>
  <si>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</si>
  <si>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</si>
  <si>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</si>
  <si>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</si>
  <si>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</si>
  <si>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</si>
  <si>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</si>
  <si>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</si>
  <si>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</si>
  <si>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</si>
  <si>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</si>
  <si>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</si>
  <si>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</si>
  <si>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</si>
  <si>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</si>
  <si>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</si>
  <si>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</si>
  <si>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</si>
  <si>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</si>
  <si>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</si>
  <si>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</si>
  <si>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</si>
  <si>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</si>
  <si>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</si>
  <si>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</si>
  <si>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</si>
  <si>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</si>
  <si>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</si>
  <si>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</si>
  <si>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</si>
  <si>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</si>
  <si>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</si>
  <si>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</si>
  <si>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</si>
  <si>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</si>
  <si>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</si>
  <si>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</si>
  <si>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</si>
  <si>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</si>
  <si>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</si>
  <si>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</si>
  <si>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</si>
  <si>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</si>
  <si>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</si>
  <si>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</si>
  <si>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</si>
  <si>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</si>
  <si>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</si>
  <si>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</si>
  <si>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</si>
  <si>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</si>
  <si>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</si>
  <si>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</si>
  <si>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</si>
  <si>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</si>
  <si>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</si>
  <si>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</si>
  <si>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</si>
  <si>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</si>
  <si>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</si>
  <si>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</si>
  <si>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</si>
  <si>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</si>
  <si>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</si>
  <si>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</si>
  <si>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</si>
  <si>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</si>
  <si>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</si>
  <si>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</si>
  <si>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</si>
  <si>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</si>
  <si>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</si>
  <si>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</si>
  <si>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</si>
  <si>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</si>
  <si>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</si>
  <si>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</si>
  <si>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</si>
  <si>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</si>
  <si>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</si>
  <si>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</si>
  <si>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</si>
  <si>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</si>
  <si>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</si>
  <si>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</si>
  <si>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</si>
  <si>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</si>
  <si>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</si>
  <si>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</si>
  <si>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</si>
  <si>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</si>
  <si>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</si>
  <si>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</si>
  <si>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</si>
  <si>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</si>
  <si>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</si>
  <si>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</si>
  <si>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</si>
  <si>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</si>
  <si>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</si>
  <si>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</si>
  <si>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</si>
  <si>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</si>
  <si>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</si>
  <si>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</si>
  <si>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</si>
  <si>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</si>
  <si>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</si>
  <si>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</si>
  <si>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</si>
  <si>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</si>
  <si>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</si>
  <si>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</si>
  <si>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</si>
  <si>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</si>
  <si>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</si>
  <si>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</si>
  <si>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</si>
  <si>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</si>
  <si>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</si>
  <si>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</si>
  <si>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</si>
  <si>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</si>
  <si>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</si>
  <si>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</si>
  <si>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</si>
  <si>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</si>
  <si>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</si>
  <si>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</si>
  <si>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</si>
  <si>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</si>
  <si>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</si>
  <si>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</si>
  <si>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</si>
  <si>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</si>
  <si>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</si>
  <si>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</si>
  <si>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</si>
  <si>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</si>
  <si>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</si>
  <si>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</si>
  <si>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</si>
  <si>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</si>
  <si>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</si>
  <si>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</si>
  <si>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</si>
  <si>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</si>
  <si>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</si>
  <si>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</si>
  <si>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</si>
  <si>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</si>
  <si>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</si>
  <si>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</si>
  <si>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</si>
  <si>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</si>
  <si>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</si>
  <si>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</si>
  <si>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</si>
  <si>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</si>
  <si>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</si>
  <si>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</si>
  <si>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</si>
  <si>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</si>
  <si>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</si>
  <si>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</si>
  <si>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</si>
  <si>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</si>
  <si>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</si>
  <si>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</si>
  <si>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</si>
  <si>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</si>
  <si>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</si>
  <si>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</si>
  <si>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</si>
  <si>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</si>
  <si>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</si>
  <si>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</si>
  <si>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</si>
  <si>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</si>
  <si>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</si>
  <si>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</si>
  <si>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</si>
  <si>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</si>
  <si>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</si>
  <si>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</si>
  <si>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</si>
  <si>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</si>
  <si>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</si>
  <si>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</si>
  <si>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</si>
  <si>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</si>
  <si>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</si>
  <si>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</si>
  <si>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</si>
  <si>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</si>
  <si>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</si>
  <si>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</si>
  <si>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</si>
  <si>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</si>
  <si>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</si>
  <si>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</si>
  <si>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</si>
  <si>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</si>
  <si>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</si>
  <si>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</si>
  <si>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</si>
  <si>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</si>
  <si>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</si>
  <si>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</si>
  <si>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</si>
  <si>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</si>
  <si>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</si>
  <si>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</si>
  <si>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</si>
  <si>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</si>
  <si>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</si>
  <si>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</si>
  <si>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</si>
  <si>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</si>
  <si>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</si>
  <si>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</si>
  <si>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</si>
  <si>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Ventas linea de negocio 1</t>
  </si>
  <si>
    <t>Ventas linea de negocio 2</t>
  </si>
  <si>
    <t>Local</t>
  </si>
  <si>
    <t>Exterior</t>
  </si>
  <si>
    <t>(nuevas lineas de negocio a incluir)</t>
  </si>
  <si>
    <t>Linea de negocio 1</t>
  </si>
  <si>
    <t>Linea de negocio 2</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</si>
  <si>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</si>
  <si>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</si>
  <si>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</si>
  <si>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</si>
  <si>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</si>
  <si>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</si>
  <si>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</si>
  <si>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</si>
  <si>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</si>
  <si>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</si>
  <si>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</si>
  <si>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</si>
  <si>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</si>
  <si>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</si>
  <si>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</si>
  <si>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</si>
  <si>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</si>
  <si>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</si>
  <si>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</si>
  <si>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</si>
  <si>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</si>
  <si>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</si>
  <si>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</si>
  <si>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</si>
  <si>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</si>
  <si>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</si>
  <si>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</si>
  <si>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</si>
  <si>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</si>
  <si>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</si>
  <si>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</si>
  <si>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</si>
  <si>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</si>
  <si>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</si>
  <si>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</si>
  <si>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&lt;-- Colocar Nombre de la Sociedad</t>
  </si>
  <si>
    <t>Índice</t>
  </si>
  <si>
    <r>
      <rPr>
        <b/>
        <sz val="11"/>
        <color indexed="8"/>
        <rFont val="Arial"/>
        <family val="2"/>
      </rPr>
      <t>"IMPORT CENTER S.A."</t>
    </r>
    <r>
      <rPr>
        <sz val="11"/>
        <color indexed="8"/>
        <rFont val="Arial"/>
        <family val="2"/>
      </rPr>
      <t>con RUC Nº 80021505-2 es una Entidad que fuera constituída  originalmente con la denomina-</t>
    </r>
  </si>
  <si>
    <r>
      <t xml:space="preserve">ción de </t>
    </r>
    <r>
      <rPr>
        <b/>
        <sz val="11"/>
        <color indexed="8"/>
        <rFont val="Arial"/>
        <family val="2"/>
      </rPr>
      <t xml:space="preserve">"CHE TAPYIRA S.R.L." </t>
    </r>
    <r>
      <rPr>
        <sz val="11"/>
        <color indexed="8"/>
        <rFont val="Arial"/>
        <family val="2"/>
      </rPr>
      <t xml:space="preserve">según consta en la Escriura Pública Nº 2 de fecha 10 de Enero de 1984, y de la cual se </t>
    </r>
  </si>
  <si>
    <t>Contratos el 24 de Enero de 1984.  Luego por Escritura Pública Nº 47 de fecha 11 de Mayo de 2000, los Estatutos Socia-</t>
  </si>
  <si>
    <t>dicas y Asociaciones, anotado bajo el Nº 352 Serie "B" al folio 3489, el 26 de Mayo de 2000.</t>
  </si>
  <si>
    <t>La Duración de la Sociedad será de 99 (noventa y nueve) años a contarse desde su inscripción en el Registro de Perso-</t>
  </si>
  <si>
    <t>Valores; y demás actividades detalladas en al Artículo 4ª de los Estatutos Sociales.</t>
  </si>
  <si>
    <r>
      <t xml:space="preserve">les fueron modificados por transformación de: </t>
    </r>
    <r>
      <rPr>
        <b/>
        <sz val="11"/>
        <color indexed="8"/>
        <rFont val="Arial"/>
        <family val="2"/>
      </rPr>
      <t>IMPORT CENTER S.R.L.</t>
    </r>
    <r>
      <rPr>
        <sz val="11"/>
        <color indexed="8"/>
        <rFont val="Arial"/>
        <family val="2"/>
      </rPr>
      <t xml:space="preserve"> a </t>
    </r>
    <r>
      <rPr>
        <b/>
        <sz val="11"/>
        <color indexed="8"/>
        <rFont val="Arial"/>
        <family val="2"/>
      </rPr>
      <t>IMPORT  CENTER S.A.</t>
    </r>
    <r>
      <rPr>
        <sz val="11"/>
        <color indexed="8"/>
        <rFont val="Arial"/>
        <family val="2"/>
      </rPr>
      <t xml:space="preserve">, de cuyo testimonio </t>
    </r>
  </si>
  <si>
    <t>se tomó razón en la Dirección General  de los Registros Públicos, Sección Registro Público de  Comercio,  anotado bajo</t>
  </si>
  <si>
    <t xml:space="preserve">tomó razón en la Dirección General de Registros Públicos de Comercio bajo el Nº 94, folio 22 y siguientes de la  Sección </t>
  </si>
  <si>
    <t>el Nº 491, Serie "A" al folio 3787 y siguientes, Sección Contratos, el 26 de Mayo  de 2000, y  en la Sección  Personas Juri-</t>
  </si>
  <si>
    <t>nas Jurídicas y Asociaciones y en el  Registro Público de  Comercio, de la Dirección  General de los Registros  Públicos.</t>
  </si>
  <si>
    <t>No obstante la Asamblea Extraordinaria de Accionistas puede prorrogar o reducir la duración, o disolver o liquidar  la So -</t>
  </si>
  <si>
    <t>ciedad cuando así lo resolviere de conformidad con las pertinentes  disposiciones de la Ley  y de los Estatutos  Sociales.</t>
  </si>
  <si>
    <t xml:space="preserve">La Empresa tiene como  objeto principal  la realización por  cuenta propia o  de terceros, o asociada con  terceros, en el </t>
  </si>
  <si>
    <t xml:space="preserve">país o en el extranjero, las siguientes  operaciones: a) COMERCIALES:  compra, venta al  por mayor y menor,  permuta, </t>
  </si>
  <si>
    <t>importación y representación de repuestos para motocicletas, bicicletas como así tambien repuestos  y  accesorios, cu -</t>
  </si>
  <si>
    <t xml:space="preserve">biertas para motos y  bicicletas y  equipos  de gimnasia;  b) INDUSTRIALES:  ensamble de bicicletas; c) MERCADO DE </t>
  </si>
  <si>
    <t xml:space="preserve">VALORES:  emitir títulos de deuda con o sin garantía para negociarlos en el mercado de valores a través de la  Bolsa de </t>
  </si>
  <si>
    <t>IMPORT CENTER S.A.</t>
  </si>
  <si>
    <r>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t>
    </r>
    <r>
      <rPr>
        <sz val="9"/>
        <color indexed="10"/>
        <rFont val="Arial"/>
        <family val="2"/>
      </rPr>
      <t xml:space="preserve">puntos … y … de la nota X </t>
    </r>
    <r>
      <rPr>
        <sz val="9"/>
        <color indexed="8"/>
        <rFont val="Arial"/>
        <family val="2"/>
      </rPr>
      <t xml:space="preserve">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r>
  </si>
  <si>
    <r>
      <t xml:space="preserve">De haberse aplicado una corrección monetaria integral de los estados financieros, podrían haber surgido diferencias en la presentación de la situación patrimonial y financiera de la sociedad, en los resultados de sus operaciones y en los flujos de efectivo </t>
    </r>
    <r>
      <rPr>
        <sz val="9"/>
        <color indexed="10"/>
        <rFont val="Arial"/>
        <family val="2"/>
      </rPr>
      <t>al ….., y por los ejercicios cerrados el, 31 de ………. de 20X2 y 20X1. Según el índice general de precios del consumo (IPC) publicado por el Banco Central del Paraguay, la inflación fue de 00,0% en el año 20X2 y 00,0% en el año 20X1</t>
    </r>
    <r>
      <rPr>
        <sz val="9"/>
        <color indexed="8"/>
        <rFont val="Arial"/>
        <family val="2"/>
      </rPr>
      <t xml:space="preserve">.
</t>
    </r>
  </si>
  <si>
    <t>ESTADOS CONTABLES</t>
  </si>
  <si>
    <t>Composición del Capital</t>
  </si>
  <si>
    <t>Acciones</t>
  </si>
  <si>
    <t>Suscripto</t>
  </si>
  <si>
    <t>Integrado</t>
  </si>
  <si>
    <t>Cantidad</t>
  </si>
  <si>
    <t>Votos</t>
  </si>
  <si>
    <t>Tipo</t>
  </si>
  <si>
    <t>G.</t>
  </si>
  <si>
    <t>Voto Múltiple</t>
  </si>
  <si>
    <t>Voto Simple</t>
  </si>
  <si>
    <t>Presidente</t>
  </si>
  <si>
    <t>Dr. Angel Devaca Pavón, Socio</t>
  </si>
  <si>
    <t>CYCE - Consultores y Contadores de Empresas</t>
  </si>
  <si>
    <t>Al solo efecto de identificar estos estados financieros intermedios con nuestro informe de revisión de fecha 30/10/2020</t>
  </si>
  <si>
    <t>en forma comparativa con el Ejercicio anterior.</t>
  </si>
  <si>
    <r>
      <t xml:space="preserve">Correspondiente  al  período  iniciado  el  </t>
    </r>
    <r>
      <rPr>
        <b/>
        <u val="single"/>
        <sz val="11"/>
        <color indexed="8"/>
        <rFont val="Calibri"/>
        <family val="2"/>
      </rPr>
      <t>1º de Enero del año 2021 al 31 de Marzo de 2021</t>
    </r>
    <r>
      <rPr>
        <sz val="11"/>
        <color theme="1"/>
        <rFont val="Calibri"/>
        <family val="2"/>
      </rPr>
      <t>,   presentado</t>
    </r>
  </si>
  <si>
    <t>Domicilio legal: Avda. Rca. Argentina 1851 c/Avda. Eusebio Ayala. Asunción</t>
  </si>
  <si>
    <t>Actividad principal: Importaciones y Representaciones, Industrial</t>
  </si>
  <si>
    <t>Inscripción en el Registro Público de Comercio Nº 47 de los Estatutos Sociales  y sus modificaciones Nº 7, 1, 38, 14, 126 y 101.</t>
  </si>
  <si>
    <t>Inscripción en la Comisión Nacional de Valores: Res. N° 78E/13</t>
  </si>
  <si>
    <t>Inscripción en la Bolsa de Valores y Productos de Asunción Sociedad Anónima:  Resolución Nº 1234/14</t>
  </si>
  <si>
    <t>Fecha de vencimiento del Estatuto o Contrato Social: Año 2099.</t>
  </si>
  <si>
    <t>Lic. Cándido Parra</t>
  </si>
  <si>
    <t>Gabriel Cuttier C.</t>
  </si>
  <si>
    <t>Síndico Titular</t>
  </si>
  <si>
    <t>Retenciones IVA a Aplicar</t>
  </si>
  <si>
    <t>Retenc. Imp.a la Renta a Aplicar</t>
  </si>
  <si>
    <t>Anticipos al Personal</t>
  </si>
  <si>
    <t>Importaciones en Curso</t>
  </si>
  <si>
    <t>Inmuebles</t>
  </si>
  <si>
    <t>Edificios</t>
  </si>
  <si>
    <t>Cheques Emitidos en Diferido Regional</t>
  </si>
  <si>
    <t>Tarjera de Credito - Regional</t>
  </si>
  <si>
    <t>usd</t>
  </si>
  <si>
    <t>pyg</t>
  </si>
  <si>
    <t>NINGUNA</t>
  </si>
  <si>
    <t>BANCO REGIONAL</t>
  </si>
  <si>
    <t>BANCOP</t>
  </si>
  <si>
    <t xml:space="preserve">GNB </t>
  </si>
  <si>
    <t>SUDAMERIS</t>
  </si>
  <si>
    <t>PRESTAMOS PERSONALES</t>
  </si>
  <si>
    <t>LEONCIO CUTTIER</t>
  </si>
  <si>
    <t>DEUDAS BURSATILES</t>
  </si>
  <si>
    <t>PEG 2</t>
  </si>
  <si>
    <t>PEG 3</t>
  </si>
  <si>
    <t>SERIE 3</t>
  </si>
  <si>
    <t>SERIES 1, 2 Y 3</t>
  </si>
  <si>
    <t>SERIES 2 Y 3</t>
  </si>
  <si>
    <t>SERIES 3</t>
  </si>
  <si>
    <t>PGY</t>
  </si>
  <si>
    <t>Guarani</t>
  </si>
  <si>
    <t>ITAU</t>
  </si>
  <si>
    <t>REGIONAL</t>
  </si>
  <si>
    <t>Intereses a pagar Préstamos Personales</t>
  </si>
  <si>
    <t>Intereses a pagar Deudas Bursátiles</t>
  </si>
  <si>
    <t>(-) Intereses a Devengar Préstamos Personales</t>
  </si>
  <si>
    <t>Leoncio Cuttier</t>
  </si>
  <si>
    <t>(-) Intereses a Devengar Deudas Bursátiles</t>
  </si>
  <si>
    <t xml:space="preserve">Intereses a Pagar Préstamos Personales </t>
  </si>
  <si>
    <t>Intereses a Pagar Deudas Bursátiles</t>
  </si>
  <si>
    <t>(-) Intereses a Devengar Deudas Bancarias</t>
  </si>
  <si>
    <t>DEUDAS FINANCIERAS</t>
  </si>
  <si>
    <t>Intereses a pagar a Entidades Financieras</t>
  </si>
  <si>
    <t>Aguinaldos a Pagar</t>
  </si>
  <si>
    <t>IVA Débito Fiscal</t>
  </si>
  <si>
    <t>Diferencia de Cambio</t>
  </si>
  <si>
    <t>Intereses Cobrados</t>
  </si>
  <si>
    <t>Otros Ingresos</t>
  </si>
  <si>
    <t>Utilidad Vta.Bienes de Uso</t>
  </si>
  <si>
    <t>Intereses pagados a Bcos.</t>
  </si>
  <si>
    <t>Gastos Bancarios</t>
  </si>
  <si>
    <t>Intereses s/Bonos Emitidos</t>
  </si>
  <si>
    <t>Entre la fecha de cierre del ejercicio y la fecha de preparación de estos estados financieros, no han ocurrido hechos significativos de carácter financiero o de otra índole que afecten la situación patrimonial o financiera o los resultados de la Sociedad al 31 de Marzo de 2021.</t>
  </si>
  <si>
    <t>Aumento de Capital Social</t>
  </si>
  <si>
    <t>Seguros a Vencer-CP</t>
  </si>
  <si>
    <t>Otros Gtos.a Vencer-CP</t>
  </si>
  <si>
    <t>Operaciones en Curso</t>
  </si>
  <si>
    <t>Obras en Curso</t>
  </si>
  <si>
    <t>Otros Gtos.a Vencer-LP</t>
  </si>
  <si>
    <t>TOTAL PRESTAMOS A CORTO PLAZO</t>
  </si>
  <si>
    <t>TOTAL PRESTAMOS A LARGO PLAZO</t>
  </si>
  <si>
    <t>Dividendos a Pagar</t>
  </si>
  <si>
    <t>- Devolución de Mercaderías</t>
  </si>
  <si>
    <t>Guaraníes</t>
  </si>
  <si>
    <t>Gs.</t>
  </si>
  <si>
    <t>A la fecha de emisión de estos estados financieros, el tipo de cambio de la moneda extranjera es de 6.277,54 del Activo y 6.351,33 del Pasivo en U$S.</t>
  </si>
  <si>
    <r>
      <t xml:space="preserve">Denominación: </t>
    </r>
    <r>
      <rPr>
        <b/>
        <sz val="11"/>
        <rFont val="Arial"/>
        <family val="2"/>
      </rPr>
      <t>IMPORT CENTER S.A.</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</si>
</sst>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_ ;_ * \-#,##0_ ;_ * &quot;-&quot;_ ;_ @_ "/>
    <numFmt numFmtId="165" formatCode="_ * #,##0.00_ ;_ * \-#,##0.00_ ;_ * &quot;-&quot;??_ ;_ @_ "/>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_-* #,##0_-;\-* #,##0_-;_-* &quot;-&quot;_-;_-@_-"/>
    <numFmt numFmtId="174" formatCode="_-* #,##0.00_-;\-* #,##0.00_-;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 _P_t_s_-;\-* #,##0\ _P_t_s_-;_-* &quot;-&quot;\ _P_t_s_-;_-@_-"/>
    <numFmt numFmtId="180" formatCode="#,##0;\(#,##0\)"/>
    <numFmt numFmtId="181" formatCode="[$-C0A]dddd\,\ dd&quot; de &quot;mmmm&quot; de &quot;yyyy"/>
  </numFmts>
  <fonts count="159">
    <font>
      <sz val="11"/>
      <color theme="1"/>
      <name val="Calibri"/>
      <family val="2"/>
    </font>
    <font>
      <sz val="11"/>
      <color indexed="8"/>
      <name val="Calibri"/>
      <family val="2"/>
    </font>
    <font>
      <sz val="10"/>
      <name val="Arial"/>
      <family val="2"/>
    </font>
    <font>
      <b/>
      <sz val="9"/>
      <name val="Arial"/>
      <family val="2"/>
    </font>
    <font>
      <b/>
      <sz val="10"/>
      <name val="Arial"/>
      <family val="2"/>
    </font>
    <font>
      <b/>
      <u val="single"/>
      <sz val="10"/>
      <name val="Arial"/>
      <family val="2"/>
    </font>
    <font>
      <b/>
      <sz val="8"/>
      <name val="Arial"/>
      <family val="2"/>
    </font>
    <font>
      <sz val="11"/>
      <name val="Arial"/>
      <family val="2"/>
    </font>
    <font>
      <b/>
      <sz val="12"/>
      <name val="Arial"/>
      <family val="2"/>
    </font>
    <font>
      <b/>
      <sz val="11"/>
      <name val="Arial"/>
      <family val="2"/>
    </font>
    <font>
      <sz val="10"/>
      <name val="Arial Black"/>
      <family val="2"/>
    </font>
    <font>
      <sz val="9"/>
      <name val="Arial"/>
      <family val="2"/>
    </font>
    <font>
      <sz val="8"/>
      <name val="Arial"/>
      <family val="2"/>
    </font>
    <font>
      <i/>
      <sz val="9"/>
      <name val="Arial"/>
      <family val="2"/>
    </font>
    <font>
      <sz val="11"/>
      <name val="Calibri"/>
      <family val="2"/>
    </font>
    <font>
      <b/>
      <sz val="11"/>
      <name val="Calibri"/>
      <family val="2"/>
    </font>
    <font>
      <i/>
      <sz val="9"/>
      <name val="Calibri"/>
      <family val="2"/>
    </font>
    <font>
      <sz val="9"/>
      <color indexed="8"/>
      <name val="Arial"/>
      <family val="2"/>
    </font>
    <font>
      <sz val="11"/>
      <color indexed="8"/>
      <name val="Arial"/>
      <family val="2"/>
    </font>
    <font>
      <sz val="9"/>
      <color indexed="10"/>
      <name val="Arial"/>
      <family val="2"/>
    </font>
    <font>
      <b/>
      <sz val="11"/>
      <color indexed="8"/>
      <name val="Arial"/>
      <family val="2"/>
    </font>
    <font>
      <sz val="12"/>
      <name val="Arial"/>
      <family val="2"/>
    </font>
    <font>
      <b/>
      <sz val="14"/>
      <name val="Arial"/>
      <family val="2"/>
    </font>
    <font>
      <b/>
      <u val="double"/>
      <sz val="11"/>
      <name val="Arial"/>
      <family val="2"/>
    </font>
    <font>
      <sz val="10"/>
      <name val="Geneva"/>
      <family val="0"/>
    </font>
    <font>
      <b/>
      <i/>
      <sz val="10"/>
      <name val="Times New Roman"/>
      <family val="1"/>
    </font>
    <font>
      <sz val="10"/>
      <name val="Times New Roman"/>
      <family val="1"/>
    </font>
    <font>
      <sz val="9"/>
      <name val="Geneva"/>
      <family val="0"/>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sz val="10"/>
      <color indexed="9"/>
      <name val="Arial"/>
      <family val="2"/>
    </font>
    <font>
      <sz val="10"/>
      <color indexed="10"/>
      <name val="Arial"/>
      <family val="2"/>
    </font>
    <font>
      <sz val="12"/>
      <color indexed="8"/>
      <name val="Arial"/>
      <family val="2"/>
    </font>
    <font>
      <b/>
      <sz val="10"/>
      <color indexed="10"/>
      <name val="Arial"/>
      <family val="2"/>
    </font>
    <font>
      <sz val="12"/>
      <color indexed="9"/>
      <name val="Arial"/>
      <family val="2"/>
    </font>
    <font>
      <sz val="10"/>
      <color indexed="9"/>
      <name val="Arial Black"/>
      <family val="2"/>
    </font>
    <font>
      <b/>
      <sz val="10"/>
      <color indexed="9"/>
      <name val="Arial"/>
      <family val="2"/>
    </font>
    <font>
      <b/>
      <sz val="11"/>
      <color indexed="9"/>
      <name val="Arial Black"/>
      <family val="2"/>
    </font>
    <font>
      <sz val="8"/>
      <color indexed="10"/>
      <name val="Arial"/>
      <family val="2"/>
    </font>
    <font>
      <u val="single"/>
      <sz val="10"/>
      <color indexed="8"/>
      <name val="Arial"/>
      <family val="2"/>
    </font>
    <font>
      <sz val="9"/>
      <color indexed="9"/>
      <name val="Arial"/>
      <family val="2"/>
    </font>
    <font>
      <sz val="9"/>
      <name val="Calibri"/>
      <family val="2"/>
    </font>
    <font>
      <b/>
      <sz val="10"/>
      <color indexed="9"/>
      <name val="Arial Black"/>
      <family val="2"/>
    </font>
    <font>
      <sz val="10"/>
      <color indexed="8"/>
      <name val="Arial Black"/>
      <family val="2"/>
    </font>
    <font>
      <b/>
      <u val="singleAccounting"/>
      <sz val="10"/>
      <color indexed="9"/>
      <name val="Arial Black"/>
      <family val="2"/>
    </font>
    <font>
      <sz val="9"/>
      <color indexed="8"/>
      <name val="Book Antiqua"/>
      <family val="1"/>
    </font>
    <font>
      <sz val="10"/>
      <color indexed="8"/>
      <name val="Calibri"/>
      <family val="2"/>
    </font>
    <font>
      <u val="single"/>
      <sz val="10"/>
      <color indexed="30"/>
      <name val="Arial"/>
      <family val="2"/>
    </font>
    <font>
      <sz val="9"/>
      <color indexed="8"/>
      <name val="Calibri"/>
      <family val="2"/>
    </font>
    <font>
      <i/>
      <sz val="9"/>
      <color indexed="8"/>
      <name val="Calibri"/>
      <family val="2"/>
    </font>
    <font>
      <sz val="12"/>
      <color indexed="8"/>
      <name val="Book Antiqua"/>
      <family val="1"/>
    </font>
    <font>
      <sz val="12"/>
      <color indexed="8"/>
      <name val="Calibri"/>
      <family val="2"/>
    </font>
    <font>
      <b/>
      <sz val="12"/>
      <color indexed="9"/>
      <name val="Calibri"/>
      <family val="2"/>
    </font>
    <font>
      <sz val="12"/>
      <color indexed="9"/>
      <name val="Calibri"/>
      <family val="2"/>
    </font>
    <font>
      <sz val="9"/>
      <color indexed="62"/>
      <name val="Book Antiqua"/>
      <family val="1"/>
    </font>
    <font>
      <i/>
      <sz val="10"/>
      <color indexed="8"/>
      <name val="Arial"/>
      <family val="2"/>
    </font>
    <font>
      <b/>
      <sz val="11"/>
      <color indexed="9"/>
      <name val="Arial"/>
      <family val="2"/>
    </font>
    <font>
      <i/>
      <sz val="11"/>
      <color indexed="8"/>
      <name val="Calibri"/>
      <family val="2"/>
    </font>
    <font>
      <i/>
      <sz val="9"/>
      <color indexed="8"/>
      <name val="Arial"/>
      <family val="2"/>
    </font>
    <font>
      <i/>
      <sz val="11"/>
      <color indexed="8"/>
      <name val="Arial"/>
      <family val="2"/>
    </font>
    <font>
      <b/>
      <sz val="9"/>
      <color indexed="9"/>
      <name val="Arial"/>
      <family val="2"/>
    </font>
    <font>
      <b/>
      <sz val="11"/>
      <color indexed="10"/>
      <name val="Calibri"/>
      <family val="2"/>
    </font>
    <font>
      <b/>
      <sz val="8"/>
      <color indexed="8"/>
      <name val="Calibri"/>
      <family val="2"/>
    </font>
    <font>
      <b/>
      <i/>
      <sz val="11"/>
      <color indexed="8"/>
      <name val="Arial"/>
      <family val="2"/>
    </font>
    <font>
      <sz val="10"/>
      <name val="Calibri"/>
      <family val="2"/>
    </font>
    <font>
      <b/>
      <sz val="10"/>
      <name val="Calibri"/>
      <family val="2"/>
    </font>
    <font>
      <b/>
      <sz val="12"/>
      <color indexed="8"/>
      <name val="Arial"/>
      <family val="2"/>
    </font>
    <font>
      <sz val="11"/>
      <color indexed="9"/>
      <name val="Arial"/>
      <family val="2"/>
    </font>
    <font>
      <sz val="11"/>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9"/>
      <color theme="1"/>
      <name val="Arial"/>
      <family val="2"/>
    </font>
    <font>
      <sz val="8"/>
      <color theme="1"/>
      <name val="Arial"/>
      <family val="2"/>
    </font>
    <font>
      <sz val="11"/>
      <color theme="1"/>
      <name val="Arial"/>
      <family val="2"/>
    </font>
    <font>
      <sz val="10"/>
      <color theme="0"/>
      <name val="Arial"/>
      <family val="2"/>
    </font>
    <font>
      <sz val="10"/>
      <color rgb="FFFF0000"/>
      <name val="Arial"/>
      <family val="2"/>
    </font>
    <font>
      <sz val="9"/>
      <color rgb="FFFF0000"/>
      <name val="Arial"/>
      <family val="2"/>
    </font>
    <font>
      <sz val="12"/>
      <color theme="1"/>
      <name val="Arial"/>
      <family val="2"/>
    </font>
    <font>
      <b/>
      <sz val="10"/>
      <color rgb="FFFF0000"/>
      <name val="Arial"/>
      <family val="2"/>
    </font>
    <font>
      <sz val="12"/>
      <color theme="0"/>
      <name val="Arial"/>
      <family val="2"/>
    </font>
    <font>
      <sz val="10"/>
      <color theme="0"/>
      <name val="Arial Black"/>
      <family val="2"/>
    </font>
    <font>
      <b/>
      <sz val="10"/>
      <color theme="0"/>
      <name val="Arial"/>
      <family val="2"/>
    </font>
    <font>
      <b/>
      <sz val="11"/>
      <color theme="0"/>
      <name val="Arial Black"/>
      <family val="2"/>
    </font>
    <font>
      <sz val="8"/>
      <color rgb="FFFF0000"/>
      <name val="Arial"/>
      <family val="2"/>
    </font>
    <font>
      <u val="single"/>
      <sz val="10"/>
      <color theme="1"/>
      <name val="Arial"/>
      <family val="2"/>
    </font>
    <font>
      <b/>
      <sz val="10"/>
      <color rgb="FF000000"/>
      <name val="Arial"/>
      <family val="2"/>
    </font>
    <font>
      <sz val="9"/>
      <color rgb="FFFFFFFF"/>
      <name val="Arial"/>
      <family val="2"/>
    </font>
    <font>
      <b/>
      <sz val="10"/>
      <color theme="0"/>
      <name val="Arial Black"/>
      <family val="2"/>
    </font>
    <font>
      <sz val="10"/>
      <color theme="1"/>
      <name val="Arial Black"/>
      <family val="2"/>
    </font>
    <font>
      <b/>
      <u val="singleAccounting"/>
      <sz val="10"/>
      <color theme="0"/>
      <name val="Arial Black"/>
      <family val="2"/>
    </font>
    <font>
      <sz val="9"/>
      <color rgb="FF000000"/>
      <name val="Arial"/>
      <family val="2"/>
    </font>
    <font>
      <sz val="9"/>
      <color theme="1"/>
      <name val="Book Antiqua"/>
      <family val="1"/>
    </font>
    <font>
      <sz val="10"/>
      <color theme="1"/>
      <name val="Calibri"/>
      <family val="2"/>
    </font>
    <font>
      <u val="single"/>
      <sz val="10"/>
      <color theme="10"/>
      <name val="Arial"/>
      <family val="2"/>
    </font>
    <font>
      <sz val="9"/>
      <color theme="1"/>
      <name val="Calibri"/>
      <family val="2"/>
    </font>
    <font>
      <i/>
      <sz val="9"/>
      <color theme="1"/>
      <name val="Calibri"/>
      <family val="2"/>
    </font>
    <font>
      <sz val="12"/>
      <color theme="1"/>
      <name val="Book Antiqua"/>
      <family val="1"/>
    </font>
    <font>
      <sz val="12"/>
      <color theme="1"/>
      <name val="Calibri"/>
      <family val="2"/>
    </font>
    <font>
      <b/>
      <sz val="12"/>
      <color theme="0"/>
      <name val="Calibri"/>
      <family val="2"/>
    </font>
    <font>
      <sz val="12"/>
      <color theme="0"/>
      <name val="Calibri"/>
      <family val="2"/>
    </font>
    <font>
      <sz val="11"/>
      <color theme="4"/>
      <name val="Calibri"/>
      <family val="2"/>
    </font>
    <font>
      <sz val="9"/>
      <color theme="4"/>
      <name val="Book Antiqua"/>
      <family val="1"/>
    </font>
    <font>
      <i/>
      <sz val="10"/>
      <color theme="1"/>
      <name val="Arial"/>
      <family val="2"/>
    </font>
    <font>
      <b/>
      <sz val="11"/>
      <color theme="0"/>
      <name val="Arial"/>
      <family val="2"/>
    </font>
    <font>
      <i/>
      <sz val="11"/>
      <color theme="1"/>
      <name val="Calibri"/>
      <family val="2"/>
    </font>
    <font>
      <i/>
      <sz val="9"/>
      <color rgb="FF000000"/>
      <name val="Arial"/>
      <family val="2"/>
    </font>
    <font>
      <i/>
      <sz val="11"/>
      <color theme="1"/>
      <name val="Arial"/>
      <family val="2"/>
    </font>
    <font>
      <b/>
      <sz val="9"/>
      <color rgb="FFFFFFFF"/>
      <name val="Arial"/>
      <family val="2"/>
    </font>
    <font>
      <b/>
      <sz val="9"/>
      <color theme="0"/>
      <name val="Arial"/>
      <family val="2"/>
    </font>
    <font>
      <b/>
      <sz val="10"/>
      <color rgb="FFFFFFFF"/>
      <name val="Arial"/>
      <family val="2"/>
    </font>
    <font>
      <b/>
      <sz val="11"/>
      <color theme="1"/>
      <name val="Arial"/>
      <family val="2"/>
    </font>
    <font>
      <b/>
      <sz val="11"/>
      <color rgb="FFFF0000"/>
      <name val="Calibri"/>
      <family val="2"/>
    </font>
    <font>
      <b/>
      <sz val="8"/>
      <color theme="1"/>
      <name val="Calibri"/>
      <family val="2"/>
    </font>
    <font>
      <b/>
      <sz val="11"/>
      <color rgb="FF000000"/>
      <name val="Calibri"/>
      <family val="2"/>
    </font>
    <font>
      <b/>
      <i/>
      <sz val="11"/>
      <color theme="1"/>
      <name val="Arial"/>
      <family val="2"/>
    </font>
    <font>
      <sz val="11"/>
      <color theme="0"/>
      <name val="Arial"/>
      <family val="2"/>
    </font>
    <font>
      <sz val="11"/>
      <color rgb="FFFF0000"/>
      <name val="Arial"/>
      <family val="2"/>
    </font>
    <font>
      <b/>
      <sz val="12"/>
      <color theme="1"/>
      <name val="Arial"/>
      <family val="2"/>
    </font>
    <font>
      <i/>
      <sz val="9"/>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rgb="FFA6A6A6"/>
        <bgColor indexed="64"/>
      </patternFill>
    </fill>
    <fill>
      <patternFill patternType="solid">
        <fgColor indexed="65"/>
        <bgColor indexed="64"/>
      </patternFill>
    </fill>
    <fill>
      <patternFill patternType="solid">
        <fgColor theme="0"/>
        <bgColor indexed="64"/>
      </patternFill>
    </fill>
    <fill>
      <patternFill patternType="solid">
        <fgColor theme="4" tint="-0.4999699890613556"/>
        <bgColor indexed="64"/>
      </patternFill>
    </fill>
    <fill>
      <patternFill patternType="solid">
        <fgColor rgb="FFFFFFFF"/>
        <bgColor indexed="64"/>
      </patternFill>
    </fill>
    <fill>
      <patternFill patternType="solid">
        <fgColor rgb="FF203764"/>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right/>
      <top/>
      <bottom style="double"/>
    </border>
    <border>
      <left/>
      <right/>
      <top style="thin"/>
      <bottom style="double"/>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right/>
      <top style="thin"/>
      <bottom/>
    </border>
    <border>
      <left style="thin"/>
      <right style="thin"/>
      <top/>
      <bottom/>
    </border>
    <border>
      <left style="medium"/>
      <right style="medium"/>
      <top style="medium"/>
      <bottom style="medium"/>
    </border>
    <border>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thin"/>
      <right/>
      <top style="thin"/>
      <bottom/>
    </border>
    <border>
      <left/>
      <right style="thin"/>
      <top style="thin"/>
      <bottom/>
    </border>
    <border>
      <left style="medium"/>
      <right style="medium"/>
      <top style="thin"/>
      <bottom/>
    </border>
    <border>
      <left/>
      <right style="thin"/>
      <top style="thin"/>
      <bottom style="thin"/>
    </border>
    <border>
      <left style="thin"/>
      <right style="thin"/>
      <top/>
      <bottom style="thin"/>
    </border>
    <border>
      <left/>
      <right/>
      <top style="thin">
        <color rgb="FFFFFFFF"/>
      </top>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bottom/>
    </border>
    <border>
      <left/>
      <right style="thin">
        <color rgb="FFFFFFFF"/>
      </right>
      <top style="thin">
        <color rgb="FFFFFFFF"/>
      </top>
      <bottom style="thin">
        <color rgb="FFFFFFFF"/>
      </bottom>
    </border>
    <border>
      <left style="thin">
        <color rgb="FFFFFFFF"/>
      </left>
      <right/>
      <top style="thin">
        <color rgb="FFFFFFFF"/>
      </top>
      <bottom style="thin"/>
    </border>
    <border>
      <left style="thin">
        <color theme="0"/>
      </left>
      <right style="thin">
        <color theme="0"/>
      </right>
      <top style="thin">
        <color rgb="FFFFFFFF"/>
      </top>
      <bottom style="thin">
        <color theme="0"/>
      </bottom>
    </border>
    <border>
      <left style="medium">
        <color theme="0"/>
      </left>
      <right style="medium">
        <color theme="0"/>
      </right>
      <top style="medium">
        <color theme="0"/>
      </top>
      <bottom style="medium">
        <color theme="0"/>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style="medium">
        <color theme="0"/>
      </top>
      <bottom style="medium">
        <color theme="0"/>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
      <left/>
      <right style="medium"/>
      <top style="thin"/>
      <bottom style="thin"/>
    </border>
    <border>
      <left/>
      <right style="medium"/>
      <top style="thin"/>
      <bottom/>
    </border>
    <border>
      <left/>
      <right style="medium"/>
      <top style="thin"/>
      <bottom style="medium"/>
    </border>
    <border>
      <left style="medium"/>
      <right/>
      <top style="thin"/>
      <bottom/>
    </border>
  </borders>
  <cellStyleXfs count="1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90" fillId="20" borderId="0" applyNumberFormat="0" applyBorder="0" applyAlignment="0" applyProtection="0"/>
    <xf numFmtId="0" fontId="91" fillId="21" borderId="1" applyNumberFormat="0" applyAlignment="0" applyProtection="0"/>
    <xf numFmtId="0" fontId="92" fillId="22" borderId="2" applyNumberFormat="0" applyAlignment="0" applyProtection="0"/>
    <xf numFmtId="0" fontId="93" fillId="0" borderId="3" applyNumberFormat="0" applyFill="0" applyAlignment="0" applyProtection="0"/>
    <xf numFmtId="166" fontId="2" fillId="0" borderId="0" applyFont="0" applyFill="0" applyBorder="0" applyAlignment="0" applyProtection="0"/>
    <xf numFmtId="0" fontId="94" fillId="0" borderId="0" applyNumberFormat="0" applyFill="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28" borderId="0" applyNumberFormat="0" applyBorder="0" applyAlignment="0" applyProtection="0"/>
    <xf numFmtId="0" fontId="95" fillId="29" borderId="1"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73"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74"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00"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101" fillId="21" borderId="5"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6" applyNumberFormat="0" applyFill="0" applyAlignment="0" applyProtection="0"/>
    <xf numFmtId="0" fontId="106" fillId="0" borderId="7" applyNumberFormat="0" applyFill="0" applyAlignment="0" applyProtection="0"/>
    <xf numFmtId="0" fontId="94" fillId="0" borderId="8" applyNumberFormat="0" applyFill="0" applyAlignment="0" applyProtection="0"/>
    <xf numFmtId="0" fontId="107" fillId="0" borderId="9" applyNumberFormat="0" applyFill="0" applyAlignment="0" applyProtection="0"/>
  </cellStyleXfs>
  <cellXfs count="767">
    <xf numFmtId="0" fontId="0" fillId="0" borderId="0" xfId="0" applyFont="1" applyAlignment="1">
      <alignment/>
    </xf>
    <xf numFmtId="0" fontId="108" fillId="0" borderId="0" xfId="0" applyFont="1" applyAlignment="1">
      <alignment vertical="center"/>
    </xf>
    <xf numFmtId="0" fontId="108" fillId="0" borderId="0" xfId="0" applyFont="1" applyAlignment="1">
      <alignment/>
    </xf>
    <xf numFmtId="0" fontId="109" fillId="0" borderId="0" xfId="0" applyFont="1" applyAlignment="1">
      <alignment vertical="center"/>
    </xf>
    <xf numFmtId="0" fontId="110" fillId="0" borderId="0" xfId="0" applyFont="1" applyAlignment="1">
      <alignment vertical="center"/>
    </xf>
    <xf numFmtId="0" fontId="111" fillId="33" borderId="0" xfId="0" applyFont="1" applyFill="1" applyAlignment="1">
      <alignment/>
    </xf>
    <xf numFmtId="0" fontId="109" fillId="33" borderId="10" xfId="0" applyFont="1" applyFill="1" applyBorder="1" applyAlignment="1">
      <alignment/>
    </xf>
    <xf numFmtId="168" fontId="108" fillId="33" borderId="10" xfId="49" applyNumberFormat="1" applyFont="1" applyFill="1" applyBorder="1" applyAlignment="1">
      <alignment/>
    </xf>
    <xf numFmtId="169" fontId="2" fillId="33" borderId="10" xfId="49" applyNumberFormat="1" applyFont="1" applyFill="1" applyBorder="1" applyAlignment="1">
      <alignment/>
    </xf>
    <xf numFmtId="169" fontId="2" fillId="33" borderId="0" xfId="49" applyNumberFormat="1" applyFont="1" applyFill="1" applyAlignment="1">
      <alignment/>
    </xf>
    <xf numFmtId="0" fontId="108" fillId="33" borderId="11" xfId="0" applyFont="1" applyFill="1" applyBorder="1" applyAlignment="1">
      <alignment/>
    </xf>
    <xf numFmtId="0" fontId="108" fillId="33" borderId="0" xfId="0" applyFont="1" applyFill="1" applyAlignment="1">
      <alignment/>
    </xf>
    <xf numFmtId="0" fontId="108" fillId="0" borderId="0" xfId="0" applyFont="1" applyAlignment="1">
      <alignment horizontal="left" vertical="top" wrapText="1"/>
    </xf>
    <xf numFmtId="0" fontId="109" fillId="33" borderId="0" xfId="0" applyFont="1" applyFill="1" applyAlignment="1">
      <alignment/>
    </xf>
    <xf numFmtId="0" fontId="4" fillId="33" borderId="12" xfId="76" applyFont="1" applyFill="1" applyBorder="1" applyAlignment="1">
      <alignment horizontal="left"/>
      <protection/>
    </xf>
    <xf numFmtId="0" fontId="4" fillId="33" borderId="0" xfId="76" applyFont="1" applyFill="1" applyAlignment="1">
      <alignment horizontal="center"/>
      <protection/>
    </xf>
    <xf numFmtId="0" fontId="108" fillId="33" borderId="0" xfId="0" applyFont="1" applyFill="1" applyBorder="1" applyAlignment="1">
      <alignment/>
    </xf>
    <xf numFmtId="169" fontId="4" fillId="33" borderId="13" xfId="49" applyNumberFormat="1" applyFont="1" applyFill="1" applyBorder="1" applyAlignment="1">
      <alignment/>
    </xf>
    <xf numFmtId="167" fontId="4" fillId="33" borderId="0" xfId="56" applyNumberFormat="1" applyFont="1" applyFill="1" applyBorder="1" applyAlignment="1">
      <alignment/>
    </xf>
    <xf numFmtId="167" fontId="108" fillId="33" borderId="0" xfId="0" applyNumberFormat="1" applyFont="1" applyFill="1" applyAlignment="1">
      <alignment/>
    </xf>
    <xf numFmtId="167" fontId="2" fillId="33" borderId="0" xfId="56" applyNumberFormat="1" applyFont="1" applyFill="1" applyAlignment="1">
      <alignment/>
    </xf>
    <xf numFmtId="0" fontId="109" fillId="0" borderId="0" xfId="0" applyFont="1" applyAlignment="1">
      <alignment/>
    </xf>
    <xf numFmtId="3" fontId="108" fillId="33" borderId="0" xfId="0" applyNumberFormat="1" applyFont="1" applyFill="1" applyAlignment="1">
      <alignment/>
    </xf>
    <xf numFmtId="167" fontId="4" fillId="33" borderId="14" xfId="56" applyNumberFormat="1" applyFont="1" applyFill="1" applyBorder="1" applyAlignment="1">
      <alignment/>
    </xf>
    <xf numFmtId="0" fontId="2" fillId="33" borderId="0" xfId="76" applyFont="1" applyFill="1" applyBorder="1" applyAlignment="1">
      <alignment horizontal="left"/>
      <protection/>
    </xf>
    <xf numFmtId="164" fontId="4" fillId="33" borderId="14" xfId="50" applyFont="1" applyFill="1" applyBorder="1" applyAlignment="1">
      <alignment/>
    </xf>
    <xf numFmtId="0" fontId="112" fillId="0" borderId="0" xfId="0" applyFont="1" applyAlignment="1">
      <alignment vertical="center"/>
    </xf>
    <xf numFmtId="164" fontId="108" fillId="33" borderId="0" xfId="50" applyFont="1" applyFill="1" applyAlignment="1">
      <alignment/>
    </xf>
    <xf numFmtId="14" fontId="4" fillId="33" borderId="0" xfId="76" applyNumberFormat="1" applyFont="1" applyFill="1" applyAlignment="1" quotePrefix="1">
      <alignment horizontal="center"/>
      <protection/>
    </xf>
    <xf numFmtId="169" fontId="2" fillId="33" borderId="0" xfId="52" applyNumberFormat="1" applyFont="1" applyFill="1" applyAlignment="1">
      <alignment/>
    </xf>
    <xf numFmtId="164" fontId="109" fillId="33" borderId="14" xfId="0" applyNumberFormat="1" applyFont="1" applyFill="1" applyBorder="1" applyAlignment="1">
      <alignment/>
    </xf>
    <xf numFmtId="0" fontId="4" fillId="33" borderId="12" xfId="77" applyFont="1" applyFill="1" applyBorder="1" applyAlignment="1">
      <alignment horizontal="left"/>
      <protection/>
    </xf>
    <xf numFmtId="0" fontId="2" fillId="33" borderId="0" xfId="0" applyFont="1" applyFill="1" applyAlignment="1">
      <alignment/>
    </xf>
    <xf numFmtId="0" fontId="4" fillId="33" borderId="0" xfId="77" applyFont="1" applyFill="1">
      <alignment/>
      <protection/>
    </xf>
    <xf numFmtId="0" fontId="0" fillId="33" borderId="0" xfId="0" applyFill="1" applyAlignment="1">
      <alignment/>
    </xf>
    <xf numFmtId="0" fontId="4" fillId="0" borderId="0" xfId="0" applyFont="1" applyAlignment="1">
      <alignment/>
    </xf>
    <xf numFmtId="0" fontId="2" fillId="0" borderId="0" xfId="0" applyFont="1" applyFill="1" applyAlignment="1">
      <alignment/>
    </xf>
    <xf numFmtId="0" fontId="108" fillId="0" borderId="0" xfId="0" applyFont="1" applyBorder="1" applyAlignment="1">
      <alignment vertical="center"/>
    </xf>
    <xf numFmtId="0" fontId="113" fillId="0" borderId="0" xfId="0" applyFont="1" applyAlignment="1">
      <alignment/>
    </xf>
    <xf numFmtId="0" fontId="113" fillId="0" borderId="15" xfId="0" applyFont="1" applyBorder="1" applyAlignment="1">
      <alignment/>
    </xf>
    <xf numFmtId="0" fontId="113" fillId="0" borderId="0" xfId="0" applyFont="1" applyBorder="1" applyAlignment="1">
      <alignment/>
    </xf>
    <xf numFmtId="0" fontId="113" fillId="0" borderId="16" xfId="0" applyFont="1" applyBorder="1" applyAlignment="1">
      <alignment/>
    </xf>
    <xf numFmtId="0" fontId="113" fillId="0" borderId="17" xfId="0" applyFont="1" applyBorder="1" applyAlignment="1">
      <alignment/>
    </xf>
    <xf numFmtId="0" fontId="113" fillId="0" borderId="12" xfId="0" applyFont="1" applyBorder="1" applyAlignment="1">
      <alignment/>
    </xf>
    <xf numFmtId="0" fontId="113" fillId="0" borderId="18" xfId="0" applyFont="1" applyBorder="1" applyAlignment="1">
      <alignment/>
    </xf>
    <xf numFmtId="0" fontId="108" fillId="0" borderId="0" xfId="0" applyFont="1" applyBorder="1" applyAlignment="1">
      <alignment/>
    </xf>
    <xf numFmtId="0" fontId="108" fillId="34" borderId="0" xfId="0" applyFont="1" applyFill="1" applyAlignment="1">
      <alignment/>
    </xf>
    <xf numFmtId="0" fontId="109" fillId="0" borderId="0" xfId="0" applyFont="1" applyBorder="1" applyAlignment="1">
      <alignment horizontal="center"/>
    </xf>
    <xf numFmtId="0" fontId="108" fillId="0" borderId="0" xfId="0" applyFont="1" applyFill="1" applyAlignment="1">
      <alignment/>
    </xf>
    <xf numFmtId="0" fontId="4" fillId="33" borderId="12" xfId="81" applyFont="1" applyFill="1" applyBorder="1" applyAlignment="1">
      <alignment horizontal="left"/>
    </xf>
    <xf numFmtId="0" fontId="5" fillId="33" borderId="0" xfId="81" applyFont="1" applyFill="1" applyBorder="1" applyAlignment="1">
      <alignment horizontal="center"/>
    </xf>
    <xf numFmtId="0" fontId="5" fillId="33" borderId="0" xfId="81" applyFont="1" applyFill="1" applyAlignment="1">
      <alignment horizontal="center"/>
    </xf>
    <xf numFmtId="0" fontId="2" fillId="33" borderId="0" xfId="83" applyFont="1" applyFill="1" applyBorder="1">
      <alignment/>
      <protection/>
    </xf>
    <xf numFmtId="0" fontId="2" fillId="33" borderId="0" xfId="83" applyFont="1" applyFill="1">
      <alignment/>
      <protection/>
    </xf>
    <xf numFmtId="3" fontId="2" fillId="33" borderId="0" xfId="83" applyNumberFormat="1" applyFont="1" applyFill="1">
      <alignment/>
      <protection/>
    </xf>
    <xf numFmtId="0" fontId="4" fillId="33" borderId="0" xfId="83" applyFont="1" applyFill="1">
      <alignment/>
      <protection/>
    </xf>
    <xf numFmtId="0" fontId="4" fillId="33" borderId="0" xfId="83" applyFont="1" applyFill="1" applyBorder="1">
      <alignment/>
      <protection/>
    </xf>
    <xf numFmtId="167" fontId="4" fillId="33" borderId="14" xfId="54" applyNumberFormat="1" applyFont="1" applyFill="1" applyBorder="1" applyAlignment="1">
      <alignment/>
    </xf>
    <xf numFmtId="0" fontId="108" fillId="0" borderId="0" xfId="0" applyFont="1" applyAlignment="1">
      <alignment vertical="top" wrapText="1"/>
    </xf>
    <xf numFmtId="0" fontId="112" fillId="0" borderId="0" xfId="0" applyFont="1" applyFill="1" applyAlignment="1">
      <alignment/>
    </xf>
    <xf numFmtId="0" fontId="6" fillId="0" borderId="0" xfId="0" applyFont="1" applyFill="1" applyAlignment="1">
      <alignment/>
    </xf>
    <xf numFmtId="165" fontId="112" fillId="0" borderId="0" xfId="49" applyFont="1" applyFill="1" applyAlignment="1">
      <alignment/>
    </xf>
    <xf numFmtId="167" fontId="6" fillId="0" borderId="0" xfId="49" applyNumberFormat="1" applyFont="1" applyFill="1" applyAlignment="1">
      <alignment/>
    </xf>
    <xf numFmtId="167" fontId="112" fillId="0" borderId="0" xfId="49" applyNumberFormat="1" applyFont="1" applyFill="1" applyAlignment="1">
      <alignment/>
    </xf>
    <xf numFmtId="164" fontId="112" fillId="0" borderId="0" xfId="0" applyNumberFormat="1" applyFont="1" applyFill="1" applyAlignment="1">
      <alignment/>
    </xf>
    <xf numFmtId="167" fontId="108" fillId="0" borderId="0" xfId="0" applyNumberFormat="1" applyFont="1" applyAlignment="1">
      <alignment/>
    </xf>
    <xf numFmtId="169" fontId="108" fillId="0" borderId="0" xfId="0" applyNumberFormat="1" applyFont="1" applyAlignment="1">
      <alignment/>
    </xf>
    <xf numFmtId="0" fontId="0" fillId="0" borderId="0" xfId="0" applyFill="1" applyAlignment="1">
      <alignment/>
    </xf>
    <xf numFmtId="0" fontId="108" fillId="0" borderId="0" xfId="0" applyFont="1" applyFill="1" applyBorder="1" applyAlignment="1">
      <alignment/>
    </xf>
    <xf numFmtId="164" fontId="108" fillId="0" borderId="0" xfId="50" applyFont="1" applyFill="1" applyAlignment="1">
      <alignment/>
    </xf>
    <xf numFmtId="0" fontId="109" fillId="0" borderId="0" xfId="0" applyFont="1" applyFill="1" applyBorder="1" applyAlignment="1">
      <alignment/>
    </xf>
    <xf numFmtId="0" fontId="109" fillId="0" borderId="0" xfId="0" applyFont="1" applyFill="1" applyAlignment="1">
      <alignment vertical="center"/>
    </xf>
    <xf numFmtId="0" fontId="111" fillId="0" borderId="0" xfId="0" applyFont="1" applyFill="1" applyAlignment="1">
      <alignment/>
    </xf>
    <xf numFmtId="0" fontId="114" fillId="0" borderId="0" xfId="0" applyFont="1" applyAlignment="1">
      <alignment/>
    </xf>
    <xf numFmtId="167" fontId="114" fillId="0" borderId="0" xfId="49" applyNumberFormat="1" applyFont="1" applyAlignment="1">
      <alignment/>
    </xf>
    <xf numFmtId="167" fontId="4" fillId="0" borderId="14" xfId="49" applyNumberFormat="1" applyFont="1" applyBorder="1" applyAlignment="1">
      <alignment/>
    </xf>
    <xf numFmtId="167" fontId="114" fillId="0" borderId="0" xfId="0" applyNumberFormat="1" applyFont="1" applyAlignment="1">
      <alignment/>
    </xf>
    <xf numFmtId="169" fontId="2" fillId="0" borderId="0" xfId="49" applyNumberFormat="1" applyFont="1" applyAlignment="1">
      <alignment/>
    </xf>
    <xf numFmtId="167" fontId="115" fillId="0" borderId="0" xfId="49" applyNumberFormat="1" applyFont="1" applyAlignment="1">
      <alignment/>
    </xf>
    <xf numFmtId="167" fontId="115" fillId="0" borderId="0" xfId="0" applyNumberFormat="1" applyFont="1" applyAlignment="1">
      <alignment/>
    </xf>
    <xf numFmtId="172" fontId="108" fillId="0" borderId="0" xfId="0" applyNumberFormat="1" applyFont="1" applyAlignment="1">
      <alignment horizontal="right"/>
    </xf>
    <xf numFmtId="167" fontId="2" fillId="0" borderId="0" xfId="49" applyNumberFormat="1" applyFont="1" applyAlignment="1">
      <alignment/>
    </xf>
    <xf numFmtId="167" fontId="4" fillId="0" borderId="0" xfId="49" applyNumberFormat="1" applyFont="1" applyAlignment="1">
      <alignment/>
    </xf>
    <xf numFmtId="0" fontId="7" fillId="0" borderId="0" xfId="0" applyFont="1" applyAlignment="1">
      <alignment/>
    </xf>
    <xf numFmtId="167" fontId="7" fillId="0" borderId="0" xfId="49" applyNumberFormat="1" applyFont="1" applyAlignment="1">
      <alignment/>
    </xf>
    <xf numFmtId="0" fontId="2" fillId="0" borderId="0" xfId="79" applyFont="1" applyAlignment="1">
      <alignment/>
    </xf>
    <xf numFmtId="167" fontId="108" fillId="0" borderId="0" xfId="49" applyNumberFormat="1" applyFont="1" applyAlignment="1">
      <alignment/>
    </xf>
    <xf numFmtId="0" fontId="108" fillId="0" borderId="0" xfId="0" applyFont="1" applyAlignment="1">
      <alignment horizontal="left"/>
    </xf>
    <xf numFmtId="167" fontId="108" fillId="0" borderId="0" xfId="49" applyNumberFormat="1" applyFont="1" applyAlignment="1">
      <alignment horizontal="center"/>
    </xf>
    <xf numFmtId="0" fontId="3" fillId="0" borderId="0" xfId="0" applyFont="1" applyFill="1" applyAlignment="1">
      <alignment/>
    </xf>
    <xf numFmtId="167" fontId="111" fillId="0" borderId="0" xfId="0" applyNumberFormat="1" applyFont="1" applyFill="1" applyAlignment="1">
      <alignment/>
    </xf>
    <xf numFmtId="171" fontId="116" fillId="0" borderId="0" xfId="50" applyNumberFormat="1" applyFont="1" applyFill="1" applyAlignment="1">
      <alignment/>
    </xf>
    <xf numFmtId="0" fontId="114" fillId="0" borderId="0" xfId="0" applyFont="1" applyFill="1" applyAlignment="1">
      <alignment/>
    </xf>
    <xf numFmtId="0" fontId="4" fillId="0" borderId="0" xfId="0" applyFont="1" applyFill="1" applyAlignment="1">
      <alignment/>
    </xf>
    <xf numFmtId="167" fontId="108" fillId="0" borderId="0" xfId="49" applyNumberFormat="1" applyFont="1" applyFill="1" applyAlignment="1">
      <alignment/>
    </xf>
    <xf numFmtId="0" fontId="108" fillId="0" borderId="0" xfId="0" applyFont="1" applyFill="1" applyAlignment="1">
      <alignment horizontal="left"/>
    </xf>
    <xf numFmtId="0" fontId="115" fillId="0" borderId="0" xfId="0" applyFont="1" applyFill="1" applyAlignment="1">
      <alignment/>
    </xf>
    <xf numFmtId="167" fontId="113" fillId="0" borderId="0" xfId="49" applyNumberFormat="1" applyFont="1" applyAlignment="1">
      <alignment/>
    </xf>
    <xf numFmtId="167" fontId="4" fillId="33" borderId="14" xfId="77" applyNumberFormat="1" applyFont="1" applyFill="1" applyBorder="1">
      <alignment/>
      <protection/>
    </xf>
    <xf numFmtId="164" fontId="109" fillId="33" borderId="0" xfId="0" applyNumberFormat="1" applyFont="1" applyFill="1" applyBorder="1" applyAlignment="1">
      <alignment/>
    </xf>
    <xf numFmtId="167" fontId="4" fillId="33" borderId="0" xfId="77" applyNumberFormat="1" applyFont="1" applyFill="1" applyBorder="1">
      <alignment/>
      <protection/>
    </xf>
    <xf numFmtId="0" fontId="108" fillId="0" borderId="0" xfId="0" applyFont="1" applyAlignment="1">
      <alignment horizontal="left"/>
    </xf>
    <xf numFmtId="0" fontId="112" fillId="33" borderId="0" xfId="0" applyFont="1" applyFill="1" applyAlignment="1">
      <alignment/>
    </xf>
    <xf numFmtId="0" fontId="6" fillId="33" borderId="0" xfId="0" applyFont="1" applyFill="1" applyAlignment="1">
      <alignment/>
    </xf>
    <xf numFmtId="0" fontId="8" fillId="0" borderId="0" xfId="0" applyFont="1" applyFill="1" applyAlignment="1">
      <alignment/>
    </xf>
    <xf numFmtId="0" fontId="117" fillId="0" borderId="0" xfId="0" applyFont="1" applyFill="1" applyAlignment="1">
      <alignment/>
    </xf>
    <xf numFmtId="167" fontId="4" fillId="0" borderId="19" xfId="49" applyNumberFormat="1" applyFont="1" applyFill="1" applyBorder="1" applyAlignment="1">
      <alignment/>
    </xf>
    <xf numFmtId="167" fontId="108" fillId="0" borderId="0" xfId="0" applyNumberFormat="1" applyFont="1" applyFill="1" applyAlignment="1">
      <alignment/>
    </xf>
    <xf numFmtId="167" fontId="2" fillId="0" borderId="0" xfId="49" applyNumberFormat="1" applyFont="1" applyFill="1" applyAlignment="1">
      <alignment/>
    </xf>
    <xf numFmtId="167" fontId="118" fillId="0" borderId="0" xfId="0" applyNumberFormat="1" applyFont="1" applyFill="1" applyAlignment="1">
      <alignment/>
    </xf>
    <xf numFmtId="0" fontId="7" fillId="0" borderId="0" xfId="0" applyFont="1" applyAlignment="1">
      <alignment horizontal="center"/>
    </xf>
    <xf numFmtId="167" fontId="113" fillId="0" borderId="0" xfId="49" applyNumberFormat="1" applyFont="1" applyAlignment="1">
      <alignment horizontal="center"/>
    </xf>
    <xf numFmtId="0" fontId="9" fillId="0" borderId="0" xfId="0" applyFont="1" applyAlignment="1">
      <alignment/>
    </xf>
    <xf numFmtId="167" fontId="108" fillId="0" borderId="0" xfId="49" applyNumberFormat="1" applyFont="1" applyBorder="1" applyAlignment="1">
      <alignment/>
    </xf>
    <xf numFmtId="0" fontId="108" fillId="0" borderId="0" xfId="0" applyFont="1" applyBorder="1" applyAlignment="1">
      <alignment horizontal="left"/>
    </xf>
    <xf numFmtId="167" fontId="108" fillId="0" borderId="0" xfId="49" applyNumberFormat="1" applyFont="1" applyBorder="1" applyAlignment="1">
      <alignment horizontal="center"/>
    </xf>
    <xf numFmtId="167" fontId="4" fillId="0" borderId="0" xfId="49" applyNumberFormat="1" applyFont="1" applyBorder="1" applyAlignment="1">
      <alignment/>
    </xf>
    <xf numFmtId="167" fontId="2" fillId="0" borderId="0" xfId="49" applyNumberFormat="1" applyFont="1" applyBorder="1" applyAlignment="1">
      <alignment/>
    </xf>
    <xf numFmtId="167" fontId="115" fillId="0" borderId="0" xfId="49" applyNumberFormat="1" applyFont="1" applyBorder="1" applyAlignment="1">
      <alignment/>
    </xf>
    <xf numFmtId="0" fontId="108" fillId="0" borderId="15" xfId="0" applyFont="1" applyFill="1" applyBorder="1" applyAlignment="1">
      <alignment/>
    </xf>
    <xf numFmtId="0" fontId="108" fillId="0" borderId="16" xfId="0" applyFont="1" applyFill="1" applyBorder="1" applyAlignment="1">
      <alignment/>
    </xf>
    <xf numFmtId="0" fontId="119" fillId="0" borderId="0" xfId="0" applyFont="1" applyFill="1" applyAlignment="1">
      <alignment/>
    </xf>
    <xf numFmtId="167" fontId="117" fillId="0" borderId="0" xfId="49" applyNumberFormat="1" applyFont="1" applyFill="1" applyAlignment="1">
      <alignment/>
    </xf>
    <xf numFmtId="167" fontId="8" fillId="0" borderId="0" xfId="49" applyNumberFormat="1" applyFont="1" applyFill="1" applyAlignment="1">
      <alignment/>
    </xf>
    <xf numFmtId="0" fontId="117" fillId="0" borderId="0" xfId="0" applyFont="1" applyFill="1" applyAlignment="1">
      <alignment/>
    </xf>
    <xf numFmtId="0" fontId="8" fillId="0" borderId="0" xfId="0" applyFont="1" applyFill="1" applyAlignment="1">
      <alignment/>
    </xf>
    <xf numFmtId="14" fontId="3" fillId="33" borderId="0" xfId="83" applyNumberFormat="1" applyFont="1" applyFill="1" applyBorder="1" applyAlignment="1">
      <alignment horizontal="center"/>
      <protection/>
    </xf>
    <xf numFmtId="169" fontId="2" fillId="33" borderId="12" xfId="52" applyNumberFormat="1" applyFont="1" applyFill="1" applyBorder="1" applyAlignment="1">
      <alignment/>
    </xf>
    <xf numFmtId="0" fontId="107" fillId="0" borderId="0" xfId="0" applyFont="1" applyAlignment="1">
      <alignment/>
    </xf>
    <xf numFmtId="165" fontId="108" fillId="0" borderId="0" xfId="49" applyFont="1" applyFill="1" applyAlignment="1">
      <alignment/>
    </xf>
    <xf numFmtId="167" fontId="4" fillId="0" borderId="0" xfId="49" applyNumberFormat="1" applyFont="1" applyFill="1" applyAlignment="1">
      <alignment/>
    </xf>
    <xf numFmtId="167" fontId="108" fillId="0" borderId="0" xfId="49" applyNumberFormat="1" applyFont="1" applyFill="1" applyAlignment="1">
      <alignment horizontal="center"/>
    </xf>
    <xf numFmtId="167" fontId="8" fillId="0" borderId="0" xfId="49" applyNumberFormat="1" applyFont="1" applyFill="1" applyAlignment="1">
      <alignment horizontal="left"/>
    </xf>
    <xf numFmtId="167" fontId="120" fillId="35" borderId="0" xfId="0" applyNumberFormat="1" applyFont="1" applyFill="1" applyAlignment="1">
      <alignment horizontal="center" vertical="center"/>
    </xf>
    <xf numFmtId="0" fontId="121" fillId="36" borderId="0" xfId="0" applyFont="1" applyFill="1" applyAlignment="1">
      <alignment vertical="center"/>
    </xf>
    <xf numFmtId="167" fontId="121" fillId="36" borderId="0" xfId="49" applyNumberFormat="1" applyFont="1" applyFill="1" applyBorder="1" applyAlignment="1">
      <alignment/>
    </xf>
    <xf numFmtId="167" fontId="121" fillId="36" borderId="0" xfId="49" applyNumberFormat="1" applyFont="1" applyFill="1" applyBorder="1" applyAlignment="1">
      <alignment vertical="center"/>
    </xf>
    <xf numFmtId="0" fontId="120" fillId="35" borderId="0" xfId="0" applyFont="1" applyFill="1" applyAlignment="1">
      <alignment horizontal="center" vertical="center"/>
    </xf>
    <xf numFmtId="0" fontId="122" fillId="35" borderId="0" xfId="0" applyFont="1" applyFill="1" applyAlignment="1">
      <alignment/>
    </xf>
    <xf numFmtId="0" fontId="109" fillId="33" borderId="10" xfId="0" applyFont="1" applyFill="1" applyBorder="1" applyAlignment="1">
      <alignment horizontal="center" vertical="center" wrapText="1"/>
    </xf>
    <xf numFmtId="9" fontId="108" fillId="33" borderId="18" xfId="140" applyFont="1" applyFill="1" applyBorder="1" applyAlignment="1">
      <alignment/>
    </xf>
    <xf numFmtId="0" fontId="3" fillId="37" borderId="10" xfId="64" applyFont="1" applyFill="1" applyBorder="1">
      <alignment/>
      <protection/>
    </xf>
    <xf numFmtId="169" fontId="3" fillId="37" borderId="10" xfId="57" applyNumberFormat="1" applyFont="1" applyFill="1" applyBorder="1" applyAlignment="1">
      <alignment/>
    </xf>
    <xf numFmtId="166" fontId="11" fillId="37" borderId="10" xfId="57" applyFont="1" applyFill="1" applyBorder="1" applyAlignment="1">
      <alignment/>
    </xf>
    <xf numFmtId="0" fontId="115" fillId="33" borderId="0" xfId="0" applyFont="1" applyFill="1" applyAlignment="1">
      <alignment/>
    </xf>
    <xf numFmtId="0" fontId="123" fillId="0" borderId="0" xfId="0" applyFont="1" applyFill="1" applyAlignment="1">
      <alignment/>
    </xf>
    <xf numFmtId="169" fontId="4" fillId="33" borderId="0" xfId="49" applyNumberFormat="1" applyFont="1" applyFill="1" applyBorder="1" applyAlignment="1">
      <alignment/>
    </xf>
    <xf numFmtId="0" fontId="109" fillId="0" borderId="0" xfId="0" applyFont="1" applyFill="1" applyAlignment="1">
      <alignment/>
    </xf>
    <xf numFmtId="0" fontId="4" fillId="0" borderId="0" xfId="0" applyFont="1" applyFill="1" applyAlignment="1">
      <alignment wrapText="1"/>
    </xf>
    <xf numFmtId="0" fontId="108" fillId="0" borderId="0" xfId="0" applyFont="1" applyAlignment="1">
      <alignment wrapText="1"/>
    </xf>
    <xf numFmtId="3" fontId="113" fillId="0" borderId="0" xfId="50" applyNumberFormat="1" applyFont="1" applyAlignment="1">
      <alignment/>
    </xf>
    <xf numFmtId="3" fontId="108" fillId="0" borderId="0" xfId="50" applyNumberFormat="1" applyFont="1" applyAlignment="1">
      <alignment/>
    </xf>
    <xf numFmtId="3" fontId="113" fillId="0" borderId="0" xfId="50" applyNumberFormat="1" applyFont="1" applyBorder="1" applyAlignment="1">
      <alignment/>
    </xf>
    <xf numFmtId="0" fontId="110" fillId="38" borderId="0" xfId="0" applyFont="1" applyFill="1" applyAlignment="1">
      <alignment vertical="center"/>
    </xf>
    <xf numFmtId="0" fontId="108" fillId="38" borderId="0" xfId="0" applyFont="1" applyFill="1" applyAlignment="1">
      <alignment/>
    </xf>
    <xf numFmtId="0" fontId="0" fillId="38" borderId="0" xfId="0" applyFill="1" applyAlignment="1">
      <alignment/>
    </xf>
    <xf numFmtId="168" fontId="108" fillId="33" borderId="19" xfId="49" applyNumberFormat="1" applyFont="1" applyFill="1" applyBorder="1" applyAlignment="1">
      <alignment/>
    </xf>
    <xf numFmtId="0" fontId="124" fillId="33" borderId="10" xfId="0" applyFont="1" applyFill="1" applyBorder="1" applyAlignment="1">
      <alignment/>
    </xf>
    <xf numFmtId="0" fontId="0" fillId="38" borderId="12" xfId="0" applyFill="1" applyBorder="1" applyAlignment="1">
      <alignment/>
    </xf>
    <xf numFmtId="0" fontId="107" fillId="38" borderId="12" xfId="0" applyFont="1" applyFill="1" applyBorder="1" applyAlignment="1">
      <alignment horizontal="center"/>
    </xf>
    <xf numFmtId="0" fontId="107" fillId="38" borderId="0" xfId="0" applyFont="1" applyFill="1" applyAlignment="1">
      <alignment/>
    </xf>
    <xf numFmtId="170" fontId="4" fillId="33" borderId="0" xfId="76" applyNumberFormat="1" applyFont="1" applyFill="1" applyBorder="1" applyAlignment="1" quotePrefix="1">
      <alignment horizontal="center"/>
      <protection/>
    </xf>
    <xf numFmtId="0" fontId="0" fillId="0" borderId="0" xfId="0" applyBorder="1" applyAlignment="1">
      <alignment/>
    </xf>
    <xf numFmtId="0" fontId="107" fillId="0" borderId="12" xfId="0" applyFont="1" applyBorder="1" applyAlignment="1">
      <alignment horizontal="center"/>
    </xf>
    <xf numFmtId="0" fontId="107" fillId="0" borderId="12" xfId="0" applyFont="1" applyBorder="1" applyAlignment="1">
      <alignment horizontal="center" vertical="center"/>
    </xf>
    <xf numFmtId="0" fontId="102" fillId="38" borderId="0" xfId="0" applyFont="1" applyFill="1" applyAlignment="1">
      <alignment/>
    </xf>
    <xf numFmtId="0" fontId="108" fillId="0" borderId="0" xfId="0" applyFont="1" applyAlignment="1">
      <alignment horizontal="left" vertical="top" wrapText="1"/>
    </xf>
    <xf numFmtId="0" fontId="108" fillId="0" borderId="0" xfId="0" applyFont="1" applyAlignment="1">
      <alignment vertical="justify" wrapText="1"/>
    </xf>
    <xf numFmtId="0" fontId="108" fillId="0" borderId="0" xfId="0" applyFont="1" applyFill="1" applyAlignment="1">
      <alignment vertical="justify" wrapText="1"/>
    </xf>
    <xf numFmtId="0" fontId="109" fillId="0" borderId="0" xfId="0" applyFont="1" applyAlignment="1">
      <alignment horizontal="left" vertical="top" wrapText="1"/>
    </xf>
    <xf numFmtId="0" fontId="109" fillId="0" borderId="0" xfId="0" applyFont="1" applyAlignment="1">
      <alignment vertical="top" wrapText="1"/>
    </xf>
    <xf numFmtId="0" fontId="108" fillId="38" borderId="0" xfId="0" applyFont="1" applyFill="1" applyAlignment="1">
      <alignment vertical="justify" wrapText="1"/>
    </xf>
    <xf numFmtId="0" fontId="108" fillId="38" borderId="0" xfId="0" applyFont="1" applyFill="1" applyAlignment="1">
      <alignment horizontal="left" vertical="top" wrapText="1"/>
    </xf>
    <xf numFmtId="0" fontId="108" fillId="38" borderId="0" xfId="0" applyFont="1" applyFill="1" applyAlignment="1">
      <alignment vertical="top" wrapText="1"/>
    </xf>
    <xf numFmtId="0" fontId="109" fillId="38" borderId="0" xfId="0" applyFont="1" applyFill="1" applyAlignment="1">
      <alignment vertical="top" wrapText="1"/>
    </xf>
    <xf numFmtId="0" fontId="109" fillId="38" borderId="0" xfId="0" applyFont="1" applyFill="1" applyAlignment="1">
      <alignment vertical="justify" wrapText="1"/>
    </xf>
    <xf numFmtId="0" fontId="109" fillId="38" borderId="0" xfId="0" applyFont="1" applyFill="1" applyAlignment="1">
      <alignment horizontal="center" vertical="center" wrapText="1"/>
    </xf>
    <xf numFmtId="0" fontId="96" fillId="0" borderId="0" xfId="46" applyAlignment="1">
      <alignment/>
    </xf>
    <xf numFmtId="0" fontId="96" fillId="38" borderId="0" xfId="46" applyFill="1" applyAlignment="1">
      <alignment/>
    </xf>
    <xf numFmtId="0" fontId="121" fillId="33" borderId="0" xfId="0" applyFont="1" applyFill="1" applyAlignment="1">
      <alignment horizontal="left" vertical="center"/>
    </xf>
    <xf numFmtId="0" fontId="102" fillId="0" borderId="0" xfId="0" applyFont="1" applyAlignment="1">
      <alignment/>
    </xf>
    <xf numFmtId="0" fontId="121" fillId="33" borderId="0" xfId="0" applyFont="1" applyFill="1" applyAlignment="1">
      <alignment vertical="center"/>
    </xf>
    <xf numFmtId="0" fontId="96" fillId="33" borderId="0" xfId="46" applyFill="1" applyAlignment="1">
      <alignment/>
    </xf>
    <xf numFmtId="0" fontId="107" fillId="33" borderId="0" xfId="0" applyFont="1" applyFill="1" applyAlignment="1">
      <alignment/>
    </xf>
    <xf numFmtId="0" fontId="110" fillId="38" borderId="0" xfId="0" applyFont="1" applyFill="1" applyBorder="1" applyAlignment="1">
      <alignment/>
    </xf>
    <xf numFmtId="169" fontId="110" fillId="38" borderId="0" xfId="53" applyNumberFormat="1" applyFont="1" applyFill="1" applyBorder="1" applyAlignment="1">
      <alignment/>
    </xf>
    <xf numFmtId="9" fontId="110" fillId="38" borderId="0" xfId="140" applyFont="1" applyFill="1" applyBorder="1" applyAlignment="1">
      <alignment/>
    </xf>
    <xf numFmtId="3" fontId="110" fillId="38" borderId="0" xfId="0" applyNumberFormat="1" applyFont="1" applyFill="1" applyBorder="1" applyAlignment="1">
      <alignment/>
    </xf>
    <xf numFmtId="0" fontId="125" fillId="38" borderId="0" xfId="0" applyFont="1" applyFill="1" applyBorder="1" applyAlignment="1">
      <alignment/>
    </xf>
    <xf numFmtId="164" fontId="110" fillId="38" borderId="20" xfId="50" applyFont="1" applyFill="1" applyBorder="1" applyAlignment="1">
      <alignment/>
    </xf>
    <xf numFmtId="0" fontId="0" fillId="33" borderId="0" xfId="0" applyFill="1" applyBorder="1" applyAlignment="1">
      <alignment/>
    </xf>
    <xf numFmtId="0" fontId="125" fillId="38" borderId="0" xfId="0" applyFont="1" applyFill="1" applyBorder="1" applyAlignment="1">
      <alignment vertical="center" wrapText="1"/>
    </xf>
    <xf numFmtId="0" fontId="0" fillId="36" borderId="0" xfId="0" applyFill="1" applyAlignment="1">
      <alignment/>
    </xf>
    <xf numFmtId="0" fontId="11" fillId="33" borderId="0" xfId="64" applyFont="1" applyFill="1" applyBorder="1">
      <alignment/>
      <protection/>
    </xf>
    <xf numFmtId="0" fontId="11" fillId="38" borderId="0" xfId="64" applyFont="1" applyFill="1" applyBorder="1">
      <alignment/>
      <protection/>
    </xf>
    <xf numFmtId="0" fontId="126" fillId="38" borderId="0" xfId="64" applyFont="1" applyFill="1" applyBorder="1">
      <alignment/>
      <protection/>
    </xf>
    <xf numFmtId="0" fontId="11" fillId="38" borderId="15" xfId="64" applyFont="1" applyFill="1" applyBorder="1">
      <alignment/>
      <protection/>
    </xf>
    <xf numFmtId="169" fontId="3" fillId="38" borderId="21" xfId="57" applyNumberFormat="1" applyFont="1" applyFill="1" applyBorder="1" applyAlignment="1">
      <alignment/>
    </xf>
    <xf numFmtId="169" fontId="3" fillId="38" borderId="15" xfId="57" applyNumberFormat="1" applyFont="1" applyFill="1" applyBorder="1" applyAlignment="1">
      <alignment/>
    </xf>
    <xf numFmtId="169" fontId="11" fillId="38" borderId="21" xfId="57" applyNumberFormat="1" applyFont="1" applyFill="1" applyBorder="1" applyAlignment="1">
      <alignment/>
    </xf>
    <xf numFmtId="169" fontId="11" fillId="38" borderId="16" xfId="57" applyNumberFormat="1" applyFont="1" applyFill="1" applyBorder="1" applyAlignment="1">
      <alignment/>
    </xf>
    <xf numFmtId="169" fontId="3" fillId="38" borderId="16" xfId="57" applyNumberFormat="1" applyFont="1" applyFill="1" applyBorder="1" applyAlignment="1">
      <alignment/>
    </xf>
    <xf numFmtId="166" fontId="11" fillId="38" borderId="21" xfId="57" applyFont="1" applyFill="1" applyBorder="1" applyAlignment="1">
      <alignment/>
    </xf>
    <xf numFmtId="169" fontId="11" fillId="38" borderId="0" xfId="64" applyNumberFormat="1" applyFont="1" applyFill="1" applyBorder="1">
      <alignment/>
      <protection/>
    </xf>
    <xf numFmtId="166" fontId="11" fillId="38" borderId="15" xfId="57" applyFont="1" applyFill="1" applyBorder="1" applyAlignment="1">
      <alignment horizontal="right"/>
    </xf>
    <xf numFmtId="169" fontId="11" fillId="38" borderId="21" xfId="57" applyNumberFormat="1" applyFont="1" applyFill="1" applyBorder="1" applyAlignment="1" quotePrefix="1">
      <alignment/>
    </xf>
    <xf numFmtId="0" fontId="108" fillId="0" borderId="0" xfId="0" applyFont="1" applyFill="1" applyAlignment="1">
      <alignment horizontal="left" vertical="justify" wrapText="1"/>
    </xf>
    <xf numFmtId="0" fontId="118" fillId="0" borderId="15" xfId="0" applyFont="1" applyFill="1" applyBorder="1" applyAlignment="1">
      <alignment horizontal="left" vertical="justify" wrapText="1"/>
    </xf>
    <xf numFmtId="0" fontId="118" fillId="0" borderId="0" xfId="0" applyFont="1" applyFill="1" applyBorder="1" applyAlignment="1">
      <alignment horizontal="left" vertical="justify" wrapText="1"/>
    </xf>
    <xf numFmtId="0" fontId="118" fillId="0" borderId="16" xfId="0" applyFont="1" applyFill="1" applyBorder="1" applyAlignment="1">
      <alignment horizontal="left" vertical="justify" wrapText="1"/>
    </xf>
    <xf numFmtId="0" fontId="118" fillId="0" borderId="0" xfId="0" applyFont="1" applyFill="1" applyAlignment="1">
      <alignment vertical="center"/>
    </xf>
    <xf numFmtId="0" fontId="2" fillId="0" borderId="0" xfId="0" applyFont="1" applyFill="1" applyAlignment="1">
      <alignment horizontal="left" vertical="justify" wrapText="1"/>
    </xf>
    <xf numFmtId="0" fontId="0" fillId="38" borderId="0" xfId="0" applyFill="1" applyBorder="1" applyAlignment="1">
      <alignment/>
    </xf>
    <xf numFmtId="0" fontId="0" fillId="38" borderId="15" xfId="0" applyFill="1" applyBorder="1" applyAlignment="1">
      <alignment/>
    </xf>
    <xf numFmtId="0" fontId="0" fillId="38" borderId="16" xfId="0" applyFill="1" applyBorder="1" applyAlignment="1">
      <alignment/>
    </xf>
    <xf numFmtId="0" fontId="14" fillId="38" borderId="0" xfId="0" applyFont="1" applyFill="1" applyAlignment="1">
      <alignment/>
    </xf>
    <xf numFmtId="0" fontId="14" fillId="0" borderId="0" xfId="0" applyFont="1" applyAlignment="1">
      <alignment/>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4" fillId="38" borderId="24" xfId="0" applyFont="1" applyFill="1" applyBorder="1" applyAlignment="1">
      <alignment vertical="top" wrapText="1"/>
    </xf>
    <xf numFmtId="0" fontId="14" fillId="38" borderId="25" xfId="0" applyFont="1" applyFill="1" applyBorder="1" applyAlignment="1">
      <alignment vertical="top" wrapText="1"/>
    </xf>
    <xf numFmtId="0" fontId="61" fillId="0" borderId="25" xfId="0" applyFont="1" applyBorder="1" applyAlignment="1">
      <alignment vertical="center" wrapText="1"/>
    </xf>
    <xf numFmtId="0" fontId="61" fillId="0" borderId="26" xfId="0" applyFont="1" applyBorder="1" applyAlignment="1">
      <alignment vertical="center" wrapText="1"/>
    </xf>
    <xf numFmtId="0" fontId="61" fillId="0" borderId="27"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28" xfId="0" applyFont="1" applyBorder="1" applyAlignment="1">
      <alignment vertical="center" wrapText="1"/>
    </xf>
    <xf numFmtId="0" fontId="61" fillId="0" borderId="29" xfId="0" applyFont="1" applyBorder="1" applyAlignment="1">
      <alignment vertical="center" wrapText="1"/>
    </xf>
    <xf numFmtId="0" fontId="61" fillId="0" borderId="30"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1" xfId="0" applyFont="1" applyBorder="1" applyAlignment="1">
      <alignment vertical="center" wrapText="1"/>
    </xf>
    <xf numFmtId="0" fontId="61" fillId="0" borderId="32" xfId="0" applyFont="1" applyBorder="1" applyAlignment="1">
      <alignment vertical="center" wrapText="1"/>
    </xf>
    <xf numFmtId="0" fontId="61" fillId="38" borderId="0" xfId="0" applyFont="1" applyFill="1" applyAlignment="1">
      <alignment/>
    </xf>
    <xf numFmtId="0" fontId="61" fillId="0" borderId="0" xfId="0" applyFont="1" applyAlignment="1">
      <alignment/>
    </xf>
    <xf numFmtId="0" fontId="108" fillId="0" borderId="0" xfId="0" applyFont="1" applyFill="1" applyAlignment="1">
      <alignment horizontal="left" vertical="justify" wrapText="1"/>
    </xf>
    <xf numFmtId="0" fontId="111" fillId="0" borderId="0" xfId="0" applyFont="1" applyFill="1" applyAlignment="1">
      <alignment horizontal="left" vertical="justify" wrapText="1"/>
    </xf>
    <xf numFmtId="0" fontId="15" fillId="0" borderId="12" xfId="0" applyFont="1" applyFill="1" applyBorder="1" applyAlignment="1">
      <alignment horizontal="center" wrapText="1"/>
    </xf>
    <xf numFmtId="0" fontId="0" fillId="38" borderId="10" xfId="0" applyFill="1" applyBorder="1" applyAlignment="1">
      <alignment/>
    </xf>
    <xf numFmtId="0" fontId="111" fillId="35" borderId="0" xfId="0" applyFont="1" applyFill="1" applyAlignment="1">
      <alignment/>
    </xf>
    <xf numFmtId="0" fontId="108" fillId="33" borderId="0" xfId="0" applyFont="1" applyFill="1" applyAlignment="1">
      <alignment horizontal="center" vertical="center"/>
    </xf>
    <xf numFmtId="0" fontId="96" fillId="33" borderId="0" xfId="46" applyFill="1" applyAlignment="1">
      <alignment horizontal="center" vertical="center"/>
    </xf>
    <xf numFmtId="0" fontId="0" fillId="0" borderId="0" xfId="0" applyAlignment="1">
      <alignment/>
    </xf>
    <xf numFmtId="170" fontId="127" fillId="35" borderId="0" xfId="49" applyNumberFormat="1" applyFont="1" applyFill="1" applyAlignment="1">
      <alignment horizontal="center" vertical="center"/>
    </xf>
    <xf numFmtId="0" fontId="127" fillId="33" borderId="0" xfId="0" applyFont="1" applyFill="1" applyBorder="1" applyAlignment="1">
      <alignment horizontal="center" vertical="center"/>
    </xf>
    <xf numFmtId="0" fontId="128" fillId="33" borderId="0" xfId="0" applyFont="1" applyFill="1" applyAlignment="1">
      <alignment horizontal="center" vertical="center"/>
    </xf>
    <xf numFmtId="167" fontId="108" fillId="33" borderId="0" xfId="0" applyNumberFormat="1" applyFont="1" applyFill="1" applyAlignment="1">
      <alignment horizontal="center" vertical="center"/>
    </xf>
    <xf numFmtId="0" fontId="127"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0" applyFont="1" applyFill="1" applyAlignment="1">
      <alignment horizontal="center" vertical="center"/>
    </xf>
    <xf numFmtId="0" fontId="111" fillId="33" borderId="0" xfId="0" applyFont="1" applyFill="1" applyAlignment="1">
      <alignment horizontal="center" vertical="center"/>
    </xf>
    <xf numFmtId="167" fontId="117" fillId="33" borderId="0" xfId="49" applyNumberFormat="1" applyFont="1" applyFill="1" applyAlignment="1">
      <alignment horizontal="center" vertical="center"/>
    </xf>
    <xf numFmtId="167" fontId="8" fillId="0" borderId="0" xfId="49" applyNumberFormat="1" applyFont="1" applyFill="1" applyAlignment="1">
      <alignment horizontal="center" vertical="center"/>
    </xf>
    <xf numFmtId="0" fontId="8" fillId="33" borderId="0" xfId="0" applyFont="1" applyFill="1" applyAlignment="1">
      <alignment horizontal="center" vertical="center"/>
    </xf>
    <xf numFmtId="0" fontId="117" fillId="33" borderId="0" xfId="0" applyFont="1" applyFill="1" applyAlignment="1">
      <alignment horizontal="center" vertical="center"/>
    </xf>
    <xf numFmtId="0" fontId="6" fillId="33" borderId="0" xfId="0" applyFont="1" applyFill="1" applyAlignment="1">
      <alignment horizontal="center" vertical="center"/>
    </xf>
    <xf numFmtId="165" fontId="112" fillId="33" borderId="0" xfId="49" applyFont="1" applyFill="1" applyAlignment="1">
      <alignment horizontal="center" vertical="center"/>
    </xf>
    <xf numFmtId="0" fontId="112" fillId="33" borderId="0" xfId="0" applyFont="1" applyFill="1" applyAlignment="1">
      <alignment horizontal="center" vertical="center"/>
    </xf>
    <xf numFmtId="170" fontId="129" fillId="33" borderId="0" xfId="49" applyNumberFormat="1" applyFont="1" applyFill="1" applyAlignment="1">
      <alignment horizontal="center"/>
    </xf>
    <xf numFmtId="170" fontId="129" fillId="33" borderId="0" xfId="49" applyNumberFormat="1" applyFont="1" applyFill="1" applyBorder="1" applyAlignment="1">
      <alignment horizontal="center"/>
    </xf>
    <xf numFmtId="0" fontId="96" fillId="0" borderId="0" xfId="46" applyAlignment="1">
      <alignment horizontal="center"/>
    </xf>
    <xf numFmtId="165" fontId="108" fillId="33" borderId="0" xfId="49" applyFont="1" applyFill="1" applyAlignment="1">
      <alignment horizontal="center" vertical="center"/>
    </xf>
    <xf numFmtId="167" fontId="108" fillId="33" borderId="0" xfId="49" applyNumberFormat="1" applyFont="1" applyFill="1" applyAlignment="1">
      <alignment horizontal="center" vertical="center"/>
    </xf>
    <xf numFmtId="167" fontId="4" fillId="33" borderId="0" xfId="49" applyNumberFormat="1" applyFont="1" applyFill="1" applyAlignment="1">
      <alignment horizontal="center" vertical="center"/>
    </xf>
    <xf numFmtId="0" fontId="113" fillId="0" borderId="0" xfId="0" applyFont="1" applyAlignment="1">
      <alignment horizontal="center"/>
    </xf>
    <xf numFmtId="0" fontId="11" fillId="0" borderId="33" xfId="0" applyFont="1" applyBorder="1" applyAlignment="1">
      <alignment vertical="center" wrapText="1"/>
    </xf>
    <xf numFmtId="0" fontId="11" fillId="0" borderId="34" xfId="0" applyFont="1" applyBorder="1" applyAlignment="1">
      <alignment vertical="center" wrapText="1"/>
    </xf>
    <xf numFmtId="0" fontId="3" fillId="0" borderId="35" xfId="0" applyFont="1" applyBorder="1" applyAlignment="1">
      <alignment vertical="center" wrapText="1"/>
    </xf>
    <xf numFmtId="0" fontId="0" fillId="33" borderId="0" xfId="0" applyFill="1" applyAlignment="1" quotePrefix="1">
      <alignment/>
    </xf>
    <xf numFmtId="0" fontId="121" fillId="33" borderId="0" xfId="0" applyFont="1" applyFill="1" applyBorder="1" applyAlignment="1">
      <alignment horizontal="left"/>
    </xf>
    <xf numFmtId="0" fontId="111" fillId="0" borderId="15" xfId="0" applyFont="1" applyFill="1" applyBorder="1" applyAlignment="1">
      <alignment horizontal="justify" vertical="justify" wrapText="1"/>
    </xf>
    <xf numFmtId="0" fontId="111" fillId="0" borderId="0" xfId="0" applyFont="1" applyFill="1" applyBorder="1" applyAlignment="1">
      <alignment horizontal="justify" vertical="justify" wrapText="1"/>
    </xf>
    <xf numFmtId="0" fontId="111" fillId="0" borderId="16" xfId="0" applyFont="1" applyFill="1" applyBorder="1" applyAlignment="1">
      <alignment horizontal="justify" vertical="justify" wrapText="1"/>
    </xf>
    <xf numFmtId="0" fontId="108" fillId="0" borderId="15" xfId="0" applyFont="1" applyFill="1" applyBorder="1" applyAlignment="1">
      <alignment horizontal="left" vertical="justify" wrapText="1"/>
    </xf>
    <xf numFmtId="0" fontId="108" fillId="0" borderId="0" xfId="0" applyFont="1" applyFill="1" applyBorder="1" applyAlignment="1">
      <alignment horizontal="left" vertical="justify" wrapText="1"/>
    </xf>
    <xf numFmtId="0" fontId="108" fillId="0" borderId="16" xfId="0" applyFont="1" applyFill="1" applyBorder="1" applyAlignment="1">
      <alignment horizontal="left" vertical="justify" wrapText="1"/>
    </xf>
    <xf numFmtId="0" fontId="130" fillId="0" borderId="15" xfId="0" applyFont="1" applyBorder="1" applyAlignment="1">
      <alignment horizontal="left" vertical="top" wrapText="1"/>
    </xf>
    <xf numFmtId="0" fontId="130" fillId="0" borderId="0" xfId="0" applyFont="1" applyBorder="1" applyAlignment="1">
      <alignment horizontal="left" vertical="top" wrapText="1"/>
    </xf>
    <xf numFmtId="0" fontId="130" fillId="0" borderId="16" xfId="0" applyFont="1" applyBorder="1" applyAlignment="1">
      <alignment horizontal="left" vertical="top" wrapText="1"/>
    </xf>
    <xf numFmtId="0" fontId="4" fillId="0" borderId="15"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6" xfId="0" applyFont="1" applyFill="1" applyBorder="1" applyAlignment="1">
      <alignment horizontal="left" vertical="justify" wrapText="1"/>
    </xf>
    <xf numFmtId="0" fontId="111" fillId="0" borderId="15" xfId="0" applyFont="1" applyFill="1" applyBorder="1" applyAlignment="1">
      <alignment horizontal="left" vertical="justify" wrapText="1"/>
    </xf>
    <xf numFmtId="0" fontId="111" fillId="0" borderId="0" xfId="0" applyFont="1" applyFill="1" applyBorder="1" applyAlignment="1">
      <alignment horizontal="left" vertical="justify" wrapText="1"/>
    </xf>
    <xf numFmtId="0" fontId="111" fillId="0" borderId="16" xfId="0" applyFont="1" applyFill="1" applyBorder="1" applyAlignment="1">
      <alignment horizontal="left" vertical="justify" wrapText="1"/>
    </xf>
    <xf numFmtId="0" fontId="108" fillId="0" borderId="15" xfId="0" applyFont="1" applyFill="1" applyBorder="1" applyAlignment="1">
      <alignment horizontal="justify" vertical="justify" wrapText="1"/>
    </xf>
    <xf numFmtId="0" fontId="108" fillId="0" borderId="0" xfId="0" applyFont="1" applyFill="1" applyBorder="1" applyAlignment="1">
      <alignment horizontal="justify" vertical="justify" wrapText="1"/>
    </xf>
    <xf numFmtId="0" fontId="108" fillId="0" borderId="16" xfId="0" applyFont="1" applyFill="1" applyBorder="1" applyAlignment="1">
      <alignment horizontal="justify" vertical="justify" wrapText="1"/>
    </xf>
    <xf numFmtId="0" fontId="0" fillId="0" borderId="0" xfId="0" applyAlignment="1">
      <alignment/>
    </xf>
    <xf numFmtId="168" fontId="108" fillId="0" borderId="10" xfId="49" applyNumberFormat="1" applyFont="1" applyFill="1" applyBorder="1" applyAlignment="1">
      <alignment/>
    </xf>
    <xf numFmtId="0" fontId="2" fillId="38" borderId="0" xfId="0" applyFont="1" applyFill="1" applyAlignment="1">
      <alignment/>
    </xf>
    <xf numFmtId="0" fontId="108" fillId="33" borderId="10" xfId="0" applyFont="1" applyFill="1" applyBorder="1" applyAlignment="1">
      <alignment/>
    </xf>
    <xf numFmtId="0" fontId="108" fillId="33" borderId="10" xfId="0" applyFont="1" applyFill="1" applyBorder="1" applyAlignment="1">
      <alignment horizontal="center"/>
    </xf>
    <xf numFmtId="0" fontId="108" fillId="33" borderId="36" xfId="0" applyFont="1" applyFill="1" applyBorder="1" applyAlignment="1">
      <alignment/>
    </xf>
    <xf numFmtId="0" fontId="108" fillId="0" borderId="0" xfId="0" applyFont="1" applyAlignment="1">
      <alignment horizontal="left"/>
    </xf>
    <xf numFmtId="0" fontId="2" fillId="33" borderId="0" xfId="76" applyFont="1" applyFill="1" applyBorder="1" applyAlignment="1" quotePrefix="1">
      <alignment/>
      <protection/>
    </xf>
    <xf numFmtId="0" fontId="131" fillId="0" borderId="10" xfId="0" applyFont="1" applyBorder="1" applyAlignment="1">
      <alignment horizontal="center" vertical="center" wrapText="1"/>
    </xf>
    <xf numFmtId="0" fontId="121" fillId="0" borderId="0" xfId="0" applyFont="1" applyFill="1" applyAlignment="1">
      <alignment vertical="center"/>
    </xf>
    <xf numFmtId="0" fontId="121" fillId="38" borderId="0" xfId="0" applyFont="1" applyFill="1" applyBorder="1" applyAlignment="1">
      <alignment vertical="center"/>
    </xf>
    <xf numFmtId="164" fontId="0" fillId="33" borderId="20" xfId="50" applyFont="1" applyFill="1" applyBorder="1" applyAlignment="1">
      <alignment/>
    </xf>
    <xf numFmtId="164" fontId="0" fillId="38" borderId="20" xfId="50" applyFont="1" applyFill="1" applyBorder="1" applyAlignment="1">
      <alignment/>
    </xf>
    <xf numFmtId="0" fontId="132" fillId="33" borderId="0" xfId="0" applyFont="1" applyFill="1" applyAlignment="1">
      <alignment/>
    </xf>
    <xf numFmtId="164" fontId="108" fillId="0" borderId="20" xfId="50" applyFont="1" applyBorder="1" applyAlignment="1">
      <alignment vertical="top" wrapText="1"/>
    </xf>
    <xf numFmtId="164" fontId="0" fillId="0" borderId="20" xfId="50" applyFont="1" applyBorder="1" applyAlignment="1">
      <alignment/>
    </xf>
    <xf numFmtId="0" fontId="110" fillId="38" borderId="0" xfId="0" applyFont="1" applyFill="1" applyBorder="1" applyAlignment="1" quotePrefix="1">
      <alignment/>
    </xf>
    <xf numFmtId="0" fontId="92" fillId="0" borderId="0" xfId="0" applyFont="1" applyFill="1" applyAlignment="1">
      <alignment horizontal="center" vertical="center"/>
    </xf>
    <xf numFmtId="0" fontId="0" fillId="0" borderId="0" xfId="0" applyAlignment="1">
      <alignment/>
    </xf>
    <xf numFmtId="0" fontId="108" fillId="0" borderId="0" xfId="0" applyFont="1" applyFill="1" applyAlignment="1">
      <alignment horizontal="left" vertical="justify" wrapText="1"/>
    </xf>
    <xf numFmtId="0" fontId="111" fillId="0" borderId="15" xfId="0" applyFont="1" applyFill="1" applyBorder="1" applyAlignment="1">
      <alignment horizontal="justify" vertical="justify" wrapText="1"/>
    </xf>
    <xf numFmtId="0" fontId="111" fillId="0" borderId="0" xfId="0" applyFont="1" applyFill="1" applyBorder="1" applyAlignment="1">
      <alignment horizontal="justify" vertical="justify" wrapText="1"/>
    </xf>
    <xf numFmtId="0" fontId="111" fillId="0" borderId="16" xfId="0" applyFont="1" applyFill="1" applyBorder="1" applyAlignment="1">
      <alignment horizontal="justify" vertical="justify" wrapText="1"/>
    </xf>
    <xf numFmtId="0" fontId="108" fillId="0" borderId="15" xfId="0" applyFont="1" applyFill="1" applyBorder="1" applyAlignment="1">
      <alignment horizontal="justify" vertical="justify" wrapText="1"/>
    </xf>
    <xf numFmtId="0" fontId="108" fillId="0" borderId="0" xfId="0" applyFont="1" applyFill="1" applyBorder="1" applyAlignment="1">
      <alignment horizontal="justify" vertical="justify" wrapText="1"/>
    </xf>
    <xf numFmtId="0" fontId="108" fillId="0" borderId="16" xfId="0" applyFont="1" applyFill="1" applyBorder="1" applyAlignment="1">
      <alignment horizontal="justify" vertical="justify" wrapText="1"/>
    </xf>
    <xf numFmtId="0" fontId="108" fillId="34" borderId="0" xfId="0" applyFont="1" applyFill="1" applyAlignment="1">
      <alignment horizontal="left"/>
    </xf>
    <xf numFmtId="0" fontId="133" fillId="0" borderId="0" xfId="46" applyFont="1" applyBorder="1" applyAlignment="1" quotePrefix="1">
      <alignment horizontal="left"/>
    </xf>
    <xf numFmtId="0" fontId="0" fillId="38" borderId="0" xfId="0" applyFill="1" applyBorder="1" applyAlignment="1">
      <alignment/>
    </xf>
    <xf numFmtId="0" fontId="0" fillId="0" borderId="0" xfId="0" applyFill="1" applyAlignment="1">
      <alignment vertical="justify" wrapText="1"/>
    </xf>
    <xf numFmtId="0" fontId="0" fillId="38" borderId="16" xfId="0" applyFill="1" applyBorder="1" applyAlignment="1">
      <alignment/>
    </xf>
    <xf numFmtId="0" fontId="107" fillId="38" borderId="0" xfId="0" applyFont="1" applyFill="1" applyBorder="1" applyAlignment="1">
      <alignment/>
    </xf>
    <xf numFmtId="0" fontId="134" fillId="38" borderId="0" xfId="0" applyFont="1" applyFill="1" applyBorder="1" applyAlignment="1">
      <alignment/>
    </xf>
    <xf numFmtId="0" fontId="135" fillId="38" borderId="15" xfId="0" applyFont="1" applyFill="1" applyBorder="1" applyAlignment="1">
      <alignment/>
    </xf>
    <xf numFmtId="0" fontId="134" fillId="38" borderId="16" xfId="0" applyFont="1" applyFill="1" applyBorder="1" applyAlignment="1">
      <alignment/>
    </xf>
    <xf numFmtId="0" fontId="135" fillId="38" borderId="0" xfId="0" applyFont="1" applyFill="1" applyAlignment="1">
      <alignment/>
    </xf>
    <xf numFmtId="0" fontId="136" fillId="0" borderId="0" xfId="0" applyFont="1" applyAlignment="1">
      <alignment horizontal="justify" vertical="center"/>
    </xf>
    <xf numFmtId="0" fontId="121" fillId="35" borderId="0" xfId="0" applyFont="1" applyFill="1" applyAlignment="1">
      <alignment/>
    </xf>
    <xf numFmtId="0" fontId="121" fillId="0" borderId="0" xfId="0" applyFont="1" applyFill="1" applyAlignment="1">
      <alignment/>
    </xf>
    <xf numFmtId="0" fontId="136" fillId="0" borderId="0" xfId="0" applyFont="1" applyAlignment="1">
      <alignment vertical="center"/>
    </xf>
    <xf numFmtId="0" fontId="137" fillId="0" borderId="10" xfId="0" applyFont="1" applyBorder="1" applyAlignment="1">
      <alignment horizontal="justify" vertical="center" wrapText="1"/>
    </xf>
    <xf numFmtId="0" fontId="137" fillId="0" borderId="10" xfId="0" applyFont="1" applyBorder="1" applyAlignment="1">
      <alignment horizontal="center" vertical="center" wrapText="1"/>
    </xf>
    <xf numFmtId="0" fontId="137" fillId="0" borderId="10" xfId="0" applyFont="1" applyBorder="1" applyAlignment="1">
      <alignment horizontal="right" vertical="center" wrapText="1"/>
    </xf>
    <xf numFmtId="0" fontId="138" fillId="35" borderId="10" xfId="0" applyFont="1" applyFill="1" applyBorder="1" applyAlignment="1">
      <alignment horizontal="justify" vertical="center" wrapText="1"/>
    </xf>
    <xf numFmtId="0" fontId="139" fillId="35" borderId="10" xfId="0" applyFont="1" applyFill="1" applyBorder="1" applyAlignment="1">
      <alignment horizontal="right" vertical="center" wrapText="1"/>
    </xf>
    <xf numFmtId="0" fontId="139" fillId="35" borderId="10" xfId="0" applyFont="1" applyFill="1" applyBorder="1" applyAlignment="1">
      <alignment horizontal="center" vertical="center" wrapText="1"/>
    </xf>
    <xf numFmtId="0" fontId="137" fillId="38" borderId="0" xfId="0" applyFont="1" applyFill="1" applyAlignment="1">
      <alignment vertical="center" wrapText="1"/>
    </xf>
    <xf numFmtId="0" fontId="137" fillId="38" borderId="0" xfId="0" applyFont="1" applyFill="1" applyAlignment="1">
      <alignment vertical="center"/>
    </xf>
    <xf numFmtId="0" fontId="14" fillId="38" borderId="0" xfId="0" applyFont="1" applyFill="1" applyAlignment="1">
      <alignment vertical="center" wrapText="1"/>
    </xf>
    <xf numFmtId="0" fontId="61" fillId="33" borderId="0" xfId="0" applyFont="1" applyFill="1" applyAlignment="1">
      <alignment vertical="center" wrapText="1"/>
    </xf>
    <xf numFmtId="0" fontId="0" fillId="0" borderId="0" xfId="0" applyAlignment="1">
      <alignment/>
    </xf>
    <xf numFmtId="0" fontId="132" fillId="33" borderId="0" xfId="0" applyFont="1" applyFill="1" applyAlignment="1">
      <alignment horizontal="center"/>
    </xf>
    <xf numFmtId="0" fontId="0" fillId="38" borderId="36" xfId="0" applyFill="1" applyBorder="1" applyAlignment="1">
      <alignment horizontal="center" vertical="center" wrapText="1"/>
    </xf>
    <xf numFmtId="0" fontId="0" fillId="0" borderId="0" xfId="0" applyAlignment="1">
      <alignment/>
    </xf>
    <xf numFmtId="0" fontId="132" fillId="33" borderId="0" xfId="0" applyFont="1" applyFill="1" applyAlignment="1">
      <alignment horizontal="center"/>
    </xf>
    <xf numFmtId="0" fontId="121" fillId="36" borderId="0" xfId="0" applyFont="1" applyFill="1" applyAlignment="1">
      <alignment horizontal="center" vertical="center" wrapText="1"/>
    </xf>
    <xf numFmtId="0" fontId="109" fillId="38" borderId="0" xfId="0" applyFont="1" applyFill="1" applyAlignment="1">
      <alignment horizontal="center" vertical="center" wrapText="1"/>
    </xf>
    <xf numFmtId="0" fontId="107" fillId="38" borderId="0" xfId="0" applyFont="1" applyFill="1" applyAlignment="1">
      <alignment horizontal="center" vertical="center"/>
    </xf>
    <xf numFmtId="0" fontId="4" fillId="33" borderId="0" xfId="0" applyFont="1" applyFill="1" applyBorder="1" applyAlignment="1">
      <alignment vertical="center"/>
    </xf>
    <xf numFmtId="0" fontId="108" fillId="0" borderId="0" xfId="0" applyFont="1" applyBorder="1" applyAlignment="1">
      <alignment/>
    </xf>
    <xf numFmtId="169" fontId="2" fillId="33" borderId="0" xfId="49" applyNumberFormat="1" applyFont="1" applyFill="1" applyBorder="1" applyAlignment="1">
      <alignment/>
    </xf>
    <xf numFmtId="0" fontId="127" fillId="35" borderId="0" xfId="49" applyNumberFormat="1" applyFont="1" applyFill="1" applyAlignment="1">
      <alignment horizontal="center"/>
    </xf>
    <xf numFmtId="0" fontId="0" fillId="38" borderId="36" xfId="0" applyFill="1" applyBorder="1" applyAlignment="1">
      <alignment vertical="center" wrapText="1"/>
    </xf>
    <xf numFmtId="0" fontId="0" fillId="38" borderId="10" xfId="0" applyFill="1" applyBorder="1" applyAlignment="1">
      <alignment vertical="center" wrapText="1"/>
    </xf>
    <xf numFmtId="0" fontId="14" fillId="38" borderId="0" xfId="0" applyFont="1" applyFill="1" applyAlignment="1">
      <alignment horizontal="center"/>
    </xf>
    <xf numFmtId="0" fontId="140" fillId="38" borderId="0" xfId="0" applyFont="1" applyFill="1" applyAlignment="1">
      <alignment horizontal="center"/>
    </xf>
    <xf numFmtId="0" fontId="141" fillId="0" borderId="10" xfId="0" applyFont="1" applyBorder="1" applyAlignment="1">
      <alignment horizontal="center" vertical="center" wrapText="1"/>
    </xf>
    <xf numFmtId="0" fontId="0" fillId="0" borderId="0" xfId="0" applyAlignment="1">
      <alignment horizontal="center"/>
    </xf>
    <xf numFmtId="0" fontId="121" fillId="35" borderId="0" xfId="0" applyFont="1" applyFill="1" applyAlignment="1">
      <alignment vertical="center"/>
    </xf>
    <xf numFmtId="0" fontId="108" fillId="0" borderId="0" xfId="0" applyFont="1" applyAlignment="1">
      <alignment/>
    </xf>
    <xf numFmtId="0" fontId="4" fillId="33" borderId="12" xfId="76" applyFont="1" applyFill="1" applyBorder="1" applyAlignment="1">
      <alignment horizontal="center"/>
      <protection/>
    </xf>
    <xf numFmtId="0" fontId="142" fillId="33" borderId="0" xfId="0" applyFont="1" applyFill="1" applyAlignment="1">
      <alignment/>
    </xf>
    <xf numFmtId="0" fontId="2" fillId="33" borderId="0" xfId="76" applyFont="1" applyFill="1" applyAlignment="1">
      <alignment horizontal="center"/>
      <protection/>
    </xf>
    <xf numFmtId="0" fontId="112" fillId="0" borderId="0" xfId="0" applyFont="1" applyAlignment="1">
      <alignment horizontal="center" vertical="center"/>
    </xf>
    <xf numFmtId="0" fontId="108" fillId="0" borderId="37" xfId="0" applyFont="1" applyBorder="1" applyAlignment="1">
      <alignment/>
    </xf>
    <xf numFmtId="0" fontId="4" fillId="33" borderId="20" xfId="0" applyFont="1" applyFill="1" applyBorder="1" applyAlignment="1">
      <alignment horizontal="center" vertical="center"/>
    </xf>
    <xf numFmtId="0" fontId="4" fillId="33" borderId="15" xfId="0" applyFont="1" applyFill="1" applyBorder="1" applyAlignment="1">
      <alignment vertical="center"/>
    </xf>
    <xf numFmtId="0" fontId="108" fillId="0" borderId="15" xfId="0" applyFont="1" applyBorder="1" applyAlignment="1">
      <alignment/>
    </xf>
    <xf numFmtId="0" fontId="108" fillId="0" borderId="17" xfId="0" applyFont="1" applyBorder="1" applyAlignment="1">
      <alignment/>
    </xf>
    <xf numFmtId="0" fontId="109" fillId="0" borderId="36" xfId="0" applyFont="1" applyBorder="1" applyAlignment="1">
      <alignment horizontal="center" vertical="center"/>
    </xf>
    <xf numFmtId="0" fontId="109" fillId="0" borderId="21" xfId="0" applyFont="1" applyBorder="1" applyAlignment="1">
      <alignment horizontal="center" vertical="center"/>
    </xf>
    <xf numFmtId="0" fontId="96" fillId="0" borderId="21" xfId="46" applyBorder="1" applyAlignment="1">
      <alignment horizontal="center"/>
    </xf>
    <xf numFmtId="0" fontId="96" fillId="0" borderId="21" xfId="46" applyBorder="1" applyAlignment="1" quotePrefix="1">
      <alignment horizontal="center"/>
    </xf>
    <xf numFmtId="0" fontId="133" fillId="0" borderId="21" xfId="46" applyFont="1" applyBorder="1" applyAlignment="1" quotePrefix="1">
      <alignment horizontal="center"/>
    </xf>
    <xf numFmtId="1" fontId="127" fillId="35" borderId="0" xfId="49" applyNumberFormat="1" applyFont="1" applyFill="1" applyAlignment="1">
      <alignment horizontal="center"/>
    </xf>
    <xf numFmtId="167" fontId="96" fillId="0" borderId="0" xfId="46" applyNumberFormat="1" applyAlignment="1">
      <alignment horizontal="center" vertical="center"/>
    </xf>
    <xf numFmtId="0" fontId="143" fillId="35" borderId="0" xfId="0" applyFont="1" applyFill="1" applyAlignment="1">
      <alignment vertical="center"/>
    </xf>
    <xf numFmtId="0" fontId="92" fillId="36" borderId="0" xfId="0" applyFont="1" applyFill="1" applyAlignment="1">
      <alignment/>
    </xf>
    <xf numFmtId="0" fontId="144" fillId="0" borderId="0" xfId="0" applyFont="1" applyAlignment="1">
      <alignment/>
    </xf>
    <xf numFmtId="0" fontId="142" fillId="38" borderId="0" xfId="0" applyFont="1" applyFill="1" applyAlignment="1">
      <alignment horizontal="left" vertical="top" wrapText="1"/>
    </xf>
    <xf numFmtId="0" fontId="0" fillId="0" borderId="12" xfId="0" applyBorder="1" applyAlignment="1">
      <alignment/>
    </xf>
    <xf numFmtId="0" fontId="0" fillId="0" borderId="12" xfId="0" applyBorder="1" applyAlignment="1">
      <alignment horizontal="center"/>
    </xf>
    <xf numFmtId="0" fontId="0" fillId="38" borderId="0" xfId="0" applyFont="1" applyFill="1" applyAlignment="1">
      <alignment horizontal="left" vertical="center"/>
    </xf>
    <xf numFmtId="0" fontId="0" fillId="38" borderId="0" xfId="0" applyFont="1" applyFill="1" applyAlignment="1">
      <alignment/>
    </xf>
    <xf numFmtId="0" fontId="107" fillId="38" borderId="12" xfId="0" applyFont="1" applyFill="1" applyBorder="1" applyAlignment="1">
      <alignment/>
    </xf>
    <xf numFmtId="0" fontId="0" fillId="0" borderId="0" xfId="0" applyAlignment="1">
      <alignment/>
    </xf>
    <xf numFmtId="0" fontId="134" fillId="38" borderId="0" xfId="0" applyFont="1" applyFill="1" applyAlignment="1">
      <alignment horizontal="center"/>
    </xf>
    <xf numFmtId="0" fontId="121" fillId="35" borderId="37" xfId="0" applyFont="1" applyFill="1" applyBorder="1" applyAlignment="1">
      <alignment vertical="center"/>
    </xf>
    <xf numFmtId="0" fontId="121" fillId="35" borderId="20" xfId="0" applyFont="1" applyFill="1" applyBorder="1" applyAlignment="1">
      <alignment vertical="center"/>
    </xf>
    <xf numFmtId="0" fontId="121" fillId="35" borderId="38" xfId="0" applyFont="1" applyFill="1" applyBorder="1" applyAlignment="1">
      <alignment vertical="center"/>
    </xf>
    <xf numFmtId="0" fontId="121" fillId="35" borderId="0" xfId="0" applyFont="1" applyFill="1" applyBorder="1" applyAlignment="1">
      <alignment vertical="center"/>
    </xf>
    <xf numFmtId="0" fontId="109" fillId="0" borderId="0" xfId="0" applyFont="1" applyBorder="1" applyAlignment="1">
      <alignment vertical="center"/>
    </xf>
    <xf numFmtId="0" fontId="0" fillId="0" borderId="0" xfId="0" applyAlignment="1">
      <alignment/>
    </xf>
    <xf numFmtId="0" fontId="121" fillId="35" borderId="0" xfId="0" applyFont="1" applyFill="1" applyAlignment="1">
      <alignment horizontal="center" vertical="center" wrapText="1"/>
    </xf>
    <xf numFmtId="0" fontId="121" fillId="35" borderId="0" xfId="0" applyFont="1" applyFill="1" applyBorder="1" applyAlignment="1">
      <alignment horizontal="left" vertical="center"/>
    </xf>
    <xf numFmtId="0" fontId="137" fillId="0" borderId="10" xfId="0" applyFont="1" applyBorder="1" applyAlignment="1">
      <alignment horizontal="justify" vertical="center" wrapText="1"/>
    </xf>
    <xf numFmtId="0" fontId="144" fillId="33" borderId="0" xfId="0" applyFont="1" applyFill="1" applyAlignment="1">
      <alignment/>
    </xf>
    <xf numFmtId="0" fontId="144" fillId="0" borderId="0" xfId="0" applyFont="1" applyBorder="1" applyAlignment="1">
      <alignment/>
    </xf>
    <xf numFmtId="3" fontId="108" fillId="0" borderId="0" xfId="50" applyNumberFormat="1" applyFont="1" applyFill="1" applyAlignment="1">
      <alignment horizontal="center"/>
    </xf>
    <xf numFmtId="3" fontId="108" fillId="0" borderId="0" xfId="49" applyNumberFormat="1" applyFont="1" applyFill="1" applyAlignment="1">
      <alignment horizontal="center"/>
    </xf>
    <xf numFmtId="3" fontId="108" fillId="0" borderId="0" xfId="0" applyNumberFormat="1" applyFont="1" applyFill="1" applyAlignment="1">
      <alignment horizontal="center"/>
    </xf>
    <xf numFmtId="3" fontId="4" fillId="0" borderId="0" xfId="0" applyNumberFormat="1" applyFont="1" applyFill="1" applyAlignment="1">
      <alignment horizontal="center"/>
    </xf>
    <xf numFmtId="3" fontId="109" fillId="0" borderId="0" xfId="49" applyNumberFormat="1" applyFont="1" applyFill="1" applyAlignment="1">
      <alignment horizontal="center"/>
    </xf>
    <xf numFmtId="3" fontId="4" fillId="0" borderId="0" xfId="49" applyNumberFormat="1" applyFont="1" applyFill="1" applyBorder="1" applyAlignment="1">
      <alignment horizontal="center"/>
    </xf>
    <xf numFmtId="3" fontId="4" fillId="0" borderId="0" xfId="49" applyNumberFormat="1" applyFont="1" applyFill="1" applyAlignment="1">
      <alignment horizontal="center"/>
    </xf>
    <xf numFmtId="0" fontId="14" fillId="38" borderId="0" xfId="0" applyFont="1" applyFill="1" applyBorder="1" applyAlignment="1">
      <alignment/>
    </xf>
    <xf numFmtId="0" fontId="11" fillId="38" borderId="0" xfId="0" applyFont="1" applyFill="1" applyBorder="1" applyAlignment="1">
      <alignment vertical="center" wrapText="1"/>
    </xf>
    <xf numFmtId="0" fontId="11" fillId="38" borderId="0" xfId="0" applyFont="1" applyFill="1" applyBorder="1" applyAlignment="1">
      <alignment horizontal="center" vertical="center" wrapText="1"/>
    </xf>
    <xf numFmtId="0" fontId="13" fillId="0" borderId="39" xfId="0" applyFont="1" applyBorder="1" applyAlignment="1">
      <alignment vertical="center" wrapText="1"/>
    </xf>
    <xf numFmtId="9" fontId="130" fillId="38" borderId="0" xfId="140" applyFont="1" applyFill="1" applyBorder="1" applyAlignment="1">
      <alignment/>
    </xf>
    <xf numFmtId="164" fontId="110" fillId="38" borderId="20" xfId="50" applyFont="1" applyFill="1" applyBorder="1" applyAlignment="1">
      <alignment horizontal="center"/>
    </xf>
    <xf numFmtId="169" fontId="110" fillId="38" borderId="0" xfId="53" applyNumberFormat="1" applyFont="1" applyFill="1" applyBorder="1" applyAlignment="1">
      <alignment horizontal="center"/>
    </xf>
    <xf numFmtId="0" fontId="130" fillId="38" borderId="0" xfId="0" applyFont="1" applyFill="1" applyBorder="1" applyAlignment="1">
      <alignment/>
    </xf>
    <xf numFmtId="0" fontId="145" fillId="38" borderId="0" xfId="0" applyFont="1" applyFill="1" applyBorder="1" applyAlignment="1">
      <alignment/>
    </xf>
    <xf numFmtId="0" fontId="102" fillId="38" borderId="0" xfId="0" applyFont="1" applyFill="1" applyAlignment="1">
      <alignment wrapText="1"/>
    </xf>
    <xf numFmtId="0" fontId="61" fillId="38" borderId="0" xfId="0" applyFont="1" applyFill="1" applyAlignment="1">
      <alignment wrapText="1"/>
    </xf>
    <xf numFmtId="0" fontId="14" fillId="38" borderId="0" xfId="0" applyFont="1" applyFill="1" applyAlignment="1">
      <alignment horizontal="center" wrapText="1"/>
    </xf>
    <xf numFmtId="3" fontId="14" fillId="38" borderId="0" xfId="0" applyNumberFormat="1" applyFont="1" applyFill="1" applyAlignment="1">
      <alignment horizontal="center"/>
    </xf>
    <xf numFmtId="0" fontId="15" fillId="38" borderId="0" xfId="0" applyFont="1" applyFill="1" applyAlignment="1">
      <alignment wrapText="1"/>
    </xf>
    <xf numFmtId="0" fontId="15" fillId="38" borderId="0" xfId="0" applyFont="1" applyFill="1" applyAlignment="1">
      <alignment horizontal="center" wrapText="1"/>
    </xf>
    <xf numFmtId="0" fontId="9" fillId="0" borderId="0" xfId="0" applyFont="1" applyAlignment="1">
      <alignment/>
    </xf>
    <xf numFmtId="0" fontId="143" fillId="0" borderId="0" xfId="0" applyFont="1" applyFill="1" applyAlignment="1">
      <alignment/>
    </xf>
    <xf numFmtId="0" fontId="146" fillId="0" borderId="0" xfId="0" applyFont="1" applyAlignment="1">
      <alignment/>
    </xf>
    <xf numFmtId="0" fontId="108" fillId="33" borderId="11" xfId="0" applyFont="1" applyFill="1" applyBorder="1" applyAlignment="1">
      <alignment/>
    </xf>
    <xf numFmtId="0" fontId="108" fillId="33" borderId="19" xfId="0" applyFont="1" applyFill="1" applyBorder="1" applyAlignment="1">
      <alignment/>
    </xf>
    <xf numFmtId="0" fontId="108" fillId="33" borderId="40" xfId="0" applyFont="1" applyFill="1" applyBorder="1" applyAlignment="1">
      <alignment/>
    </xf>
    <xf numFmtId="0" fontId="109" fillId="33" borderId="37" xfId="0" applyFont="1" applyFill="1" applyBorder="1" applyAlignment="1">
      <alignment vertical="center"/>
    </xf>
    <xf numFmtId="0" fontId="109" fillId="33" borderId="11" xfId="0" applyFont="1" applyFill="1" applyBorder="1" applyAlignment="1">
      <alignment vertical="center"/>
    </xf>
    <xf numFmtId="14" fontId="109" fillId="33" borderId="40" xfId="0" applyNumberFormat="1" applyFont="1" applyFill="1" applyBorder="1" applyAlignment="1">
      <alignment vertical="center"/>
    </xf>
    <xf numFmtId="0" fontId="108" fillId="33" borderId="20" xfId="0" applyFont="1" applyFill="1" applyBorder="1" applyAlignment="1">
      <alignment/>
    </xf>
    <xf numFmtId="0" fontId="108" fillId="0" borderId="0" xfId="0" applyFont="1" applyFill="1" applyBorder="1" applyAlignment="1">
      <alignment/>
    </xf>
    <xf numFmtId="0" fontId="108" fillId="0" borderId="10" xfId="0" applyFont="1" applyFill="1" applyBorder="1" applyAlignment="1">
      <alignment horizontal="center"/>
    </xf>
    <xf numFmtId="168" fontId="108" fillId="0" borderId="41" xfId="49" applyNumberFormat="1" applyFont="1" applyFill="1" applyBorder="1" applyAlignment="1">
      <alignment/>
    </xf>
    <xf numFmtId="168" fontId="108" fillId="33" borderId="40" xfId="49" applyNumberFormat="1" applyFont="1" applyFill="1" applyBorder="1" applyAlignment="1">
      <alignment/>
    </xf>
    <xf numFmtId="0" fontId="108" fillId="33" borderId="10" xfId="0" applyFont="1" applyFill="1" applyBorder="1" applyAlignment="1">
      <alignment wrapText="1"/>
    </xf>
    <xf numFmtId="168" fontId="108" fillId="33" borderId="18" xfId="49"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168" fontId="108" fillId="33" borderId="11" xfId="49" applyNumberFormat="1" applyFont="1" applyFill="1" applyBorder="1" applyAlignment="1">
      <alignment vertical="center"/>
    </xf>
    <xf numFmtId="9" fontId="108" fillId="0" borderId="18" xfId="140" applyFont="1" applyFill="1" applyBorder="1" applyAlignment="1">
      <alignment horizontal="center"/>
    </xf>
    <xf numFmtId="9" fontId="108" fillId="0" borderId="40" xfId="140" applyFont="1" applyFill="1" applyBorder="1" applyAlignment="1">
      <alignment horizontal="center"/>
    </xf>
    <xf numFmtId="0" fontId="142" fillId="33" borderId="11" xfId="0" applyFont="1" applyFill="1" applyBorder="1" applyAlignment="1">
      <alignment/>
    </xf>
    <xf numFmtId="0" fontId="109" fillId="33" borderId="0" xfId="0" applyFont="1" applyFill="1" applyBorder="1" applyAlignment="1">
      <alignment vertical="center"/>
    </xf>
    <xf numFmtId="0" fontId="121" fillId="0" borderId="0" xfId="0" applyFont="1" applyFill="1" applyBorder="1" applyAlignment="1">
      <alignment vertical="center"/>
    </xf>
    <xf numFmtId="0" fontId="121" fillId="35" borderId="10" xfId="0" applyFont="1" applyFill="1" applyBorder="1" applyAlignment="1">
      <alignment horizontal="center" vertical="center"/>
    </xf>
    <xf numFmtId="0" fontId="0" fillId="0" borderId="0" xfId="0" applyAlignment="1">
      <alignment/>
    </xf>
    <xf numFmtId="0" fontId="121" fillId="35" borderId="12" xfId="76" applyNumberFormat="1" applyFont="1" applyFill="1" applyBorder="1" applyAlignment="1" quotePrefix="1">
      <alignment horizontal="center"/>
      <protection/>
    </xf>
    <xf numFmtId="0" fontId="121" fillId="35" borderId="0" xfId="0" applyFont="1" applyFill="1" applyBorder="1" applyAlignment="1">
      <alignment horizontal="center" vertical="center"/>
    </xf>
    <xf numFmtId="0" fontId="134" fillId="33" borderId="0" xfId="0" applyFont="1" applyFill="1" applyAlignment="1">
      <alignment/>
    </xf>
    <xf numFmtId="0" fontId="92" fillId="35" borderId="0" xfId="0" applyFont="1" applyFill="1" applyAlignment="1">
      <alignment horizontal="center"/>
    </xf>
    <xf numFmtId="0" fontId="92" fillId="35" borderId="0" xfId="0" applyFont="1" applyFill="1" applyAlignment="1">
      <alignment horizontal="center" vertical="center"/>
    </xf>
    <xf numFmtId="0" fontId="92" fillId="35" borderId="0" xfId="0" applyFont="1" applyFill="1" applyAlignment="1">
      <alignment vertical="center"/>
    </xf>
    <xf numFmtId="0" fontId="134" fillId="38" borderId="11" xfId="0" applyFont="1" applyFill="1" applyBorder="1" applyAlignment="1">
      <alignment/>
    </xf>
    <xf numFmtId="0" fontId="134" fillId="38" borderId="40" xfId="0" applyFont="1" applyFill="1" applyBorder="1" applyAlignment="1">
      <alignment/>
    </xf>
    <xf numFmtId="0" fontId="121" fillId="35" borderId="12" xfId="76" applyNumberFormat="1" applyFont="1" applyFill="1" applyBorder="1" applyAlignment="1" quotePrefix="1">
      <alignment horizontal="right"/>
      <protection/>
    </xf>
    <xf numFmtId="0" fontId="147" fillId="39" borderId="42" xfId="64" applyFont="1" applyFill="1" applyBorder="1" applyAlignment="1">
      <alignment vertical="center"/>
      <protection/>
    </xf>
    <xf numFmtId="0" fontId="11" fillId="39" borderId="42" xfId="64" applyFont="1" applyFill="1" applyBorder="1" applyAlignment="1">
      <alignment vertical="center"/>
      <protection/>
    </xf>
    <xf numFmtId="0" fontId="147" fillId="40" borderId="43" xfId="64" applyFont="1" applyFill="1" applyBorder="1" applyAlignment="1">
      <alignment horizontal="center" vertical="center" wrapText="1"/>
      <protection/>
    </xf>
    <xf numFmtId="0" fontId="147" fillId="40" borderId="44" xfId="64" applyFont="1" applyFill="1" applyBorder="1" applyAlignment="1">
      <alignment horizontal="center" vertical="center" wrapText="1"/>
      <protection/>
    </xf>
    <xf numFmtId="0" fontId="147" fillId="40" borderId="45" xfId="64" applyFont="1" applyFill="1" applyBorder="1" applyAlignment="1">
      <alignment horizontal="center" vertical="center"/>
      <protection/>
    </xf>
    <xf numFmtId="0" fontId="147" fillId="40" borderId="46" xfId="64" applyFont="1" applyFill="1" applyBorder="1" applyAlignment="1">
      <alignment vertical="center"/>
      <protection/>
    </xf>
    <xf numFmtId="0" fontId="147" fillId="40" borderId="46" xfId="64" applyFont="1" applyFill="1" applyBorder="1" applyAlignment="1">
      <alignment vertical="center" wrapText="1"/>
      <protection/>
    </xf>
    <xf numFmtId="0" fontId="147" fillId="40" borderId="47" xfId="64" applyFont="1" applyFill="1" applyBorder="1" applyAlignment="1">
      <alignment horizontal="center" vertical="center" wrapText="1"/>
      <protection/>
    </xf>
    <xf numFmtId="0" fontId="121" fillId="35" borderId="48" xfId="76" applyNumberFormat="1" applyFont="1" applyFill="1" applyBorder="1" applyAlignment="1" quotePrefix="1">
      <alignment horizontal="center"/>
      <protection/>
    </xf>
    <xf numFmtId="0" fontId="121" fillId="35" borderId="49" xfId="76" applyNumberFormat="1" applyFont="1" applyFill="1" applyBorder="1" applyAlignment="1" quotePrefix="1">
      <alignment horizontal="center"/>
      <protection/>
    </xf>
    <xf numFmtId="0" fontId="121" fillId="35" borderId="12" xfId="76" applyFont="1" applyFill="1" applyBorder="1" applyAlignment="1">
      <alignment horizontal="center"/>
      <protection/>
    </xf>
    <xf numFmtId="0" fontId="92" fillId="35" borderId="12" xfId="0" applyFont="1" applyFill="1" applyBorder="1" applyAlignment="1">
      <alignment horizontal="center" vertical="center"/>
    </xf>
    <xf numFmtId="0" fontId="92" fillId="35" borderId="0" xfId="0" applyFont="1" applyFill="1" applyAlignment="1">
      <alignment/>
    </xf>
    <xf numFmtId="0" fontId="121" fillId="0" borderId="0" xfId="0" applyFont="1" applyFill="1" applyAlignment="1">
      <alignment vertical="center" wrapText="1"/>
    </xf>
    <xf numFmtId="0" fontId="148" fillId="35" borderId="50" xfId="0" applyFont="1" applyFill="1" applyBorder="1" applyAlignment="1">
      <alignment horizontal="center" vertical="center" wrapText="1"/>
    </xf>
    <xf numFmtId="0" fontId="92" fillId="35" borderId="51" xfId="0" applyFont="1" applyFill="1" applyBorder="1" applyAlignment="1">
      <alignment/>
    </xf>
    <xf numFmtId="0" fontId="148" fillId="35" borderId="52" xfId="0" applyFont="1" applyFill="1" applyBorder="1" applyAlignment="1">
      <alignment horizontal="center" vertical="center" wrapText="1"/>
    </xf>
    <xf numFmtId="0" fontId="148" fillId="35" borderId="53" xfId="0" applyFont="1" applyFill="1" applyBorder="1" applyAlignment="1">
      <alignment vertical="center" wrapText="1"/>
    </xf>
    <xf numFmtId="0" fontId="148" fillId="35" borderId="52" xfId="0" applyFont="1" applyFill="1" applyBorder="1" applyAlignment="1">
      <alignment vertical="center" wrapText="1"/>
    </xf>
    <xf numFmtId="0" fontId="92" fillId="35" borderId="54" xfId="0" applyFont="1" applyFill="1" applyBorder="1" applyAlignment="1">
      <alignment/>
    </xf>
    <xf numFmtId="0" fontId="125" fillId="38" borderId="0" xfId="0" applyFont="1" applyFill="1" applyBorder="1" applyAlignment="1">
      <alignment horizontal="center"/>
    </xf>
    <xf numFmtId="0" fontId="121" fillId="35" borderId="0" xfId="0" applyFont="1" applyFill="1" applyBorder="1" applyAlignment="1">
      <alignment/>
    </xf>
    <xf numFmtId="9" fontId="145" fillId="38" borderId="0" xfId="140" applyFont="1" applyFill="1" applyBorder="1" applyAlignment="1">
      <alignment/>
    </xf>
    <xf numFmtId="0" fontId="14" fillId="38" borderId="55" xfId="0" applyFont="1" applyFill="1" applyBorder="1" applyAlignment="1">
      <alignment/>
    </xf>
    <xf numFmtId="0" fontId="4" fillId="0" borderId="0" xfId="0" applyFont="1" applyFill="1" applyAlignment="1">
      <alignment/>
    </xf>
    <xf numFmtId="167" fontId="127" fillId="35" borderId="0" xfId="49" applyNumberFormat="1" applyFont="1" applyFill="1" applyBorder="1" applyAlignment="1">
      <alignment/>
    </xf>
    <xf numFmtId="167" fontId="127" fillId="35" borderId="20" xfId="49" applyNumberFormat="1" applyFont="1" applyFill="1" applyBorder="1" applyAlignment="1">
      <alignment/>
    </xf>
    <xf numFmtId="167" fontId="121" fillId="35" borderId="0" xfId="49" applyNumberFormat="1" applyFont="1" applyFill="1" applyBorder="1" applyAlignment="1">
      <alignment/>
    </xf>
    <xf numFmtId="0" fontId="143" fillId="35" borderId="0" xfId="0" applyFont="1" applyFill="1" applyAlignment="1">
      <alignment/>
    </xf>
    <xf numFmtId="0" fontId="108" fillId="0" borderId="0" xfId="0" applyFont="1" applyFill="1" applyAlignment="1">
      <alignment horizontal="center"/>
    </xf>
    <xf numFmtId="0" fontId="96" fillId="0" borderId="0" xfId="46" applyAlignment="1">
      <alignment horizontal="right"/>
    </xf>
    <xf numFmtId="0" fontId="108" fillId="0" borderId="0" xfId="0" applyFont="1" applyAlignment="1">
      <alignment horizontal="justify" vertical="center"/>
    </xf>
    <xf numFmtId="0" fontId="0" fillId="41" borderId="0" xfId="0" applyFont="1" applyFill="1" applyBorder="1" applyAlignment="1">
      <alignment/>
    </xf>
    <xf numFmtId="0" fontId="0" fillId="41" borderId="21" xfId="0" applyFont="1" applyFill="1" applyBorder="1" applyAlignment="1">
      <alignment/>
    </xf>
    <xf numFmtId="0" fontId="14" fillId="41" borderId="0" xfId="0" applyFont="1" applyFill="1" applyBorder="1" applyAlignment="1">
      <alignment/>
    </xf>
    <xf numFmtId="0" fontId="132" fillId="41" borderId="0" xfId="0" applyFont="1" applyFill="1" applyBorder="1" applyAlignment="1">
      <alignment/>
    </xf>
    <xf numFmtId="0" fontId="149" fillId="42" borderId="0" xfId="0" applyFont="1" applyFill="1" applyBorder="1" applyAlignment="1">
      <alignment/>
    </xf>
    <xf numFmtId="0" fontId="149" fillId="39" borderId="0" xfId="0" applyFont="1" applyFill="1" applyBorder="1" applyAlignment="1">
      <alignment/>
    </xf>
    <xf numFmtId="0" fontId="96" fillId="0" borderId="0" xfId="46" applyAlignment="1">
      <alignment horizontal="center" vertical="center"/>
    </xf>
    <xf numFmtId="0" fontId="96" fillId="0" borderId="41" xfId="46" applyBorder="1" applyAlignment="1">
      <alignment horizontal="center" vertical="center"/>
    </xf>
    <xf numFmtId="14" fontId="114" fillId="36" borderId="0" xfId="0" applyNumberFormat="1" applyFont="1" applyFill="1" applyAlignment="1">
      <alignment/>
    </xf>
    <xf numFmtId="0" fontId="114" fillId="36" borderId="0" xfId="0" applyFont="1" applyFill="1" applyAlignment="1">
      <alignment/>
    </xf>
    <xf numFmtId="0" fontId="109" fillId="0" borderId="0" xfId="0" applyFont="1" applyAlignment="1">
      <alignment horizontal="right"/>
    </xf>
    <xf numFmtId="0" fontId="108" fillId="0" borderId="12" xfId="0" applyFont="1" applyBorder="1" applyAlignment="1">
      <alignment/>
    </xf>
    <xf numFmtId="0" fontId="0" fillId="0" borderId="0" xfId="0" applyAlignment="1">
      <alignment/>
    </xf>
    <xf numFmtId="0" fontId="0" fillId="0" borderId="0" xfId="0" applyAlignment="1">
      <alignment/>
    </xf>
    <xf numFmtId="0" fontId="113" fillId="0" borderId="15" xfId="0" applyFont="1" applyBorder="1" applyAlignment="1">
      <alignment/>
    </xf>
    <xf numFmtId="0" fontId="113" fillId="0" borderId="0" xfId="0" applyFont="1" applyBorder="1" applyAlignment="1">
      <alignment/>
    </xf>
    <xf numFmtId="0" fontId="113" fillId="0" borderId="16" xfId="0" applyFont="1" applyBorder="1" applyAlignment="1">
      <alignment/>
    </xf>
    <xf numFmtId="0" fontId="150" fillId="0" borderId="0" xfId="0" applyFont="1" applyAlignment="1">
      <alignment/>
    </xf>
    <xf numFmtId="0" fontId="102" fillId="38" borderId="15" xfId="0" applyFont="1" applyFill="1" applyBorder="1" applyAlignment="1">
      <alignment/>
    </xf>
    <xf numFmtId="0" fontId="151" fillId="38" borderId="15" xfId="0" applyFont="1" applyFill="1" applyBorder="1" applyAlignment="1">
      <alignment/>
    </xf>
    <xf numFmtId="0" fontId="21" fillId="0" borderId="56" xfId="0" applyFont="1" applyBorder="1" applyAlignment="1">
      <alignment horizontal="centerContinuous"/>
    </xf>
    <xf numFmtId="0" fontId="21" fillId="0" borderId="57" xfId="0" applyFont="1" applyBorder="1" applyAlignment="1">
      <alignment horizontal="centerContinuous"/>
    </xf>
    <xf numFmtId="0" fontId="2" fillId="0" borderId="57" xfId="0" applyFont="1" applyBorder="1" applyAlignment="1">
      <alignment horizontal="centerContinuous"/>
    </xf>
    <xf numFmtId="0" fontId="2" fillId="0" borderId="58" xfId="0" applyFont="1" applyBorder="1" applyAlignment="1">
      <alignment horizontal="centerContinuous"/>
    </xf>
    <xf numFmtId="3" fontId="0" fillId="0" borderId="0" xfId="0" applyNumberFormat="1" applyAlignment="1">
      <alignment/>
    </xf>
    <xf numFmtId="0" fontId="21" fillId="0" borderId="59" xfId="0" applyFont="1" applyBorder="1" applyAlignment="1">
      <alignment horizontal="centerContinuous"/>
    </xf>
    <xf numFmtId="0" fontId="21" fillId="0" borderId="0" xfId="0" applyFont="1" applyBorder="1" applyAlignment="1">
      <alignment horizontal="centerContinuous"/>
    </xf>
    <xf numFmtId="0" fontId="2" fillId="0" borderId="0" xfId="0" applyFont="1" applyBorder="1" applyAlignment="1">
      <alignment horizontal="centerContinuous"/>
    </xf>
    <xf numFmtId="0" fontId="2" fillId="0" borderId="60" xfId="0" applyFont="1" applyBorder="1" applyAlignment="1">
      <alignment horizontal="centerContinuous"/>
    </xf>
    <xf numFmtId="0" fontId="8" fillId="0" borderId="59" xfId="0" applyFont="1" applyFill="1" applyBorder="1" applyAlignment="1">
      <alignment horizontal="centerContinuous"/>
    </xf>
    <xf numFmtId="0" fontId="21" fillId="0" borderId="0" xfId="0" applyFont="1" applyFill="1" applyBorder="1" applyAlignment="1">
      <alignment horizontal="centerContinuous"/>
    </xf>
    <xf numFmtId="0" fontId="22" fillId="0" borderId="0" xfId="0" applyFont="1" applyFill="1" applyBorder="1" applyAlignment="1">
      <alignment horizontal="centerContinuous"/>
    </xf>
    <xf numFmtId="0" fontId="2" fillId="0" borderId="60" xfId="0" applyFont="1" applyFill="1" applyBorder="1" applyAlignment="1">
      <alignment horizontal="centerContinuous"/>
    </xf>
    <xf numFmtId="0" fontId="2" fillId="0" borderId="59" xfId="0" applyFont="1" applyFill="1" applyBorder="1" applyAlignment="1">
      <alignment/>
    </xf>
    <xf numFmtId="0" fontId="2" fillId="0" borderId="0" xfId="0" applyFont="1" applyFill="1" applyBorder="1" applyAlignment="1">
      <alignment/>
    </xf>
    <xf numFmtId="0" fontId="2" fillId="0" borderId="60" xfId="0" applyFont="1" applyFill="1" applyBorder="1" applyAlignment="1">
      <alignment/>
    </xf>
    <xf numFmtId="3" fontId="7" fillId="0" borderId="0" xfId="0" applyNumberFormat="1" applyFont="1" applyAlignment="1">
      <alignment/>
    </xf>
    <xf numFmtId="0" fontId="7" fillId="0" borderId="59" xfId="0" applyFont="1" applyFill="1" applyBorder="1" applyAlignment="1">
      <alignment/>
    </xf>
    <xf numFmtId="0" fontId="7" fillId="0" borderId="0" xfId="0" applyFont="1" applyFill="1" applyBorder="1" applyAlignment="1">
      <alignment/>
    </xf>
    <xf numFmtId="0" fontId="7" fillId="0" borderId="60" xfId="0" applyFont="1" applyFill="1" applyBorder="1" applyAlignment="1">
      <alignment/>
    </xf>
    <xf numFmtId="0" fontId="7" fillId="0" borderId="61" xfId="0" applyFont="1" applyFill="1" applyBorder="1" applyAlignment="1">
      <alignment/>
    </xf>
    <xf numFmtId="0" fontId="7" fillId="0" borderId="12" xfId="0" applyFont="1" applyFill="1" applyBorder="1" applyAlignment="1">
      <alignment/>
    </xf>
    <xf numFmtId="0" fontId="7" fillId="0" borderId="62" xfId="0" applyFont="1" applyFill="1" applyBorder="1" applyAlignment="1">
      <alignment/>
    </xf>
    <xf numFmtId="0" fontId="7" fillId="0" borderId="59" xfId="0" applyFont="1" applyFill="1" applyBorder="1" applyAlignment="1">
      <alignment horizontal="justify" vertical="top"/>
    </xf>
    <xf numFmtId="0" fontId="7" fillId="0" borderId="0" xfId="0" applyFont="1" applyFill="1" applyBorder="1" applyAlignment="1">
      <alignment horizontal="justify" vertical="top"/>
    </xf>
    <xf numFmtId="0" fontId="7" fillId="0" borderId="60" xfId="0" applyFont="1" applyFill="1" applyBorder="1" applyAlignment="1">
      <alignment horizontal="justify" vertical="top"/>
    </xf>
    <xf numFmtId="0" fontId="7" fillId="0" borderId="59" xfId="0" applyFont="1" applyFill="1" applyBorder="1" applyAlignment="1">
      <alignment horizontal="center"/>
    </xf>
    <xf numFmtId="0" fontId="7" fillId="0" borderId="0" xfId="0" applyFont="1" applyFill="1" applyBorder="1" applyAlignment="1">
      <alignment horizontal="center"/>
    </xf>
    <xf numFmtId="0" fontId="7" fillId="0" borderId="60" xfId="0" applyFont="1" applyFill="1" applyBorder="1" applyAlignment="1">
      <alignment horizontal="center"/>
    </xf>
    <xf numFmtId="0" fontId="7" fillId="0" borderId="61" xfId="0" applyFont="1" applyFill="1" applyBorder="1" applyAlignment="1">
      <alignment horizontal="center"/>
    </xf>
    <xf numFmtId="0" fontId="7" fillId="0" borderId="12" xfId="0" applyFont="1" applyBorder="1" applyAlignment="1">
      <alignment horizontal="center"/>
    </xf>
    <xf numFmtId="0" fontId="7" fillId="0" borderId="12" xfId="0" applyFont="1" applyFill="1" applyBorder="1" applyAlignment="1">
      <alignment horizontal="center"/>
    </xf>
    <xf numFmtId="0" fontId="7" fillId="0" borderId="62" xfId="0" applyFont="1" applyFill="1" applyBorder="1" applyAlignment="1">
      <alignment horizontal="center"/>
    </xf>
    <xf numFmtId="3" fontId="7" fillId="0" borderId="59" xfId="0" applyNumberFormat="1" applyFont="1" applyFill="1" applyBorder="1" applyAlignment="1">
      <alignment horizontal="center"/>
    </xf>
    <xf numFmtId="179" fontId="7" fillId="0" borderId="0" xfId="50" applyNumberFormat="1" applyFont="1" applyBorder="1" applyAlignment="1">
      <alignment horizontal="center"/>
    </xf>
    <xf numFmtId="3" fontId="7" fillId="0" borderId="0" xfId="0" applyNumberFormat="1" applyFont="1" applyFill="1" applyBorder="1" applyAlignment="1">
      <alignment/>
    </xf>
    <xf numFmtId="3" fontId="7" fillId="0" borderId="60" xfId="0" applyNumberFormat="1" applyFont="1" applyFill="1" applyBorder="1" applyAlignment="1">
      <alignment horizontal="center"/>
    </xf>
    <xf numFmtId="3" fontId="9" fillId="0" borderId="59" xfId="0" applyNumberFormat="1" applyFont="1" applyFill="1" applyBorder="1" applyAlignment="1">
      <alignment horizontal="center"/>
    </xf>
    <xf numFmtId="179" fontId="9" fillId="0" borderId="0" xfId="50" applyNumberFormat="1" applyFont="1" applyBorder="1" applyAlignment="1">
      <alignment horizontal="center"/>
    </xf>
    <xf numFmtId="3" fontId="23" fillId="0" borderId="0" xfId="0" applyNumberFormat="1" applyFont="1" applyFill="1" applyBorder="1" applyAlignment="1">
      <alignment/>
    </xf>
    <xf numFmtId="3" fontId="23" fillId="0" borderId="60" xfId="0" applyNumberFormat="1" applyFont="1" applyFill="1" applyBorder="1" applyAlignment="1">
      <alignment horizontal="center"/>
    </xf>
    <xf numFmtId="0" fontId="7" fillId="0" borderId="63" xfId="0" applyFont="1" applyBorder="1" applyAlignment="1">
      <alignment/>
    </xf>
    <xf numFmtId="0" fontId="7" fillId="0" borderId="55" xfId="0" applyFont="1" applyBorder="1" applyAlignment="1">
      <alignment/>
    </xf>
    <xf numFmtId="3" fontId="7" fillId="0" borderId="55" xfId="0" applyNumberFormat="1" applyFont="1" applyBorder="1" applyAlignment="1">
      <alignment/>
    </xf>
    <xf numFmtId="3" fontId="7" fillId="0" borderId="64" xfId="0" applyNumberFormat="1" applyFont="1" applyBorder="1" applyAlignment="1">
      <alignment/>
    </xf>
    <xf numFmtId="0" fontId="25" fillId="0" borderId="0" xfId="0" applyFont="1" applyBorder="1" applyAlignment="1">
      <alignment/>
    </xf>
    <xf numFmtId="180" fontId="26" fillId="0" borderId="0" xfId="0" applyNumberFormat="1" applyFont="1" applyBorder="1" applyAlignment="1">
      <alignment/>
    </xf>
    <xf numFmtId="0" fontId="152" fillId="0" borderId="0" xfId="0" applyFont="1" applyFill="1" applyBorder="1" applyAlignment="1" applyProtection="1">
      <alignment/>
      <protection locked="0"/>
    </xf>
    <xf numFmtId="180" fontId="27" fillId="0" borderId="0" xfId="138" applyNumberFormat="1" applyFont="1" applyFill="1" applyBorder="1" applyAlignment="1">
      <alignment horizontal="left"/>
      <protection/>
    </xf>
    <xf numFmtId="0" fontId="0" fillId="0" borderId="15" xfId="0" applyBorder="1" applyAlignment="1">
      <alignment/>
    </xf>
    <xf numFmtId="0" fontId="0" fillId="0" borderId="16" xfId="0" applyBorder="1" applyAlignment="1">
      <alignment/>
    </xf>
    <xf numFmtId="0" fontId="0" fillId="0" borderId="0" xfId="0" applyFill="1" applyBorder="1" applyAlignment="1">
      <alignment/>
    </xf>
    <xf numFmtId="0" fontId="107" fillId="0" borderId="0" xfId="0" applyFont="1" applyAlignment="1">
      <alignment horizontal="center"/>
    </xf>
    <xf numFmtId="0" fontId="0" fillId="0" borderId="0" xfId="0" applyAlignment="1">
      <alignment/>
    </xf>
    <xf numFmtId="0" fontId="0" fillId="0" borderId="0" xfId="0" applyAlignment="1">
      <alignment horizontal="left"/>
    </xf>
    <xf numFmtId="0" fontId="0" fillId="38" borderId="0" xfId="0" applyFill="1" applyBorder="1" applyAlignment="1">
      <alignment horizontal="center"/>
    </xf>
    <xf numFmtId="3" fontId="108" fillId="33" borderId="10" xfId="0" applyNumberFormat="1" applyFont="1" applyFill="1" applyBorder="1" applyAlignment="1">
      <alignment/>
    </xf>
    <xf numFmtId="3" fontId="11" fillId="38" borderId="21" xfId="57" applyNumberFormat="1" applyFont="1" applyFill="1" applyBorder="1" applyAlignment="1">
      <alignment/>
    </xf>
    <xf numFmtId="3" fontId="2" fillId="33" borderId="0" xfId="49" applyNumberFormat="1" applyFont="1" applyFill="1" applyBorder="1" applyAlignment="1">
      <alignment/>
    </xf>
    <xf numFmtId="3" fontId="0" fillId="0" borderId="0" xfId="0" applyNumberFormat="1" applyBorder="1" applyAlignment="1">
      <alignment/>
    </xf>
    <xf numFmtId="3" fontId="0" fillId="0" borderId="0" xfId="0" applyNumberFormat="1" applyFill="1" applyBorder="1" applyAlignment="1">
      <alignment/>
    </xf>
    <xf numFmtId="3" fontId="2" fillId="33" borderId="14" xfId="49" applyNumberFormat="1" applyFont="1" applyFill="1" applyBorder="1" applyAlignment="1">
      <alignment/>
    </xf>
    <xf numFmtId="0" fontId="107" fillId="0" borderId="0" xfId="0" applyFont="1" applyAlignment="1">
      <alignment horizontal="center"/>
    </xf>
    <xf numFmtId="0" fontId="0" fillId="0" borderId="0" xfId="0" applyAlignment="1">
      <alignment/>
    </xf>
    <xf numFmtId="0" fontId="0" fillId="0" borderId="0" xfId="0" applyAlignment="1">
      <alignment horizontal="left"/>
    </xf>
    <xf numFmtId="14" fontId="0" fillId="0" borderId="0" xfId="0" applyNumberFormat="1" applyAlignment="1">
      <alignment/>
    </xf>
    <xf numFmtId="3" fontId="0" fillId="0" borderId="12" xfId="0" applyNumberFormat="1" applyBorder="1" applyAlignment="1">
      <alignment/>
    </xf>
    <xf numFmtId="0" fontId="107" fillId="0" borderId="0" xfId="0" applyFont="1" applyBorder="1" applyAlignment="1">
      <alignment horizontal="center"/>
    </xf>
    <xf numFmtId="0" fontId="107" fillId="0" borderId="0" xfId="0" applyFont="1" applyBorder="1" applyAlignment="1">
      <alignment horizontal="center" vertical="center"/>
    </xf>
    <xf numFmtId="0" fontId="4" fillId="33" borderId="0" xfId="76" applyFont="1" applyFill="1" applyBorder="1" applyAlignment="1">
      <alignment horizontal="center"/>
      <protection/>
    </xf>
    <xf numFmtId="0" fontId="107" fillId="0" borderId="0" xfId="0" applyFont="1" applyAlignment="1">
      <alignment horizontal="left"/>
    </xf>
    <xf numFmtId="0" fontId="0" fillId="0" borderId="0" xfId="0" applyFont="1" applyAlignment="1">
      <alignment horizontal="left"/>
    </xf>
    <xf numFmtId="14" fontId="0" fillId="0" borderId="12" xfId="0" applyNumberFormat="1" applyBorder="1" applyAlignment="1">
      <alignment/>
    </xf>
    <xf numFmtId="0" fontId="107" fillId="0" borderId="0" xfId="0" applyFont="1" applyAlignment="1">
      <alignment horizontal="center"/>
    </xf>
    <xf numFmtId="0" fontId="0" fillId="0" borderId="0" xfId="0" applyAlignment="1">
      <alignment/>
    </xf>
    <xf numFmtId="0" fontId="0" fillId="0" borderId="0" xfId="0" applyAlignment="1">
      <alignment horizontal="left"/>
    </xf>
    <xf numFmtId="0" fontId="0" fillId="0" borderId="0" xfId="0" applyFont="1" applyBorder="1" applyAlignment="1">
      <alignment horizontal="left"/>
    </xf>
    <xf numFmtId="0" fontId="107" fillId="0" borderId="0" xfId="0" applyFont="1" applyBorder="1" applyAlignment="1">
      <alignment horizontal="left"/>
    </xf>
    <xf numFmtId="0" fontId="0" fillId="0" borderId="0" xfId="0" applyBorder="1" applyAlignment="1">
      <alignment horizontal="center"/>
    </xf>
    <xf numFmtId="0" fontId="107" fillId="0" borderId="12" xfId="0" applyFont="1" applyBorder="1" applyAlignment="1">
      <alignment/>
    </xf>
    <xf numFmtId="0" fontId="0" fillId="0" borderId="0" xfId="0" applyFont="1" applyAlignment="1">
      <alignment/>
    </xf>
    <xf numFmtId="0" fontId="0" fillId="0" borderId="0" xfId="0" applyAlignment="1">
      <alignment/>
    </xf>
    <xf numFmtId="0" fontId="0" fillId="0" borderId="12" xfId="0" applyBorder="1" applyAlignment="1">
      <alignment horizontal="left"/>
    </xf>
    <xf numFmtId="0" fontId="144" fillId="0" borderId="12" xfId="0" applyFont="1" applyBorder="1" applyAlignment="1">
      <alignment/>
    </xf>
    <xf numFmtId="3" fontId="107" fillId="0" borderId="0" xfId="0" applyNumberFormat="1" applyFont="1" applyAlignment="1">
      <alignment/>
    </xf>
    <xf numFmtId="14" fontId="0" fillId="0" borderId="0" xfId="0" applyNumberFormat="1" applyBorder="1" applyAlignment="1">
      <alignment/>
    </xf>
    <xf numFmtId="0" fontId="0" fillId="0" borderId="12" xfId="0" applyFont="1" applyBorder="1" applyAlignment="1">
      <alignment/>
    </xf>
    <xf numFmtId="0" fontId="0" fillId="0" borderId="0" xfId="0" applyBorder="1" applyAlignment="1">
      <alignment horizontal="left"/>
    </xf>
    <xf numFmtId="0" fontId="107" fillId="0" borderId="12" xfId="0" applyFont="1" applyBorder="1" applyAlignment="1">
      <alignment horizontal="left"/>
    </xf>
    <xf numFmtId="3" fontId="107" fillId="0" borderId="12" xfId="0" applyNumberFormat="1" applyFont="1" applyBorder="1" applyAlignment="1">
      <alignment/>
    </xf>
    <xf numFmtId="3" fontId="107" fillId="0" borderId="0" xfId="0" applyNumberFormat="1" applyFont="1" applyBorder="1" applyAlignment="1">
      <alignment/>
    </xf>
    <xf numFmtId="3" fontId="14" fillId="0" borderId="0" xfId="0" applyNumberFormat="1" applyFont="1" applyAlignment="1">
      <alignment/>
    </xf>
    <xf numFmtId="3" fontId="14" fillId="0" borderId="12" xfId="0" applyNumberFormat="1" applyFont="1" applyBorder="1" applyAlignment="1">
      <alignment/>
    </xf>
    <xf numFmtId="0" fontId="107" fillId="0" borderId="0" xfId="0" applyFont="1" applyBorder="1" applyAlignment="1">
      <alignment/>
    </xf>
    <xf numFmtId="3" fontId="0" fillId="38" borderId="0" xfId="0" applyNumberFormat="1" applyFill="1" applyAlignment="1">
      <alignment/>
    </xf>
    <xf numFmtId="3" fontId="0" fillId="38" borderId="20" xfId="50" applyNumberFormat="1" applyFont="1" applyFill="1" applyBorder="1" applyAlignment="1">
      <alignment/>
    </xf>
    <xf numFmtId="3" fontId="2" fillId="33" borderId="0" xfId="49" applyNumberFormat="1" applyFont="1" applyFill="1" applyAlignment="1">
      <alignment/>
    </xf>
    <xf numFmtId="3" fontId="108" fillId="33" borderId="0" xfId="50" applyNumberFormat="1" applyFont="1" applyFill="1" applyAlignment="1">
      <alignment/>
    </xf>
    <xf numFmtId="3" fontId="109" fillId="33" borderId="14" xfId="0" applyNumberFormat="1" applyFont="1" applyFill="1" applyBorder="1" applyAlignment="1">
      <alignment/>
    </xf>
    <xf numFmtId="3" fontId="0" fillId="38" borderId="12" xfId="0" applyNumberFormat="1" applyFont="1" applyFill="1" applyBorder="1" applyAlignment="1">
      <alignment/>
    </xf>
    <xf numFmtId="3" fontId="0" fillId="38" borderId="12" xfId="0" applyNumberFormat="1" applyFill="1" applyBorder="1" applyAlignment="1">
      <alignment/>
    </xf>
    <xf numFmtId="3" fontId="0" fillId="33" borderId="0" xfId="0" applyNumberFormat="1" applyFill="1" applyAlignment="1">
      <alignment/>
    </xf>
    <xf numFmtId="3" fontId="92" fillId="0" borderId="0" xfId="0" applyNumberFormat="1" applyFont="1" applyFill="1" applyAlignment="1">
      <alignment horizontal="center" vertical="center"/>
    </xf>
    <xf numFmtId="3" fontId="0" fillId="33" borderId="20" xfId="0" applyNumberFormat="1" applyFill="1" applyBorder="1" applyAlignment="1">
      <alignment/>
    </xf>
    <xf numFmtId="3" fontId="110" fillId="38" borderId="0" xfId="140" applyNumberFormat="1" applyFont="1" applyFill="1" applyBorder="1" applyAlignment="1">
      <alignment/>
    </xf>
    <xf numFmtId="3" fontId="110" fillId="38" borderId="20" xfId="50" applyNumberFormat="1" applyFont="1" applyFill="1" applyBorder="1" applyAlignment="1">
      <alignment horizontal="center"/>
    </xf>
    <xf numFmtId="3" fontId="110" fillId="38" borderId="20" xfId="50" applyNumberFormat="1" applyFont="1" applyFill="1" applyBorder="1" applyAlignment="1">
      <alignment/>
    </xf>
    <xf numFmtId="3" fontId="153" fillId="41" borderId="10" xfId="0" applyNumberFormat="1" applyFont="1" applyFill="1" applyBorder="1" applyAlignment="1">
      <alignment/>
    </xf>
    <xf numFmtId="3" fontId="0" fillId="41" borderId="10" xfId="0" applyNumberFormat="1" applyFont="1" applyFill="1" applyBorder="1" applyAlignment="1">
      <alignment/>
    </xf>
    <xf numFmtId="3" fontId="0" fillId="41" borderId="0" xfId="0" applyNumberFormat="1" applyFont="1" applyFill="1" applyBorder="1" applyAlignment="1">
      <alignment/>
    </xf>
    <xf numFmtId="3" fontId="0" fillId="41" borderId="10" xfId="0" applyNumberFormat="1" applyFont="1" applyFill="1" applyBorder="1" applyAlignment="1">
      <alignment horizontal="center"/>
    </xf>
    <xf numFmtId="3" fontId="14" fillId="41" borderId="0" xfId="0" applyNumberFormat="1" applyFont="1" applyFill="1" applyBorder="1" applyAlignment="1">
      <alignment/>
    </xf>
    <xf numFmtId="3" fontId="15" fillId="41" borderId="41" xfId="0" applyNumberFormat="1" applyFont="1" applyFill="1" applyBorder="1" applyAlignment="1">
      <alignment/>
    </xf>
    <xf numFmtId="3" fontId="92" fillId="35" borderId="0" xfId="0" applyNumberFormat="1" applyFont="1" applyFill="1" applyAlignment="1">
      <alignment horizontal="center" vertical="center"/>
    </xf>
    <xf numFmtId="3" fontId="15" fillId="41" borderId="10" xfId="0" applyNumberFormat="1" applyFont="1" applyFill="1" applyBorder="1" applyAlignment="1">
      <alignment/>
    </xf>
    <xf numFmtId="3" fontId="14" fillId="41" borderId="10" xfId="0" applyNumberFormat="1" applyFont="1" applyFill="1" applyBorder="1" applyAlignment="1">
      <alignment/>
    </xf>
    <xf numFmtId="3" fontId="107" fillId="41" borderId="10" xfId="0" applyNumberFormat="1" applyFont="1" applyFill="1" applyBorder="1" applyAlignment="1">
      <alignment/>
    </xf>
    <xf numFmtId="0" fontId="4" fillId="0" borderId="0" xfId="0" applyFont="1" applyFill="1" applyAlignment="1">
      <alignment vertical="center"/>
    </xf>
    <xf numFmtId="167" fontId="4" fillId="0" borderId="0" xfId="49" applyNumberFormat="1" applyFont="1" applyFill="1" applyBorder="1" applyAlignment="1">
      <alignment/>
    </xf>
    <xf numFmtId="167" fontId="2" fillId="0" borderId="0" xfId="49" applyNumberFormat="1" applyFont="1" applyFill="1" applyBorder="1" applyAlignment="1">
      <alignment/>
    </xf>
    <xf numFmtId="169" fontId="4" fillId="0" borderId="0" xfId="49" applyNumberFormat="1" applyFont="1" applyFill="1" applyBorder="1" applyAlignment="1">
      <alignment/>
    </xf>
    <xf numFmtId="169" fontId="2" fillId="33" borderId="0" xfId="52" applyNumberFormat="1" applyFont="1" applyFill="1" applyBorder="1" applyAlignment="1">
      <alignment/>
    </xf>
    <xf numFmtId="3" fontId="11" fillId="0" borderId="62" xfId="0" applyNumberFormat="1" applyFont="1" applyBorder="1" applyAlignment="1">
      <alignment horizontal="right" vertical="center" wrapText="1"/>
    </xf>
    <xf numFmtId="3" fontId="11" fillId="0" borderId="62" xfId="0" applyNumberFormat="1" applyFont="1" applyBorder="1" applyAlignment="1">
      <alignment horizontal="center" vertical="center" wrapText="1"/>
    </xf>
    <xf numFmtId="3" fontId="11" fillId="0" borderId="65" xfId="0" applyNumberFormat="1" applyFont="1" applyBorder="1" applyAlignment="1">
      <alignment horizontal="right" vertical="center" wrapText="1"/>
    </xf>
    <xf numFmtId="3" fontId="11" fillId="0" borderId="65" xfId="0" applyNumberFormat="1" applyFont="1" applyBorder="1" applyAlignment="1">
      <alignment horizontal="center" vertical="center" wrapText="1"/>
    </xf>
    <xf numFmtId="3" fontId="11" fillId="0" borderId="66" xfId="0" applyNumberFormat="1" applyFont="1" applyBorder="1" applyAlignment="1">
      <alignment horizontal="right" vertical="center" wrapText="1"/>
    </xf>
    <xf numFmtId="3" fontId="11" fillId="0" borderId="66" xfId="0" applyNumberFormat="1" applyFont="1" applyBorder="1" applyAlignment="1">
      <alignment horizontal="center" vertical="center" wrapText="1"/>
    </xf>
    <xf numFmtId="3" fontId="11" fillId="0" borderId="67" xfId="0" applyNumberFormat="1" applyFont="1" applyBorder="1" applyAlignment="1">
      <alignment horizontal="center" vertical="center" wrapText="1"/>
    </xf>
    <xf numFmtId="0" fontId="11" fillId="0" borderId="39" xfId="0" applyFont="1" applyBorder="1" applyAlignment="1">
      <alignment vertical="center" wrapText="1"/>
    </xf>
    <xf numFmtId="0" fontId="107" fillId="0" borderId="0" xfId="0" applyFont="1" applyFill="1" applyBorder="1" applyAlignment="1">
      <alignment horizontal="left"/>
    </xf>
    <xf numFmtId="3" fontId="108" fillId="0" borderId="0" xfId="0" applyNumberFormat="1" applyFont="1" applyFill="1" applyAlignment="1">
      <alignment/>
    </xf>
    <xf numFmtId="49" fontId="0" fillId="0" borderId="0" xfId="0" applyNumberFormat="1" applyAlignment="1">
      <alignment/>
    </xf>
    <xf numFmtId="0" fontId="154" fillId="0" borderId="0" xfId="0" applyFont="1" applyFill="1" applyAlignment="1">
      <alignment/>
    </xf>
    <xf numFmtId="3" fontId="108" fillId="0" borderId="0" xfId="0" applyNumberFormat="1" applyFont="1" applyAlignment="1">
      <alignment/>
    </xf>
    <xf numFmtId="3" fontId="113" fillId="0" borderId="0" xfId="49" applyNumberFormat="1" applyFont="1" applyBorder="1" applyAlignment="1">
      <alignment/>
    </xf>
    <xf numFmtId="3" fontId="143" fillId="35" borderId="0" xfId="49" applyNumberFormat="1" applyFont="1" applyFill="1" applyBorder="1" applyAlignment="1">
      <alignment/>
    </xf>
    <xf numFmtId="3" fontId="113" fillId="0" borderId="0" xfId="49" applyNumberFormat="1" applyFont="1" applyAlignment="1">
      <alignment/>
    </xf>
    <xf numFmtId="3" fontId="143" fillId="0" borderId="0" xfId="49" applyNumberFormat="1" applyFont="1" applyFill="1" applyBorder="1" applyAlignment="1">
      <alignment/>
    </xf>
    <xf numFmtId="3" fontId="122" fillId="35" borderId="0" xfId="49" applyNumberFormat="1" applyFont="1" applyFill="1" applyBorder="1" applyAlignment="1">
      <alignment/>
    </xf>
    <xf numFmtId="3" fontId="155" fillId="0" borderId="0" xfId="49" applyNumberFormat="1" applyFont="1" applyAlignment="1">
      <alignment/>
    </xf>
    <xf numFmtId="3" fontId="156" fillId="0" borderId="0" xfId="49" applyNumberFormat="1" applyFont="1" applyAlignment="1">
      <alignment/>
    </xf>
    <xf numFmtId="3" fontId="115" fillId="0" borderId="0" xfId="49" applyNumberFormat="1" applyFont="1" applyAlignment="1">
      <alignment/>
    </xf>
    <xf numFmtId="3" fontId="0" fillId="38" borderId="0" xfId="0" applyNumberFormat="1" applyFill="1" applyBorder="1" applyAlignment="1">
      <alignment/>
    </xf>
    <xf numFmtId="3" fontId="102" fillId="38" borderId="12" xfId="0" applyNumberFormat="1" applyFont="1" applyFill="1" applyBorder="1" applyAlignment="1">
      <alignment/>
    </xf>
    <xf numFmtId="3" fontId="15" fillId="38" borderId="0" xfId="50" applyNumberFormat="1" applyFont="1" applyFill="1" applyBorder="1" applyAlignment="1">
      <alignment/>
    </xf>
    <xf numFmtId="180" fontId="84" fillId="0" borderId="0" xfId="138" applyNumberFormat="1" applyFont="1" applyFill="1" applyBorder="1" applyAlignment="1">
      <alignment horizontal="center" wrapText="1"/>
      <protection/>
    </xf>
    <xf numFmtId="180" fontId="85" fillId="0" borderId="0" xfId="0" applyNumberFormat="1" applyFont="1" applyFill="1" applyBorder="1" applyAlignment="1">
      <alignment horizontal="center" vertical="top" wrapText="1"/>
    </xf>
    <xf numFmtId="0" fontId="107" fillId="0" borderId="0" xfId="0" applyFont="1" applyAlignment="1">
      <alignment horizontal="center"/>
    </xf>
    <xf numFmtId="0" fontId="7" fillId="0" borderId="68" xfId="0" applyFont="1" applyFill="1" applyBorder="1" applyAlignment="1">
      <alignment horizontal="justify" vertical="center"/>
    </xf>
    <xf numFmtId="0" fontId="7" fillId="0" borderId="20" xfId="0" applyFont="1" applyFill="1" applyBorder="1" applyAlignment="1">
      <alignment horizontal="justify" vertical="center"/>
    </xf>
    <xf numFmtId="0" fontId="7" fillId="0" borderId="66" xfId="0" applyFont="1" applyFill="1" applyBorder="1" applyAlignment="1">
      <alignment horizontal="justify" vertical="center"/>
    </xf>
    <xf numFmtId="0" fontId="7" fillId="0" borderId="68" xfId="0" applyFont="1" applyFill="1" applyBorder="1" applyAlignment="1">
      <alignment wrapText="1"/>
    </xf>
    <xf numFmtId="0" fontId="7" fillId="0" borderId="20" xfId="0" applyFont="1" applyFill="1" applyBorder="1" applyAlignment="1">
      <alignment wrapText="1"/>
    </xf>
    <xf numFmtId="0" fontId="7" fillId="0" borderId="66" xfId="0" applyFont="1" applyFill="1" applyBorder="1" applyAlignment="1">
      <alignment wrapText="1"/>
    </xf>
    <xf numFmtId="180" fontId="84" fillId="0" borderId="0" xfId="138" applyNumberFormat="1" applyFont="1" applyBorder="1" applyAlignment="1">
      <alignment horizontal="center"/>
      <protection/>
    </xf>
    <xf numFmtId="0" fontId="127" fillId="35" borderId="0" xfId="0" applyFont="1" applyFill="1" applyAlignment="1">
      <alignment horizontal="left"/>
    </xf>
    <xf numFmtId="0" fontId="127" fillId="35" borderId="0" xfId="0" applyFont="1" applyFill="1" applyAlignment="1">
      <alignment horizontal="left" vertical="center"/>
    </xf>
    <xf numFmtId="0" fontId="0" fillId="0" borderId="0" xfId="0" applyAlignment="1">
      <alignment/>
    </xf>
    <xf numFmtId="0" fontId="0" fillId="0" borderId="0" xfId="0" applyAlignment="1">
      <alignment horizontal="left"/>
    </xf>
    <xf numFmtId="0" fontId="4" fillId="0" borderId="0" xfId="0" applyFont="1" applyFill="1" applyAlignment="1">
      <alignment horizontal="center"/>
    </xf>
    <xf numFmtId="167" fontId="157" fillId="0" borderId="0" xfId="49" applyNumberFormat="1" applyFont="1" applyFill="1" applyAlignment="1">
      <alignment horizontal="center"/>
    </xf>
    <xf numFmtId="0" fontId="8" fillId="0" borderId="0" xfId="0" applyFont="1" applyFill="1" applyAlignment="1">
      <alignment horizontal="left" vertical="center"/>
    </xf>
    <xf numFmtId="0" fontId="4" fillId="0" borderId="0" xfId="0" applyFont="1" applyFill="1" applyAlignment="1">
      <alignment horizontal="left" vertical="center"/>
    </xf>
    <xf numFmtId="167" fontId="117" fillId="0" borderId="0" xfId="49" applyNumberFormat="1" applyFont="1" applyFill="1" applyAlignment="1">
      <alignment horizontal="center"/>
    </xf>
    <xf numFmtId="0" fontId="2" fillId="0" borderId="0" xfId="0" applyFont="1" applyFill="1" applyAlignment="1">
      <alignment horizontal="center"/>
    </xf>
    <xf numFmtId="0" fontId="108" fillId="0" borderId="0" xfId="0" applyFont="1" applyFill="1" applyAlignment="1">
      <alignment horizontal="left"/>
    </xf>
    <xf numFmtId="0" fontId="4" fillId="0" borderId="0" xfId="0" applyFont="1" applyFill="1" applyAlignment="1">
      <alignment horizontal="left"/>
    </xf>
    <xf numFmtId="3" fontId="108" fillId="0" borderId="0" xfId="0" applyNumberFormat="1" applyFont="1" applyFill="1" applyAlignment="1">
      <alignment horizontal="center"/>
    </xf>
    <xf numFmtId="0" fontId="108" fillId="0" borderId="0" xfId="0" applyFont="1" applyFill="1" applyAlignment="1">
      <alignment horizontal="center"/>
    </xf>
    <xf numFmtId="0" fontId="113" fillId="0" borderId="0" xfId="0" applyFont="1" applyAlignment="1">
      <alignment horizontal="center"/>
    </xf>
    <xf numFmtId="167" fontId="121" fillId="35" borderId="0" xfId="49" applyNumberFormat="1" applyFont="1" applyFill="1" applyAlignment="1">
      <alignment horizontal="center" vertical="center" wrapText="1"/>
    </xf>
    <xf numFmtId="167" fontId="121" fillId="35" borderId="12" xfId="49" applyNumberFormat="1" applyFont="1" applyFill="1" applyBorder="1" applyAlignment="1">
      <alignment horizontal="center" vertical="center" wrapText="1"/>
    </xf>
    <xf numFmtId="0" fontId="121" fillId="0" borderId="0" xfId="0" applyFont="1" applyFill="1" applyAlignment="1">
      <alignment horizontal="center" vertical="center" wrapText="1"/>
    </xf>
    <xf numFmtId="0" fontId="121" fillId="35" borderId="0" xfId="0" applyFont="1" applyFill="1" applyAlignment="1">
      <alignment horizontal="center" vertical="center" wrapText="1"/>
    </xf>
    <xf numFmtId="0" fontId="113" fillId="34"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0" fontId="108" fillId="0" borderId="0" xfId="0" applyFont="1" applyBorder="1" applyAlignment="1">
      <alignment horizontal="center" vertical="center"/>
    </xf>
    <xf numFmtId="0" fontId="113" fillId="0" borderId="15" xfId="0" applyFont="1" applyBorder="1" applyAlignment="1">
      <alignment horizontal="justify" vertical="justify" wrapText="1"/>
    </xf>
    <xf numFmtId="0" fontId="113" fillId="0" borderId="0" xfId="0" applyFont="1" applyBorder="1" applyAlignment="1">
      <alignment horizontal="justify" vertical="justify" wrapText="1"/>
    </xf>
    <xf numFmtId="0" fontId="113" fillId="0" borderId="16" xfId="0" applyFont="1" applyBorder="1" applyAlignment="1">
      <alignment horizontal="justify" vertical="justify" wrapText="1"/>
    </xf>
    <xf numFmtId="0" fontId="109" fillId="0" borderId="0" xfId="0" applyFont="1" applyAlignment="1">
      <alignment horizontal="left" vertical="center"/>
    </xf>
    <xf numFmtId="0" fontId="12" fillId="0" borderId="15" xfId="0" applyFont="1" applyBorder="1" applyAlignment="1">
      <alignment horizontal="justify" vertical="justify" wrapText="1"/>
    </xf>
    <xf numFmtId="0" fontId="12" fillId="0" borderId="0" xfId="0" applyFont="1" applyBorder="1" applyAlignment="1">
      <alignment horizontal="justify" vertical="justify" wrapText="1"/>
    </xf>
    <xf numFmtId="0" fontId="12" fillId="0" borderId="16" xfId="0" applyFont="1" applyBorder="1" applyAlignment="1">
      <alignment horizontal="justify" vertical="justify" wrapText="1"/>
    </xf>
    <xf numFmtId="0" fontId="111" fillId="0" borderId="15" xfId="0" applyFont="1" applyFill="1" applyBorder="1" applyAlignment="1">
      <alignment horizontal="left" vertical="justify" wrapText="1"/>
    </xf>
    <xf numFmtId="0" fontId="111" fillId="0" borderId="0" xfId="0" applyFont="1" applyFill="1" applyBorder="1" applyAlignment="1">
      <alignment horizontal="left" vertical="justify" wrapText="1"/>
    </xf>
    <xf numFmtId="0" fontId="111" fillId="0" borderId="16" xfId="0" applyFont="1" applyFill="1" applyBorder="1" applyAlignment="1">
      <alignment horizontal="left" vertical="justify" wrapText="1"/>
    </xf>
    <xf numFmtId="0" fontId="108" fillId="0" borderId="15" xfId="0" applyFont="1" applyFill="1" applyBorder="1" applyAlignment="1">
      <alignment horizontal="left" vertical="justify" wrapText="1"/>
    </xf>
    <xf numFmtId="0" fontId="108" fillId="0" borderId="0" xfId="0" applyFont="1" applyFill="1" applyBorder="1" applyAlignment="1">
      <alignment horizontal="left" vertical="justify" wrapText="1"/>
    </xf>
    <xf numFmtId="0" fontId="108" fillId="0" borderId="16" xfId="0" applyFont="1" applyFill="1" applyBorder="1" applyAlignment="1">
      <alignment horizontal="left" vertical="justify" wrapText="1"/>
    </xf>
    <xf numFmtId="0" fontId="109" fillId="0" borderId="15" xfId="0" applyFont="1" applyFill="1" applyBorder="1" applyAlignment="1">
      <alignment horizontal="left" vertical="justify" wrapText="1"/>
    </xf>
    <xf numFmtId="0" fontId="109" fillId="0" borderId="0" xfId="0" applyFont="1" applyFill="1" applyBorder="1" applyAlignment="1">
      <alignment horizontal="left" vertical="justify" wrapText="1"/>
    </xf>
    <xf numFmtId="0" fontId="109" fillId="0" borderId="16" xfId="0" applyFont="1" applyFill="1" applyBorder="1" applyAlignment="1">
      <alignment horizontal="left" vertical="justify" wrapText="1"/>
    </xf>
    <xf numFmtId="0" fontId="111" fillId="0" borderId="15" xfId="0" applyFont="1" applyFill="1" applyBorder="1" applyAlignment="1">
      <alignment horizontal="justify" vertical="justify" wrapText="1"/>
    </xf>
    <xf numFmtId="0" fontId="111" fillId="0" borderId="0" xfId="0" applyFont="1" applyFill="1" applyBorder="1" applyAlignment="1">
      <alignment horizontal="justify" vertical="justify" wrapText="1"/>
    </xf>
    <xf numFmtId="0" fontId="111" fillId="0" borderId="16" xfId="0" applyFont="1" applyFill="1" applyBorder="1" applyAlignment="1">
      <alignment horizontal="justify" vertical="justify" wrapText="1"/>
    </xf>
    <xf numFmtId="0" fontId="130" fillId="0" borderId="15" xfId="0" applyFont="1" applyBorder="1" applyAlignment="1">
      <alignment horizontal="left" vertical="top" wrapText="1"/>
    </xf>
    <xf numFmtId="0" fontId="130" fillId="0" borderId="0" xfId="0" applyFont="1" applyBorder="1" applyAlignment="1">
      <alignment horizontal="left" vertical="top" wrapText="1"/>
    </xf>
    <xf numFmtId="0" fontId="130" fillId="0" borderId="16" xfId="0" applyFont="1" applyBorder="1" applyAlignment="1">
      <alignment horizontal="left" vertical="top" wrapText="1"/>
    </xf>
    <xf numFmtId="0" fontId="4" fillId="0" borderId="15"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6" xfId="0" applyFont="1" applyFill="1" applyBorder="1" applyAlignment="1">
      <alignment horizontal="left" vertical="justify" wrapText="1"/>
    </xf>
    <xf numFmtId="0" fontId="0" fillId="0" borderId="15" xfId="0" applyFill="1" applyBorder="1" applyAlignment="1">
      <alignment horizontal="left" vertical="justify" wrapText="1"/>
    </xf>
    <xf numFmtId="0" fontId="0" fillId="0" borderId="0" xfId="0" applyFill="1" applyBorder="1" applyAlignment="1">
      <alignment horizontal="left" vertical="justify" wrapText="1"/>
    </xf>
    <xf numFmtId="0" fontId="0" fillId="0" borderId="16" xfId="0" applyFill="1" applyBorder="1" applyAlignment="1">
      <alignment horizontal="left" vertical="justify" wrapText="1"/>
    </xf>
    <xf numFmtId="0" fontId="121" fillId="35" borderId="15" xfId="0" applyFont="1" applyFill="1" applyBorder="1" applyAlignment="1">
      <alignment horizontal="left" vertical="center"/>
    </xf>
    <xf numFmtId="0" fontId="121" fillId="35" borderId="0" xfId="0" applyFont="1" applyFill="1" applyBorder="1" applyAlignment="1">
      <alignment horizontal="left" vertical="center"/>
    </xf>
    <xf numFmtId="0" fontId="121" fillId="35" borderId="16" xfId="0" applyFont="1" applyFill="1" applyBorder="1" applyAlignment="1">
      <alignment horizontal="left" vertical="center"/>
    </xf>
    <xf numFmtId="0" fontId="108" fillId="0" borderId="15" xfId="0" applyFont="1" applyFill="1" applyBorder="1" applyAlignment="1">
      <alignment horizontal="justify" vertical="justify" wrapText="1"/>
    </xf>
    <xf numFmtId="0" fontId="108" fillId="0" borderId="0" xfId="0" applyFont="1" applyFill="1" applyBorder="1" applyAlignment="1">
      <alignment horizontal="justify" vertical="justify" wrapText="1"/>
    </xf>
    <xf numFmtId="0" fontId="108" fillId="0" borderId="16" xfId="0" applyFont="1" applyFill="1" applyBorder="1" applyAlignment="1">
      <alignment horizontal="justify" vertical="justify" wrapText="1"/>
    </xf>
    <xf numFmtId="0" fontId="11" fillId="0" borderId="37" xfId="0" applyFont="1" applyFill="1" applyBorder="1" applyAlignment="1">
      <alignment horizontal="justify" vertical="justify" wrapText="1"/>
    </xf>
    <xf numFmtId="0" fontId="11" fillId="0" borderId="20" xfId="0" applyFont="1" applyFill="1" applyBorder="1" applyAlignment="1">
      <alignment horizontal="justify" vertical="justify" wrapText="1"/>
    </xf>
    <xf numFmtId="0" fontId="11" fillId="0" borderId="38" xfId="0" applyFont="1" applyFill="1" applyBorder="1" applyAlignment="1">
      <alignment horizontal="justify" vertical="justify" wrapText="1"/>
    </xf>
    <xf numFmtId="0" fontId="2" fillId="0" borderId="17" xfId="0" applyFont="1" applyFill="1" applyBorder="1" applyAlignment="1">
      <alignment horizontal="left" vertical="justify" wrapText="1"/>
    </xf>
    <xf numFmtId="0" fontId="2" fillId="0" borderId="12" xfId="0" applyFont="1" applyFill="1" applyBorder="1" applyAlignment="1">
      <alignment horizontal="left" vertical="justify" wrapText="1"/>
    </xf>
    <xf numFmtId="0" fontId="2" fillId="0" borderId="18" xfId="0" applyFont="1" applyFill="1" applyBorder="1" applyAlignment="1">
      <alignment horizontal="left" vertical="justify" wrapText="1"/>
    </xf>
    <xf numFmtId="0" fontId="16" fillId="14" borderId="0" xfId="0" applyFont="1" applyFill="1" applyAlignment="1">
      <alignment horizontal="left" vertical="center" wrapText="1"/>
    </xf>
    <xf numFmtId="0" fontId="16" fillId="14" borderId="16" xfId="0" applyFont="1" applyFill="1" applyBorder="1" applyAlignment="1">
      <alignment horizontal="left" vertical="center" wrapText="1"/>
    </xf>
    <xf numFmtId="0" fontId="111" fillId="0" borderId="0" xfId="0" applyFont="1" applyFill="1" applyBorder="1" applyAlignment="1">
      <alignment horizontal="justify" vertical="justify"/>
    </xf>
    <xf numFmtId="0" fontId="111" fillId="0" borderId="16" xfId="0" applyFont="1" applyFill="1" applyBorder="1" applyAlignment="1">
      <alignment horizontal="justify" vertical="justify"/>
    </xf>
    <xf numFmtId="0" fontId="158" fillId="14" borderId="15" xfId="0" applyFont="1" applyFill="1" applyBorder="1" applyAlignment="1">
      <alignment horizontal="left" wrapText="1"/>
    </xf>
    <xf numFmtId="0" fontId="158" fillId="14" borderId="0" xfId="0" applyFont="1" applyFill="1" applyBorder="1" applyAlignment="1">
      <alignment horizontal="left" wrapText="1"/>
    </xf>
    <xf numFmtId="0" fontId="158" fillId="14" borderId="16" xfId="0" applyFont="1" applyFill="1" applyBorder="1" applyAlignment="1">
      <alignment horizontal="left" wrapText="1"/>
    </xf>
    <xf numFmtId="0" fontId="108" fillId="0" borderId="0" xfId="0" applyFont="1" applyAlignment="1">
      <alignment horizontal="left" vertical="top" wrapText="1"/>
    </xf>
    <xf numFmtId="0" fontId="108" fillId="0" borderId="0" xfId="0" applyFont="1" applyFill="1" applyAlignment="1">
      <alignment horizontal="left" vertical="justify" wrapText="1"/>
    </xf>
    <xf numFmtId="0" fontId="111" fillId="0" borderId="0" xfId="0" applyFont="1" applyFill="1" applyAlignment="1">
      <alignment horizontal="left" vertical="justify" wrapText="1"/>
    </xf>
    <xf numFmtId="0" fontId="109" fillId="0" borderId="15" xfId="0" applyFont="1" applyFill="1" applyBorder="1" applyAlignment="1">
      <alignment horizontal="left"/>
    </xf>
    <xf numFmtId="0" fontId="109" fillId="0" borderId="0" xfId="0" applyFont="1" applyFill="1" applyBorder="1" applyAlignment="1">
      <alignment horizontal="left"/>
    </xf>
    <xf numFmtId="0" fontId="109" fillId="0" borderId="16" xfId="0" applyFont="1" applyFill="1" applyBorder="1" applyAlignment="1">
      <alignment horizontal="left"/>
    </xf>
    <xf numFmtId="0" fontId="121" fillId="35" borderId="0" xfId="0" applyFont="1" applyFill="1" applyAlignment="1">
      <alignment horizontal="left"/>
    </xf>
    <xf numFmtId="0" fontId="132" fillId="33" borderId="0" xfId="0" applyFont="1" applyFill="1" applyAlignment="1">
      <alignment horizontal="center"/>
    </xf>
    <xf numFmtId="0" fontId="111" fillId="33" borderId="11" xfId="0" applyFont="1" applyFill="1" applyBorder="1" applyAlignment="1">
      <alignment horizontal="center"/>
    </xf>
    <xf numFmtId="0" fontId="111" fillId="33" borderId="40" xfId="0" applyFont="1" applyFill="1" applyBorder="1" applyAlignment="1">
      <alignment horizontal="center"/>
    </xf>
    <xf numFmtId="0" fontId="108" fillId="0" borderId="0" xfId="0" applyFont="1" applyAlignment="1">
      <alignment horizontal="left" vertical="center"/>
    </xf>
    <xf numFmtId="0" fontId="121" fillId="35" borderId="0" xfId="0" applyFont="1" applyFill="1" applyAlignment="1">
      <alignment horizontal="left" vertical="center"/>
    </xf>
    <xf numFmtId="0" fontId="147" fillId="40" borderId="11" xfId="64" applyFont="1" applyFill="1" applyBorder="1" applyAlignment="1">
      <alignment horizontal="left" vertical="center"/>
      <protection/>
    </xf>
    <xf numFmtId="0" fontId="147" fillId="40" borderId="19" xfId="64" applyFont="1" applyFill="1" applyBorder="1" applyAlignment="1">
      <alignment horizontal="left" vertical="center"/>
      <protection/>
    </xf>
    <xf numFmtId="0" fontId="147" fillId="40" borderId="40" xfId="64" applyFont="1" applyFill="1" applyBorder="1" applyAlignment="1">
      <alignment horizontal="left" vertical="center"/>
      <protection/>
    </xf>
    <xf numFmtId="0" fontId="109" fillId="0" borderId="0" xfId="0" applyFont="1" applyAlignment="1">
      <alignment horizontal="left"/>
    </xf>
    <xf numFmtId="0" fontId="107" fillId="38" borderId="0" xfId="0" applyFont="1" applyFill="1" applyAlignment="1">
      <alignment horizontal="center" vertical="center"/>
    </xf>
    <xf numFmtId="0" fontId="135" fillId="33" borderId="0" xfId="0" applyFont="1" applyFill="1" applyAlignment="1">
      <alignment horizontal="left"/>
    </xf>
    <xf numFmtId="0" fontId="121" fillId="35" borderId="0" xfId="0" applyFont="1" applyFill="1" applyAlignment="1">
      <alignment horizontal="center" vertical="center"/>
    </xf>
    <xf numFmtId="0" fontId="0" fillId="38" borderId="0" xfId="0" applyFill="1" applyAlignment="1">
      <alignment horizontal="center"/>
    </xf>
    <xf numFmtId="0" fontId="134" fillId="38" borderId="0" xfId="0" applyFont="1" applyFill="1" applyAlignment="1">
      <alignment horizontal="center"/>
    </xf>
    <xf numFmtId="0" fontId="16" fillId="38" borderId="0" xfId="0" applyFont="1" applyFill="1" applyAlignment="1">
      <alignment horizontal="left" wrapText="1"/>
    </xf>
    <xf numFmtId="0" fontId="11" fillId="0" borderId="56" xfId="0" applyFont="1" applyBorder="1" applyAlignment="1">
      <alignment horizontal="center" vertical="center" wrapText="1"/>
    </xf>
    <xf numFmtId="0" fontId="11" fillId="0" borderId="63" xfId="0" applyFont="1" applyBorder="1" applyAlignment="1">
      <alignment horizontal="center" vertical="center" wrapText="1"/>
    </xf>
    <xf numFmtId="0" fontId="121" fillId="35" borderId="0" xfId="0" applyFont="1" applyFill="1" applyBorder="1" applyAlignment="1">
      <alignment horizontal="left"/>
    </xf>
    <xf numFmtId="9" fontId="110" fillId="38" borderId="0" xfId="140" applyFont="1" applyFill="1" applyBorder="1" applyAlignment="1">
      <alignment horizontal="center"/>
    </xf>
    <xf numFmtId="9" fontId="145" fillId="38" borderId="0" xfId="140" applyFont="1" applyFill="1" applyBorder="1" applyAlignment="1">
      <alignment horizontal="left"/>
    </xf>
    <xf numFmtId="0" fontId="130" fillId="38" borderId="0" xfId="0" applyFont="1" applyFill="1" applyBorder="1" applyAlignment="1">
      <alignment horizontal="left"/>
    </xf>
    <xf numFmtId="0" fontId="61" fillId="38" borderId="0" xfId="0" applyFont="1" applyFill="1" applyAlignment="1">
      <alignment horizontal="center" wrapText="1"/>
    </xf>
    <xf numFmtId="0" fontId="14" fillId="38" borderId="0" xfId="0" applyFont="1" applyFill="1" applyAlignment="1">
      <alignment horizontal="left"/>
    </xf>
    <xf numFmtId="0" fontId="14" fillId="38" borderId="0" xfId="0" applyFont="1" applyFill="1" applyAlignment="1">
      <alignment horizontal="left" vertical="center" wrapText="1"/>
    </xf>
    <xf numFmtId="0" fontId="92" fillId="35" borderId="0" xfId="0" applyFont="1" applyFill="1" applyAlignment="1">
      <alignment horizontal="left"/>
    </xf>
    <xf numFmtId="0" fontId="137" fillId="0" borderId="0" xfId="0" applyFont="1" applyAlignment="1">
      <alignment horizontal="left" vertical="center" wrapText="1"/>
    </xf>
    <xf numFmtId="0" fontId="137" fillId="38" borderId="0" xfId="0" applyFont="1" applyFill="1" applyAlignment="1">
      <alignment horizontal="left" vertical="center" wrapText="1"/>
    </xf>
    <xf numFmtId="0" fontId="137" fillId="38" borderId="0" xfId="0" applyFont="1" applyFill="1" applyAlignment="1">
      <alignment horizontal="left" vertical="center"/>
    </xf>
    <xf numFmtId="0" fontId="14" fillId="38" borderId="0" xfId="0" applyFont="1" applyFill="1" applyAlignment="1">
      <alignment horizontal="left" wrapText="1"/>
    </xf>
    <xf numFmtId="0" fontId="153" fillId="41" borderId="0" xfId="0" applyFont="1" applyFill="1" applyBorder="1" applyAlignment="1">
      <alignment horizontal="left"/>
    </xf>
    <xf numFmtId="3" fontId="16" fillId="41" borderId="0" xfId="0" applyNumberFormat="1" applyFont="1" applyFill="1" applyBorder="1" applyAlignment="1">
      <alignment horizontal="left" wrapText="1"/>
    </xf>
  </cellXfs>
  <cellStyles count="13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4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3" xfId="51"/>
    <cellStyle name="Millares 100 11" xfId="52"/>
    <cellStyle name="Millares 174 2" xfId="53"/>
    <cellStyle name="Millares 2" xfId="54"/>
    <cellStyle name="Millares 2 2" xfId="55"/>
    <cellStyle name="Millares 212" xfId="56"/>
    <cellStyle name="Millares 3 11" xfId="57"/>
    <cellStyle name="Millares 654 2 2" xfId="58"/>
    <cellStyle name="Millares 656" xfId="59"/>
    <cellStyle name="Millares 657" xfId="60"/>
    <cellStyle name="Currency" xfId="61"/>
    <cellStyle name="Currency [0]" xfId="62"/>
    <cellStyle name="Neutral" xfId="63"/>
    <cellStyle name="Normal 10 10 2 2 2" xfId="64"/>
    <cellStyle name="Normal 1016" xfId="65"/>
    <cellStyle name="Normal 1018" xfId="66"/>
    <cellStyle name="Normal 1022" xfId="67"/>
    <cellStyle name="Normal 1024" xfId="68"/>
    <cellStyle name="Normal 1025" xfId="69"/>
    <cellStyle name="Normal 1026" xfId="70"/>
    <cellStyle name="Normal 1027" xfId="71"/>
    <cellStyle name="Normal 105" xfId="72"/>
    <cellStyle name="Normal 107" xfId="73"/>
    <cellStyle name="Normal 109" xfId="74"/>
    <cellStyle name="Normal 12 10" xfId="75"/>
    <cellStyle name="Normal 12 2 10" xfId="76"/>
    <cellStyle name="Normal 12 2 2 4" xfId="77"/>
    <cellStyle name="Normal 125" xfId="78"/>
    <cellStyle name="Normal 126" xfId="79"/>
    <cellStyle name="Normal 199 2 2" xfId="80"/>
    <cellStyle name="Normal 2" xfId="81"/>
    <cellStyle name="Normal 2 10 2 2 2" xfId="82"/>
    <cellStyle name="Normal 2 2 2 3" xfId="83"/>
    <cellStyle name="Normal 601" xfId="84"/>
    <cellStyle name="Normal 605" xfId="85"/>
    <cellStyle name="Normal 606" xfId="86"/>
    <cellStyle name="Normal 636" xfId="87"/>
    <cellStyle name="Normal 640" xfId="88"/>
    <cellStyle name="Normal 643" xfId="89"/>
    <cellStyle name="Normal 646" xfId="90"/>
    <cellStyle name="Normal 647" xfId="91"/>
    <cellStyle name="Normal 649" xfId="92"/>
    <cellStyle name="Normal 650" xfId="93"/>
    <cellStyle name="Normal 651" xfId="94"/>
    <cellStyle name="Normal 652" xfId="95"/>
    <cellStyle name="Normal 653" xfId="96"/>
    <cellStyle name="Normal 654" xfId="97"/>
    <cellStyle name="Normal 655" xfId="98"/>
    <cellStyle name="Normal 656" xfId="99"/>
    <cellStyle name="Normal 657" xfId="100"/>
    <cellStyle name="Normal 658" xfId="101"/>
    <cellStyle name="Normal 659" xfId="102"/>
    <cellStyle name="Normal 660" xfId="103"/>
    <cellStyle name="Normal 662" xfId="104"/>
    <cellStyle name="Normal 663" xfId="105"/>
    <cellStyle name="Normal 664" xfId="106"/>
    <cellStyle name="Normal 665" xfId="107"/>
    <cellStyle name="Normal 667" xfId="108"/>
    <cellStyle name="Normal 673" xfId="109"/>
    <cellStyle name="Normal 674" xfId="110"/>
    <cellStyle name="Normal 675" xfId="111"/>
    <cellStyle name="Normal 676" xfId="112"/>
    <cellStyle name="Normal 677" xfId="113"/>
    <cellStyle name="Normal 678" xfId="114"/>
    <cellStyle name="Normal 679" xfId="115"/>
    <cellStyle name="Normal 684" xfId="116"/>
    <cellStyle name="Normal 713" xfId="117"/>
    <cellStyle name="Normal 714" xfId="118"/>
    <cellStyle name="Normal 715" xfId="119"/>
    <cellStyle name="Normal 744" xfId="120"/>
    <cellStyle name="Normal 802" xfId="121"/>
    <cellStyle name="Normal 944" xfId="122"/>
    <cellStyle name="Normal 947" xfId="123"/>
    <cellStyle name="Normal 952" xfId="124"/>
    <cellStyle name="Normal 957" xfId="125"/>
    <cellStyle name="Normal 958" xfId="126"/>
    <cellStyle name="Normal 959" xfId="127"/>
    <cellStyle name="Normal 960" xfId="128"/>
    <cellStyle name="Normal 961" xfId="129"/>
    <cellStyle name="Normal 962" xfId="130"/>
    <cellStyle name="Normal 963" xfId="131"/>
    <cellStyle name="Normal 964" xfId="132"/>
    <cellStyle name="Normal 965" xfId="133"/>
    <cellStyle name="Normal 966" xfId="134"/>
    <cellStyle name="Normal 967" xfId="135"/>
    <cellStyle name="Normal 971" xfId="136"/>
    <cellStyle name="Normal 986" xfId="137"/>
    <cellStyle name="Normal_BALANCE30-06-99" xfId="138"/>
    <cellStyle name="Notas" xfId="139"/>
    <cellStyle name="Percent" xfId="140"/>
    <cellStyle name="Salida" xfId="141"/>
    <cellStyle name="Texto de advertencia" xfId="142"/>
    <cellStyle name="Texto explicativo" xfId="143"/>
    <cellStyle name="Título" xfId="144"/>
    <cellStyle name="Título 1" xfId="145"/>
    <cellStyle name="Título 2" xfId="146"/>
    <cellStyle name="Título 3" xfId="147"/>
    <cellStyle name="Total"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104775</xdr:rowOff>
    </xdr:from>
    <xdr:to>
      <xdr:col>0</xdr:col>
      <xdr:colOff>1219200</xdr:colOff>
      <xdr:row>3</xdr:row>
      <xdr:rowOff>28575</xdr:rowOff>
    </xdr:to>
    <xdr:pic>
      <xdr:nvPicPr>
        <xdr:cNvPr id="1" name="2 Imagen" descr="LOGO - IMPORT CENTER 2021.png"/>
        <xdr:cNvPicPr preferRelativeResize="1">
          <a:picLocks noChangeAspect="1"/>
        </xdr:cNvPicPr>
      </xdr:nvPicPr>
      <xdr:blipFill>
        <a:blip r:embed="rId1"/>
        <a:stretch>
          <a:fillRect/>
        </a:stretch>
      </xdr:blipFill>
      <xdr:spPr>
        <a:xfrm>
          <a:off x="295275" y="266700"/>
          <a:ext cx="92392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28575</xdr:rowOff>
    </xdr:from>
    <xdr:to>
      <xdr:col>8</xdr:col>
      <xdr:colOff>85725</xdr:colOff>
      <xdr:row>10</xdr:row>
      <xdr:rowOff>171450</xdr:rowOff>
    </xdr:to>
    <xdr:sp>
      <xdr:nvSpPr>
        <xdr:cNvPr id="1" name="CuadroTexto 2"/>
        <xdr:cNvSpPr txBox="1">
          <a:spLocks noChangeArrowheads="1"/>
        </xdr:cNvSpPr>
      </xdr:nvSpPr>
      <xdr:spPr>
        <a:xfrm>
          <a:off x="47625" y="155257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Reserva de Revalúo</a:t>
          </a:r>
          <a:r>
            <a:rPr lang="en-US" cap="none" sz="1100" b="0" i="0" u="none" baseline="0">
              <a:solidFill>
                <a:srgbClr val="000000"/>
              </a:solidFill>
              <a:latin typeface="Calibri"/>
              <a:ea typeface="Calibri"/>
              <a:cs typeface="Calibri"/>
            </a:rPr>
            <a:t> se realiza al cierre de cada Ejercicio y según los indices establecidos por SET . </a:t>
          </a:r>
        </a:p>
      </xdr:txBody>
    </xdr:sp>
    <xdr:clientData/>
  </xdr:twoCellAnchor>
  <xdr:twoCellAnchor>
    <xdr:from>
      <xdr:col>0</xdr:col>
      <xdr:colOff>47625</xdr:colOff>
      <xdr:row>12</xdr:row>
      <xdr:rowOff>38100</xdr:rowOff>
    </xdr:from>
    <xdr:to>
      <xdr:col>8</xdr:col>
      <xdr:colOff>85725</xdr:colOff>
      <xdr:row>14</xdr:row>
      <xdr:rowOff>180975</xdr:rowOff>
    </xdr:to>
    <xdr:sp>
      <xdr:nvSpPr>
        <xdr:cNvPr id="2" name="CuadroTexto 3"/>
        <xdr:cNvSpPr txBox="1">
          <a:spLocks noChangeArrowheads="1"/>
        </xdr:cNvSpPr>
      </xdr:nvSpPr>
      <xdr:spPr>
        <a:xfrm>
          <a:off x="47625" y="2324100"/>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Reserva Legal</a:t>
          </a:r>
          <a:r>
            <a:rPr lang="en-US" cap="none" sz="1100" b="0" i="0" u="none" baseline="0">
              <a:solidFill>
                <a:srgbClr val="000000"/>
              </a:solidFill>
              <a:latin typeface="Calibri"/>
              <a:ea typeface="Calibri"/>
              <a:cs typeface="Calibri"/>
            </a:rPr>
            <a:t> se realiza al cierre de cada Ejercicio.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16</xdr:row>
      <xdr:rowOff>28575</xdr:rowOff>
    </xdr:from>
    <xdr:to>
      <xdr:col>8</xdr:col>
      <xdr:colOff>85725</xdr:colOff>
      <xdr:row>18</xdr:row>
      <xdr:rowOff>171450</xdr:rowOff>
    </xdr:to>
    <xdr:sp>
      <xdr:nvSpPr>
        <xdr:cNvPr id="3" name="CuadroTexto 4"/>
        <xdr:cNvSpPr txBox="1">
          <a:spLocks noChangeArrowheads="1"/>
        </xdr:cNvSpPr>
      </xdr:nvSpPr>
      <xdr:spPr>
        <a:xfrm>
          <a:off x="47625" y="307657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23</xdr:row>
      <xdr:rowOff>85725</xdr:rowOff>
    </xdr:from>
    <xdr:to>
      <xdr:col>8</xdr:col>
      <xdr:colOff>85725</xdr:colOff>
      <xdr:row>26</xdr:row>
      <xdr:rowOff>38100</xdr:rowOff>
    </xdr:to>
    <xdr:sp>
      <xdr:nvSpPr>
        <xdr:cNvPr id="4" name="CuadroTexto 5"/>
        <xdr:cNvSpPr txBox="1">
          <a:spLocks noChangeArrowheads="1"/>
        </xdr:cNvSpPr>
      </xdr:nvSpPr>
      <xdr:spPr>
        <a:xfrm>
          <a:off x="47625" y="446722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esta cuenta se encuentran  los resultados no distribuidos hasta tanto se difina el destino de los mismos.</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50"/>
  <sheetViews>
    <sheetView tabSelected="1" zoomScalePageLayoutView="0" workbookViewId="0" topLeftCell="A1">
      <selection activeCell="G7" sqref="G7"/>
    </sheetView>
  </sheetViews>
  <sheetFormatPr defaultColWidth="11.421875" defaultRowHeight="15"/>
  <cols>
    <col min="1" max="1" width="19.57421875" style="495" customWidth="1"/>
    <col min="2" max="2" width="21.140625" style="495" customWidth="1"/>
    <col min="3" max="3" width="18.7109375" style="495" customWidth="1"/>
    <col min="4" max="4" width="16.8515625" style="495" customWidth="1"/>
    <col min="5" max="5" width="29.8515625" style="495" customWidth="1"/>
    <col min="6" max="16384" width="11.421875" style="495" customWidth="1"/>
  </cols>
  <sheetData>
    <row r="1" spans="1:6" ht="15.75">
      <c r="A1" s="503"/>
      <c r="B1" s="504"/>
      <c r="C1" s="504"/>
      <c r="D1" s="505"/>
      <c r="E1" s="506"/>
      <c r="F1" s="507"/>
    </row>
    <row r="2" spans="1:6" ht="15.75">
      <c r="A2" s="508"/>
      <c r="B2" s="509"/>
      <c r="C2" s="509"/>
      <c r="D2" s="510"/>
      <c r="E2" s="511"/>
      <c r="F2" s="507"/>
    </row>
    <row r="3" spans="1:6" ht="18">
      <c r="A3" s="512" t="s">
        <v>942</v>
      </c>
      <c r="B3" s="513"/>
      <c r="C3" s="514"/>
      <c r="D3" s="514"/>
      <c r="E3" s="515"/>
      <c r="F3" s="507"/>
    </row>
    <row r="4" spans="1:6" ht="15">
      <c r="A4" s="516"/>
      <c r="B4" s="517"/>
      <c r="C4" s="517"/>
      <c r="D4" s="517"/>
      <c r="E4" s="518"/>
      <c r="F4" s="507"/>
    </row>
    <row r="5" spans="1:7" s="83" customFormat="1" ht="17.25" customHeight="1">
      <c r="A5" s="552" t="s">
        <v>958</v>
      </c>
      <c r="B5" s="162"/>
      <c r="C5" s="162"/>
      <c r="D5" s="162"/>
      <c r="E5" s="162"/>
      <c r="F5" s="162"/>
      <c r="G5" s="553"/>
    </row>
    <row r="6" spans="1:7" s="83" customFormat="1" ht="15">
      <c r="A6" s="552" t="s">
        <v>957</v>
      </c>
      <c r="B6" s="162"/>
      <c r="C6" s="162"/>
      <c r="D6" s="162"/>
      <c r="E6" s="162"/>
      <c r="F6" s="162"/>
      <c r="G6" s="553"/>
    </row>
    <row r="7" spans="1:6" s="83" customFormat="1" ht="14.25">
      <c r="A7" s="523"/>
      <c r="B7" s="524"/>
      <c r="C7" s="524"/>
      <c r="D7" s="524"/>
      <c r="E7" s="525"/>
      <c r="F7" s="519"/>
    </row>
    <row r="8" spans="1:6" s="83" customFormat="1" ht="15">
      <c r="A8" s="520" t="s">
        <v>1029</v>
      </c>
      <c r="B8" s="521"/>
      <c r="C8" s="521"/>
      <c r="D8" s="521"/>
      <c r="E8" s="522"/>
      <c r="F8" s="519"/>
    </row>
    <row r="9" spans="1:6" s="83" customFormat="1" ht="14.25">
      <c r="A9" s="523"/>
      <c r="B9" s="524"/>
      <c r="C9" s="524"/>
      <c r="D9" s="524"/>
      <c r="E9" s="525"/>
      <c r="F9" s="519"/>
    </row>
    <row r="10" spans="1:6" s="83" customFormat="1" ht="14.25">
      <c r="A10" s="520" t="s">
        <v>959</v>
      </c>
      <c r="B10" s="521"/>
      <c r="C10" s="521"/>
      <c r="D10" s="521"/>
      <c r="E10" s="522"/>
      <c r="F10" s="519"/>
    </row>
    <row r="11" spans="1:7" s="83" customFormat="1" ht="15">
      <c r="A11" s="523"/>
      <c r="B11" s="524"/>
      <c r="C11" s="524"/>
      <c r="D11" s="524"/>
      <c r="E11" s="525"/>
      <c r="F11" s="519"/>
      <c r="G11" s="554"/>
    </row>
    <row r="12" spans="1:6" s="83" customFormat="1" ht="14.25">
      <c r="A12" s="520" t="s">
        <v>960</v>
      </c>
      <c r="B12" s="521"/>
      <c r="C12" s="521"/>
      <c r="D12" s="521"/>
      <c r="E12" s="522"/>
      <c r="F12" s="519"/>
    </row>
    <row r="13" spans="1:6" s="83" customFormat="1" ht="14.25">
      <c r="A13" s="523"/>
      <c r="B13" s="524"/>
      <c r="C13" s="524"/>
      <c r="D13" s="524"/>
      <c r="E13" s="525"/>
      <c r="F13" s="519"/>
    </row>
    <row r="14" spans="1:6" s="83" customFormat="1" ht="36" customHeight="1">
      <c r="A14" s="652" t="s">
        <v>961</v>
      </c>
      <c r="B14" s="653"/>
      <c r="C14" s="653"/>
      <c r="D14" s="653"/>
      <c r="E14" s="654"/>
      <c r="F14" s="519"/>
    </row>
    <row r="15" spans="1:6" s="83" customFormat="1" ht="14.25">
      <c r="A15" s="655" t="s">
        <v>962</v>
      </c>
      <c r="B15" s="656"/>
      <c r="C15" s="656"/>
      <c r="D15" s="656"/>
      <c r="E15" s="657"/>
      <c r="F15" s="519"/>
    </row>
    <row r="16" spans="1:6" s="83" customFormat="1" ht="14.25">
      <c r="A16" s="523"/>
      <c r="B16" s="524"/>
      <c r="C16" s="524"/>
      <c r="D16" s="524"/>
      <c r="E16" s="525"/>
      <c r="F16" s="519"/>
    </row>
    <row r="17" spans="1:6" s="83" customFormat="1" ht="30.75" customHeight="1">
      <c r="A17" s="655" t="s">
        <v>963</v>
      </c>
      <c r="B17" s="656"/>
      <c r="C17" s="656"/>
      <c r="D17" s="656"/>
      <c r="E17" s="657"/>
      <c r="F17" s="519"/>
    </row>
    <row r="18" spans="1:6" s="83" customFormat="1" ht="13.5" customHeight="1">
      <c r="A18" s="526"/>
      <c r="B18" s="527"/>
      <c r="C18" s="527"/>
      <c r="D18" s="527"/>
      <c r="E18" s="528"/>
      <c r="F18" s="519"/>
    </row>
    <row r="19" spans="1:6" s="83" customFormat="1" ht="14.25">
      <c r="A19" s="520" t="s">
        <v>964</v>
      </c>
      <c r="B19" s="521"/>
      <c r="C19" s="521"/>
      <c r="D19" s="521"/>
      <c r="E19" s="522"/>
      <c r="F19" s="519"/>
    </row>
    <row r="20" spans="1:6" s="83" customFormat="1" ht="14.25">
      <c r="A20" s="523"/>
      <c r="B20" s="524"/>
      <c r="C20" s="524"/>
      <c r="D20" s="524"/>
      <c r="E20" s="525"/>
      <c r="F20" s="519"/>
    </row>
    <row r="21" spans="1:6" s="83" customFormat="1" ht="14.25">
      <c r="A21" s="520" t="s">
        <v>943</v>
      </c>
      <c r="B21" s="521"/>
      <c r="C21" s="521"/>
      <c r="D21" s="521"/>
      <c r="E21" s="522"/>
      <c r="F21" s="519"/>
    </row>
    <row r="22" spans="1:6" s="83" customFormat="1" ht="14.25">
      <c r="A22" s="523"/>
      <c r="B22" s="524"/>
      <c r="C22" s="524"/>
      <c r="D22" s="524"/>
      <c r="E22" s="525"/>
      <c r="F22" s="519"/>
    </row>
    <row r="23" spans="1:6" s="83" customFormat="1" ht="14.25">
      <c r="A23" s="520" t="s">
        <v>944</v>
      </c>
      <c r="B23" s="521"/>
      <c r="C23" s="521"/>
      <c r="D23" s="521"/>
      <c r="E23" s="522"/>
      <c r="F23" s="519"/>
    </row>
    <row r="24" spans="1:6" s="83" customFormat="1" ht="14.25">
      <c r="A24" s="523"/>
      <c r="B24" s="524"/>
      <c r="C24" s="524"/>
      <c r="D24" s="524"/>
      <c r="E24" s="525"/>
      <c r="F24" s="519"/>
    </row>
    <row r="25" spans="1:6" s="83" customFormat="1" ht="14.25">
      <c r="A25" s="529"/>
      <c r="B25" s="530"/>
      <c r="C25" s="530"/>
      <c r="D25" s="530" t="s">
        <v>945</v>
      </c>
      <c r="E25" s="531" t="s">
        <v>946</v>
      </c>
      <c r="F25" s="519"/>
    </row>
    <row r="26" spans="1:6" s="83" customFormat="1" ht="14.25">
      <c r="A26" s="532" t="s">
        <v>947</v>
      </c>
      <c r="B26" s="533" t="s">
        <v>948</v>
      </c>
      <c r="C26" s="534" t="s">
        <v>949</v>
      </c>
      <c r="D26" s="534" t="s">
        <v>950</v>
      </c>
      <c r="E26" s="535" t="s">
        <v>950</v>
      </c>
      <c r="F26" s="519"/>
    </row>
    <row r="27" spans="1:6" s="83" customFormat="1" ht="14.25">
      <c r="A27" s="536">
        <v>4000</v>
      </c>
      <c r="B27" s="537">
        <v>5</v>
      </c>
      <c r="C27" s="530" t="s">
        <v>951</v>
      </c>
      <c r="D27" s="538">
        <v>4000000000</v>
      </c>
      <c r="E27" s="539">
        <f>+D27</f>
        <v>4000000000</v>
      </c>
      <c r="F27" s="519"/>
    </row>
    <row r="28" spans="1:6" s="83" customFormat="1" ht="14.25">
      <c r="A28" s="536">
        <v>16000</v>
      </c>
      <c r="B28" s="537">
        <v>1</v>
      </c>
      <c r="C28" s="530" t="s">
        <v>952</v>
      </c>
      <c r="D28" s="538">
        <v>16000000000</v>
      </c>
      <c r="E28" s="539">
        <f>+D28</f>
        <v>16000000000</v>
      </c>
      <c r="F28" s="519"/>
    </row>
    <row r="29" spans="1:6" s="83" customFormat="1" ht="15">
      <c r="A29" s="540">
        <v>100000</v>
      </c>
      <c r="B29" s="541">
        <v>12</v>
      </c>
      <c r="C29" s="530"/>
      <c r="D29" s="542">
        <f>+D27+D28</f>
        <v>20000000000</v>
      </c>
      <c r="E29" s="543">
        <f>+E27+E28</f>
        <v>20000000000</v>
      </c>
      <c r="F29" s="519"/>
    </row>
    <row r="30" spans="1:6" s="83" customFormat="1" ht="15" thickBot="1">
      <c r="A30" s="544"/>
      <c r="B30" s="545"/>
      <c r="C30" s="545"/>
      <c r="D30" s="546"/>
      <c r="E30" s="547"/>
      <c r="F30" s="519"/>
    </row>
    <row r="37" spans="1:8" ht="15">
      <c r="A37" s="658"/>
      <c r="B37" s="658"/>
      <c r="C37" s="651" t="s">
        <v>965</v>
      </c>
      <c r="D37" s="651"/>
      <c r="E37" s="651" t="s">
        <v>966</v>
      </c>
      <c r="F37" s="651"/>
      <c r="G37" s="548"/>
      <c r="H37" s="162"/>
    </row>
    <row r="38" spans="1:8" ht="15">
      <c r="A38" s="658"/>
      <c r="B38" s="658"/>
      <c r="C38" s="651" t="s">
        <v>967</v>
      </c>
      <c r="D38" s="651"/>
      <c r="E38" s="651" t="s">
        <v>953</v>
      </c>
      <c r="F38" s="651"/>
      <c r="G38" s="549"/>
      <c r="H38" s="162"/>
    </row>
    <row r="40" s="67" customFormat="1" ht="15">
      <c r="A40" s="550"/>
    </row>
    <row r="41" ht="75" customHeight="1">
      <c r="A41" s="551"/>
    </row>
    <row r="42" spans="2:4" ht="15">
      <c r="B42" s="658" t="s">
        <v>954</v>
      </c>
      <c r="C42" s="658"/>
      <c r="D42" s="658"/>
    </row>
    <row r="43" spans="2:4" ht="15">
      <c r="B43" s="649" t="s">
        <v>955</v>
      </c>
      <c r="C43" s="649"/>
      <c r="D43" s="649"/>
    </row>
    <row r="44" spans="2:4" ht="12.75" customHeight="1">
      <c r="B44" s="650" t="s">
        <v>956</v>
      </c>
      <c r="C44" s="650"/>
      <c r="D44" s="650"/>
    </row>
    <row r="45" spans="2:4" ht="12.75" customHeight="1">
      <c r="B45" s="650"/>
      <c r="C45" s="650"/>
      <c r="D45" s="650"/>
    </row>
    <row r="46" spans="1:5" ht="15">
      <c r="A46" s="507"/>
      <c r="B46" s="650"/>
      <c r="C46" s="650"/>
      <c r="D46" s="650"/>
      <c r="E46" s="507"/>
    </row>
    <row r="47" spans="1:5" ht="15">
      <c r="A47" s="507"/>
      <c r="B47" s="650"/>
      <c r="C47" s="650"/>
      <c r="D47" s="650"/>
      <c r="E47" s="507"/>
    </row>
    <row r="48" spans="1:5" ht="15">
      <c r="A48" s="507"/>
      <c r="B48" s="650"/>
      <c r="C48" s="650"/>
      <c r="D48" s="650"/>
      <c r="E48" s="507"/>
    </row>
    <row r="49" spans="1:5" ht="15">
      <c r="A49" s="507"/>
      <c r="D49" s="507"/>
      <c r="E49" s="507"/>
    </row>
    <row r="50" spans="4:5" ht="15">
      <c r="D50" s="507"/>
      <c r="E50" s="507"/>
    </row>
  </sheetData>
  <sheetProtection/>
  <mergeCells count="12">
    <mergeCell ref="A14:E14"/>
    <mergeCell ref="A15:E15"/>
    <mergeCell ref="A17:E17"/>
    <mergeCell ref="A37:B37"/>
    <mergeCell ref="A38:B38"/>
    <mergeCell ref="B42:D42"/>
    <mergeCell ref="B43:D43"/>
    <mergeCell ref="B44:D48"/>
    <mergeCell ref="C37:D37"/>
    <mergeCell ref="E37:F37"/>
    <mergeCell ref="C38:D38"/>
    <mergeCell ref="E38:F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Hoja9"/>
  <dimension ref="A1:IV70"/>
  <sheetViews>
    <sheetView zoomScalePageLayoutView="0" workbookViewId="0" topLeftCell="A1">
      <selection activeCell="A1" sqref="A1"/>
    </sheetView>
  </sheetViews>
  <sheetFormatPr defaultColWidth="11.421875" defaultRowHeight="15"/>
  <cols>
    <col min="1" max="1" width="72.8515625" style="0" bestFit="1" customWidth="1"/>
    <col min="2" max="2" width="16.140625" style="0" customWidth="1"/>
    <col min="3" max="3" width="18.28125" style="0" customWidth="1"/>
    <col min="6" max="6" width="11.421875" style="0" customWidth="1"/>
    <col min="7" max="30" width="11.421875" style="155" customWidth="1"/>
  </cols>
  <sheetData>
    <row r="1" spans="1:6" ht="15">
      <c r="A1" s="160" t="str">
        <f>+'Nota 3'!A1</f>
        <v>IMPORT CENTER S.A.</v>
      </c>
      <c r="B1" s="155"/>
      <c r="C1" s="155"/>
      <c r="D1" s="178" t="s">
        <v>130</v>
      </c>
      <c r="E1" s="155"/>
      <c r="F1" s="155"/>
    </row>
    <row r="2" spans="1:6" ht="15">
      <c r="A2" s="155"/>
      <c r="B2" s="155"/>
      <c r="C2" s="155"/>
      <c r="D2" s="155"/>
      <c r="E2" s="155"/>
      <c r="F2" s="155"/>
    </row>
    <row r="3" spans="1:6" ht="15">
      <c r="A3" s="155"/>
      <c r="B3" s="155"/>
      <c r="C3" s="155"/>
      <c r="D3" s="155"/>
      <c r="E3" s="155"/>
      <c r="F3" s="155"/>
    </row>
    <row r="4" spans="1:6" ht="15">
      <c r="A4" s="735" t="s">
        <v>302</v>
      </c>
      <c r="B4" s="735"/>
      <c r="C4" s="735"/>
      <c r="D4" s="155"/>
      <c r="E4" s="155"/>
      <c r="F4" s="155"/>
    </row>
    <row r="5" spans="1:6" ht="15">
      <c r="A5" s="154"/>
      <c r="B5" s="154"/>
      <c r="C5" s="154"/>
      <c r="D5" s="155"/>
      <c r="E5" s="155"/>
      <c r="F5" s="155"/>
    </row>
    <row r="6" spans="1:6" ht="15">
      <c r="A6" s="153" t="s">
        <v>4</v>
      </c>
      <c r="B6" s="154"/>
      <c r="C6" s="154"/>
      <c r="D6" s="155"/>
      <c r="E6" s="155"/>
      <c r="F6" s="155"/>
    </row>
    <row r="7" spans="1:6" ht="15">
      <c r="A7" s="153"/>
      <c r="B7" s="736" t="s">
        <v>324</v>
      </c>
      <c r="C7" s="736"/>
      <c r="D7" s="155"/>
      <c r="E7" s="155"/>
      <c r="F7" s="155"/>
    </row>
    <row r="8" spans="1:6" ht="15">
      <c r="A8" s="49" t="s">
        <v>5</v>
      </c>
      <c r="B8" s="443">
        <f>_xlfn.IFERROR(IF(Indice!B6="","2XX2",YEAR(Indice!B6)),"2XX2")</f>
        <v>2021</v>
      </c>
      <c r="C8" s="443">
        <f>_xlfn.IFERROR(YEAR(Indice!B6-365),"2XX1")</f>
        <v>2020</v>
      </c>
      <c r="D8" s="155"/>
      <c r="E8" s="155"/>
      <c r="F8" s="155"/>
    </row>
    <row r="9" spans="1:6" ht="15">
      <c r="A9" s="155" t="s">
        <v>460</v>
      </c>
      <c r="B9" s="155"/>
      <c r="C9" s="155"/>
      <c r="D9" s="155"/>
      <c r="E9" s="155"/>
      <c r="F9" s="155"/>
    </row>
    <row r="10" spans="1:30" s="304" customFormat="1" ht="15">
      <c r="A10" s="155" t="s">
        <v>455</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row>
    <row r="11" spans="1:30" s="304" customFormat="1" ht="15">
      <c r="A11" s="155" t="s">
        <v>454</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row>
    <row r="12" spans="1:256" s="336" customFormat="1" ht="15">
      <c r="A12" s="155" t="s">
        <v>461</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5"/>
      <c r="EG12" s="155"/>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5"/>
      <c r="FZ12" s="155"/>
      <c r="GA12" s="155"/>
      <c r="GB12" s="155"/>
      <c r="GC12" s="155"/>
      <c r="GD12" s="155"/>
      <c r="GE12" s="155"/>
      <c r="GF12" s="155"/>
      <c r="GG12" s="155"/>
      <c r="GH12" s="155"/>
      <c r="GI12" s="155"/>
      <c r="GJ12" s="155"/>
      <c r="GK12" s="155"/>
      <c r="GL12" s="155"/>
      <c r="GM12" s="155"/>
      <c r="GN12" s="155"/>
      <c r="GO12" s="155"/>
      <c r="GP12" s="155"/>
      <c r="GQ12" s="155"/>
      <c r="GR12" s="155"/>
      <c r="GS12" s="155"/>
      <c r="GT12" s="155"/>
      <c r="GU12" s="155"/>
      <c r="GV12" s="155"/>
      <c r="GW12" s="155"/>
      <c r="GX12" s="155"/>
      <c r="GY12" s="155"/>
      <c r="GZ12" s="155"/>
      <c r="HA12" s="155"/>
      <c r="HB12" s="155"/>
      <c r="HC12" s="155"/>
      <c r="HD12" s="155"/>
      <c r="HE12" s="155"/>
      <c r="HF12" s="155"/>
      <c r="HG12" s="155"/>
      <c r="HH12" s="155"/>
      <c r="HI12" s="155"/>
      <c r="HJ12" s="155"/>
      <c r="HK12" s="155"/>
      <c r="HL12" s="155"/>
      <c r="HM12" s="155"/>
      <c r="HN12" s="155"/>
      <c r="HO12" s="155"/>
      <c r="HP12" s="155"/>
      <c r="HQ12" s="155"/>
      <c r="HR12" s="155"/>
      <c r="HS12" s="155"/>
      <c r="HT12" s="155"/>
      <c r="HU12" s="155"/>
      <c r="HV12" s="155"/>
      <c r="HW12" s="155"/>
      <c r="HX12" s="155"/>
      <c r="HY12" s="155"/>
      <c r="HZ12" s="155"/>
      <c r="IA12" s="155"/>
      <c r="IB12" s="155"/>
      <c r="IC12" s="155"/>
      <c r="ID12" s="155"/>
      <c r="IE12" s="155"/>
      <c r="IF12" s="155"/>
      <c r="IG12" s="155"/>
      <c r="IH12" s="155"/>
      <c r="II12" s="155"/>
      <c r="IJ12" s="155"/>
      <c r="IK12" s="155"/>
      <c r="IL12" s="155"/>
      <c r="IM12" s="155"/>
      <c r="IN12" s="155"/>
      <c r="IO12" s="155"/>
      <c r="IP12" s="155"/>
      <c r="IQ12" s="155"/>
      <c r="IR12" s="155"/>
      <c r="IS12" s="155"/>
      <c r="IT12" s="155"/>
      <c r="IU12" s="155"/>
      <c r="IV12" s="155"/>
    </row>
    <row r="13" spans="1:256" s="336" customFormat="1" ht="15">
      <c r="A13" s="155" t="s">
        <v>456</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155"/>
      <c r="EP13" s="155"/>
      <c r="EQ13" s="155"/>
      <c r="ER13" s="155"/>
      <c r="ES13" s="155"/>
      <c r="ET13" s="155"/>
      <c r="EU13" s="155"/>
      <c r="EV13" s="155"/>
      <c r="EW13" s="155"/>
      <c r="EX13" s="155"/>
      <c r="EY13" s="155"/>
      <c r="EZ13" s="155"/>
      <c r="FA13" s="155"/>
      <c r="FB13" s="155"/>
      <c r="FC13" s="155"/>
      <c r="FD13" s="155"/>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c r="IN13" s="155"/>
      <c r="IO13" s="155"/>
      <c r="IP13" s="155"/>
      <c r="IQ13" s="155"/>
      <c r="IR13" s="155"/>
      <c r="IS13" s="155"/>
      <c r="IT13" s="155"/>
      <c r="IU13" s="155"/>
      <c r="IV13" s="155"/>
    </row>
    <row r="14" spans="1:256" s="336" customFormat="1" ht="15">
      <c r="A14" s="155" t="s">
        <v>457</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c r="IN14" s="155"/>
      <c r="IO14" s="155"/>
      <c r="IP14" s="155"/>
      <c r="IQ14" s="155"/>
      <c r="IR14" s="155"/>
      <c r="IS14" s="155"/>
      <c r="IT14" s="155"/>
      <c r="IU14" s="155"/>
      <c r="IV14" s="155"/>
    </row>
    <row r="15" spans="1:256" s="336" customFormat="1" ht="15">
      <c r="A15" s="155" t="s">
        <v>458</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c r="EA15" s="155"/>
      <c r="EB15" s="155"/>
      <c r="EC15" s="155"/>
      <c r="ED15" s="155"/>
      <c r="EE15" s="155"/>
      <c r="EF15" s="155"/>
      <c r="EG15" s="155"/>
      <c r="EH15" s="155"/>
      <c r="EI15" s="155"/>
      <c r="EJ15" s="155"/>
      <c r="EK15" s="155"/>
      <c r="EL15" s="155"/>
      <c r="EM15" s="155"/>
      <c r="EN15" s="155"/>
      <c r="EO15" s="155"/>
      <c r="EP15" s="155"/>
      <c r="EQ15" s="155"/>
      <c r="ER15" s="155"/>
      <c r="ES15" s="155"/>
      <c r="ET15" s="155"/>
      <c r="EU15" s="155"/>
      <c r="EV15" s="155"/>
      <c r="EW15" s="155"/>
      <c r="EX15" s="155"/>
      <c r="EY15" s="155"/>
      <c r="EZ15" s="155"/>
      <c r="FA15" s="155"/>
      <c r="FB15" s="155"/>
      <c r="FC15" s="155"/>
      <c r="FD15" s="155"/>
      <c r="FE15" s="155"/>
      <c r="FF15" s="155"/>
      <c r="FG15" s="155"/>
      <c r="FH15" s="155"/>
      <c r="FI15" s="155"/>
      <c r="FJ15" s="155"/>
      <c r="FK15" s="155"/>
      <c r="FL15" s="155"/>
      <c r="FM15" s="155"/>
      <c r="FN15" s="155"/>
      <c r="FO15" s="155"/>
      <c r="FP15" s="155"/>
      <c r="FQ15" s="155"/>
      <c r="FR15" s="155"/>
      <c r="FS15" s="155"/>
      <c r="FT15" s="155"/>
      <c r="FU15" s="155"/>
      <c r="FV15" s="155"/>
      <c r="FW15" s="155"/>
      <c r="FX15" s="155"/>
      <c r="FY15" s="155"/>
      <c r="FZ15" s="155"/>
      <c r="GA15" s="155"/>
      <c r="GB15" s="155"/>
      <c r="GC15" s="155"/>
      <c r="GD15" s="155"/>
      <c r="GE15" s="155"/>
      <c r="GF15" s="155"/>
      <c r="GG15" s="155"/>
      <c r="GH15" s="155"/>
      <c r="GI15" s="155"/>
      <c r="GJ15" s="155"/>
      <c r="GK15" s="155"/>
      <c r="GL15" s="155"/>
      <c r="GM15" s="155"/>
      <c r="GN15" s="155"/>
      <c r="GO15" s="155"/>
      <c r="GP15" s="155"/>
      <c r="GQ15" s="155"/>
      <c r="GR15" s="155"/>
      <c r="GS15" s="155"/>
      <c r="GT15" s="155"/>
      <c r="GU15" s="155"/>
      <c r="GV15" s="155"/>
      <c r="GW15" s="155"/>
      <c r="GX15" s="155"/>
      <c r="GY15" s="155"/>
      <c r="GZ15" s="155"/>
      <c r="HA15" s="155"/>
      <c r="HB15" s="155"/>
      <c r="HC15" s="155"/>
      <c r="HD15" s="155"/>
      <c r="HE15" s="155"/>
      <c r="HF15" s="155"/>
      <c r="HG15" s="155"/>
      <c r="HH15" s="155"/>
      <c r="HI15" s="155"/>
      <c r="HJ15" s="155"/>
      <c r="HK15" s="155"/>
      <c r="HL15" s="155"/>
      <c r="HM15" s="155"/>
      <c r="HN15" s="155"/>
      <c r="HO15" s="155"/>
      <c r="HP15" s="155"/>
      <c r="HQ15" s="155"/>
      <c r="HR15" s="155"/>
      <c r="HS15" s="155"/>
      <c r="HT15" s="155"/>
      <c r="HU15" s="155"/>
      <c r="HV15" s="155"/>
      <c r="HW15" s="155"/>
      <c r="HX15" s="155"/>
      <c r="HY15" s="155"/>
      <c r="HZ15" s="155"/>
      <c r="IA15" s="155"/>
      <c r="IB15" s="155"/>
      <c r="IC15" s="155"/>
      <c r="ID15" s="155"/>
      <c r="IE15" s="155"/>
      <c r="IF15" s="155"/>
      <c r="IG15" s="155"/>
      <c r="IH15" s="155"/>
      <c r="II15" s="155"/>
      <c r="IJ15" s="155"/>
      <c r="IK15" s="155"/>
      <c r="IL15" s="155"/>
      <c r="IM15" s="155"/>
      <c r="IN15" s="155"/>
      <c r="IO15" s="155"/>
      <c r="IP15" s="155"/>
      <c r="IQ15" s="155"/>
      <c r="IR15" s="155"/>
      <c r="IS15" s="155"/>
      <c r="IT15" s="155"/>
      <c r="IU15" s="155"/>
      <c r="IV15" s="155"/>
    </row>
    <row r="16" spans="1:6" ht="15">
      <c r="A16" s="155" t="s">
        <v>459</v>
      </c>
      <c r="B16" s="155"/>
      <c r="C16" s="155"/>
      <c r="D16" s="155"/>
      <c r="E16" s="155"/>
      <c r="F16" s="155"/>
    </row>
    <row r="17" spans="1:6" ht="15">
      <c r="A17" s="155" t="s">
        <v>462</v>
      </c>
      <c r="B17" s="155"/>
      <c r="C17" s="155"/>
      <c r="D17" s="155"/>
      <c r="E17" s="155"/>
      <c r="F17" s="155"/>
    </row>
    <row r="18" spans="1:6" ht="15.75" thickBot="1">
      <c r="A18" s="55" t="s">
        <v>3</v>
      </c>
      <c r="B18" s="57">
        <f>SUM($B$9:B17)</f>
        <v>0</v>
      </c>
      <c r="C18" s="57">
        <f>SUM($C$9:C17)</f>
        <v>0</v>
      </c>
      <c r="D18" s="155"/>
      <c r="E18" s="155"/>
      <c r="F18" s="155"/>
    </row>
    <row r="19" spans="1:6" ht="15.75" thickTop="1">
      <c r="A19" s="155"/>
      <c r="B19" s="155"/>
      <c r="C19" s="155"/>
      <c r="D19" s="155"/>
      <c r="E19" s="155"/>
      <c r="F19" s="155"/>
    </row>
    <row r="20" spans="1:6" ht="15">
      <c r="A20" s="155"/>
      <c r="B20" s="155"/>
      <c r="C20" s="155"/>
      <c r="D20" s="155"/>
      <c r="E20" s="155"/>
      <c r="F20" s="155"/>
    </row>
    <row r="21" spans="1:6" ht="15">
      <c r="A21" s="155"/>
      <c r="B21" s="155"/>
      <c r="C21" s="155"/>
      <c r="D21" s="155"/>
      <c r="E21" s="155"/>
      <c r="F21" s="155"/>
    </row>
    <row r="22" spans="1:6" ht="15">
      <c r="A22" s="155"/>
      <c r="B22" s="155"/>
      <c r="C22" s="155"/>
      <c r="D22" s="155"/>
      <c r="E22" s="155"/>
      <c r="F22" s="155"/>
    </row>
    <row r="23" spans="1:6" ht="15">
      <c r="A23" s="155"/>
      <c r="B23" s="155"/>
      <c r="C23" s="155"/>
      <c r="D23" s="155"/>
      <c r="E23" s="155"/>
      <c r="F23" s="155"/>
    </row>
    <row r="24" spans="1:6" ht="15">
      <c r="A24" s="155"/>
      <c r="B24" s="155"/>
      <c r="C24" s="155"/>
      <c r="D24" s="155"/>
      <c r="E24" s="155"/>
      <c r="F24" s="155"/>
    </row>
    <row r="25" spans="1:6" ht="15">
      <c r="A25" s="155"/>
      <c r="B25" s="155"/>
      <c r="C25" s="155"/>
      <c r="D25" s="155"/>
      <c r="E25" s="155"/>
      <c r="F25" s="155"/>
    </row>
    <row r="26" spans="1:6" ht="15">
      <c r="A26" s="155"/>
      <c r="B26" s="155"/>
      <c r="C26" s="155"/>
      <c r="D26" s="155"/>
      <c r="E26" s="155"/>
      <c r="F26" s="155"/>
    </row>
    <row r="27" spans="1:6" ht="15">
      <c r="A27" s="155"/>
      <c r="B27" s="155"/>
      <c r="C27" s="155"/>
      <c r="D27" s="155"/>
      <c r="E27" s="155"/>
      <c r="F27" s="155"/>
    </row>
    <row r="28" spans="1:6" ht="15">
      <c r="A28" s="155"/>
      <c r="B28" s="155"/>
      <c r="C28" s="155"/>
      <c r="D28" s="155"/>
      <c r="E28" s="155"/>
      <c r="F28" s="155"/>
    </row>
    <row r="29" spans="1:6" ht="15">
      <c r="A29" s="155"/>
      <c r="B29" s="155"/>
      <c r="C29" s="155"/>
      <c r="D29" s="155"/>
      <c r="E29" s="155"/>
      <c r="F29" s="155"/>
    </row>
    <row r="30" spans="1:6" ht="15">
      <c r="A30" s="155"/>
      <c r="B30" s="155"/>
      <c r="C30" s="155"/>
      <c r="D30" s="155"/>
      <c r="E30" s="155"/>
      <c r="F30" s="155"/>
    </row>
    <row r="31" spans="1:6" ht="15">
      <c r="A31" s="155"/>
      <c r="B31" s="155"/>
      <c r="C31" s="155"/>
      <c r="D31" s="155"/>
      <c r="E31" s="155"/>
      <c r="F31" s="155"/>
    </row>
    <row r="32" spans="1:6" ht="15">
      <c r="A32" s="155"/>
      <c r="B32" s="155"/>
      <c r="C32" s="155"/>
      <c r="D32" s="155"/>
      <c r="E32" s="155"/>
      <c r="F32" s="155"/>
    </row>
    <row r="33" spans="1:6" ht="15">
      <c r="A33" s="155"/>
      <c r="B33" s="155"/>
      <c r="C33" s="155"/>
      <c r="D33" s="155"/>
      <c r="E33" s="155"/>
      <c r="F33" s="155"/>
    </row>
    <row r="34" spans="1:6" ht="15">
      <c r="A34" s="155"/>
      <c r="B34" s="155"/>
      <c r="C34" s="155"/>
      <c r="D34" s="155"/>
      <c r="E34" s="155"/>
      <c r="F34" s="155"/>
    </row>
    <row r="35" spans="1:6" ht="15">
      <c r="A35" s="155"/>
      <c r="B35" s="155"/>
      <c r="C35" s="155"/>
      <c r="D35" s="155"/>
      <c r="E35" s="155"/>
      <c r="F35" s="155"/>
    </row>
    <row r="36" spans="1:6" ht="15">
      <c r="A36" s="155"/>
      <c r="B36" s="155"/>
      <c r="C36" s="155"/>
      <c r="D36" s="155"/>
      <c r="E36" s="155"/>
      <c r="F36" s="155"/>
    </row>
    <row r="37" spans="1:6" ht="15">
      <c r="A37" s="155"/>
      <c r="B37" s="155"/>
      <c r="C37" s="155"/>
      <c r="D37" s="155"/>
      <c r="E37" s="155"/>
      <c r="F37" s="155"/>
    </row>
    <row r="38" spans="1:6" ht="15">
      <c r="A38" s="155"/>
      <c r="B38" s="155"/>
      <c r="C38" s="155"/>
      <c r="D38" s="155"/>
      <c r="E38" s="155"/>
      <c r="F38" s="155"/>
    </row>
    <row r="39" spans="1:6" ht="15">
      <c r="A39" s="155"/>
      <c r="B39" s="155"/>
      <c r="C39" s="155"/>
      <c r="D39" s="155"/>
      <c r="E39" s="155"/>
      <c r="F39" s="155"/>
    </row>
    <row r="40" spans="1:6" ht="15">
      <c r="A40" s="155"/>
      <c r="B40" s="155"/>
      <c r="C40" s="155"/>
      <c r="D40" s="155"/>
      <c r="E40" s="155"/>
      <c r="F40" s="155"/>
    </row>
    <row r="41" spans="1:6" ht="15">
      <c r="A41" s="155"/>
      <c r="B41" s="155"/>
      <c r="C41" s="155"/>
      <c r="D41" s="155"/>
      <c r="E41" s="155"/>
      <c r="F41" s="155"/>
    </row>
    <row r="42" spans="1:6" ht="15">
      <c r="A42" s="155"/>
      <c r="B42" s="155"/>
      <c r="C42" s="155"/>
      <c r="D42" s="155"/>
      <c r="E42" s="155"/>
      <c r="F42" s="155"/>
    </row>
    <row r="43" spans="1:6" ht="15">
      <c r="A43" s="155"/>
      <c r="B43" s="155"/>
      <c r="C43" s="155"/>
      <c r="D43" s="155"/>
      <c r="E43" s="155"/>
      <c r="F43" s="155"/>
    </row>
    <row r="44" spans="1:6" ht="15">
      <c r="A44" s="155"/>
      <c r="B44" s="155"/>
      <c r="C44" s="155"/>
      <c r="D44" s="155"/>
      <c r="E44" s="155"/>
      <c r="F44" s="155"/>
    </row>
    <row r="45" spans="1:6" ht="15">
      <c r="A45" s="155"/>
      <c r="B45" s="155"/>
      <c r="C45" s="155"/>
      <c r="D45" s="155"/>
      <c r="E45" s="155"/>
      <c r="F45" s="155"/>
    </row>
    <row r="46" spans="1:6" ht="15">
      <c r="A46" s="155"/>
      <c r="B46" s="155"/>
      <c r="C46" s="155"/>
      <c r="D46" s="155"/>
      <c r="E46" s="155"/>
      <c r="F46" s="155"/>
    </row>
    <row r="47" spans="1:6" ht="15">
      <c r="A47" s="155"/>
      <c r="B47" s="155"/>
      <c r="C47" s="155"/>
      <c r="D47" s="155"/>
      <c r="E47" s="155"/>
      <c r="F47" s="155"/>
    </row>
    <row r="48" spans="1:6" ht="15">
      <c r="A48" s="155"/>
      <c r="B48" s="155"/>
      <c r="C48" s="155"/>
      <c r="D48" s="155"/>
      <c r="E48" s="155"/>
      <c r="F48" s="155"/>
    </row>
    <row r="49" spans="1:6" ht="15">
      <c r="A49" s="155"/>
      <c r="B49" s="155"/>
      <c r="C49" s="155"/>
      <c r="D49" s="155"/>
      <c r="E49" s="155"/>
      <c r="F49" s="155"/>
    </row>
    <row r="50" spans="1:6" ht="15">
      <c r="A50" s="155"/>
      <c r="B50" s="155"/>
      <c r="C50" s="155"/>
      <c r="D50" s="155"/>
      <c r="E50" s="155"/>
      <c r="F50" s="155"/>
    </row>
    <row r="51" spans="1:6" ht="15">
      <c r="A51" s="155"/>
      <c r="B51" s="155"/>
      <c r="C51" s="155"/>
      <c r="D51" s="155"/>
      <c r="E51" s="155"/>
      <c r="F51" s="155"/>
    </row>
    <row r="52" spans="1:6" ht="15">
      <c r="A52" s="155"/>
      <c r="B52" s="155"/>
      <c r="C52" s="155"/>
      <c r="D52" s="155"/>
      <c r="E52" s="155"/>
      <c r="F52" s="155"/>
    </row>
    <row r="53" spans="1:6" ht="15">
      <c r="A53" s="155"/>
      <c r="B53" s="155"/>
      <c r="C53" s="155"/>
      <c r="D53" s="155"/>
      <c r="E53" s="155"/>
      <c r="F53" s="155"/>
    </row>
    <row r="54" spans="1:6" ht="15">
      <c r="A54" s="155"/>
      <c r="B54" s="155"/>
      <c r="C54" s="155"/>
      <c r="D54" s="155"/>
      <c r="E54" s="155"/>
      <c r="F54" s="155"/>
    </row>
    <row r="55" spans="1:6" ht="15">
      <c r="A55" s="155"/>
      <c r="B55" s="155"/>
      <c r="C55" s="155"/>
      <c r="D55" s="155"/>
      <c r="E55" s="155"/>
      <c r="F55" s="155"/>
    </row>
    <row r="56" spans="1:6" ht="15">
      <c r="A56" s="155"/>
      <c r="B56" s="155"/>
      <c r="C56" s="155"/>
      <c r="D56" s="155"/>
      <c r="E56" s="155"/>
      <c r="F56" s="155"/>
    </row>
    <row r="57" spans="1:6" ht="15">
      <c r="A57" s="155"/>
      <c r="B57" s="155"/>
      <c r="C57" s="155"/>
      <c r="D57" s="155"/>
      <c r="E57" s="155"/>
      <c r="F57" s="155"/>
    </row>
    <row r="58" spans="1:6" ht="15">
      <c r="A58" s="155"/>
      <c r="B58" s="155"/>
      <c r="C58" s="155"/>
      <c r="D58" s="155"/>
      <c r="E58" s="155"/>
      <c r="F58" s="155"/>
    </row>
    <row r="59" spans="1:6" ht="15">
      <c r="A59" s="155"/>
      <c r="B59" s="155"/>
      <c r="C59" s="155"/>
      <c r="D59" s="155"/>
      <c r="E59" s="155"/>
      <c r="F59" s="155"/>
    </row>
    <row r="60" spans="1:6" ht="15">
      <c r="A60" s="155"/>
      <c r="B60" s="155"/>
      <c r="C60" s="155"/>
      <c r="D60" s="155"/>
      <c r="E60" s="155"/>
      <c r="F60" s="155"/>
    </row>
    <row r="61" spans="1:6" ht="15">
      <c r="A61" s="155"/>
      <c r="B61" s="155"/>
      <c r="C61" s="155"/>
      <c r="D61" s="155"/>
      <c r="E61" s="155"/>
      <c r="F61" s="155"/>
    </row>
    <row r="62" spans="1:6" ht="15">
      <c r="A62" s="155"/>
      <c r="B62" s="155"/>
      <c r="C62" s="155"/>
      <c r="D62" s="155"/>
      <c r="E62" s="155"/>
      <c r="F62" s="155"/>
    </row>
    <row r="63" spans="1:6" ht="15">
      <c r="A63" s="155"/>
      <c r="B63" s="155"/>
      <c r="C63" s="155"/>
      <c r="D63" s="155"/>
      <c r="E63" s="155"/>
      <c r="F63" s="155"/>
    </row>
    <row r="64" spans="1:6" ht="15">
      <c r="A64" s="155"/>
      <c r="B64" s="155"/>
      <c r="C64" s="155"/>
      <c r="D64" s="155"/>
      <c r="E64" s="155"/>
      <c r="F64" s="155"/>
    </row>
    <row r="65" spans="1:6" ht="15">
      <c r="A65" s="155"/>
      <c r="B65" s="155"/>
      <c r="C65" s="155"/>
      <c r="D65" s="155"/>
      <c r="E65" s="155"/>
      <c r="F65" s="155"/>
    </row>
    <row r="66" spans="1:6" ht="15">
      <c r="A66" s="155"/>
      <c r="B66" s="155"/>
      <c r="C66" s="155"/>
      <c r="D66" s="155"/>
      <c r="E66" s="155"/>
      <c r="F66" s="155"/>
    </row>
    <row r="67" spans="1:6" ht="15">
      <c r="A67" s="155"/>
      <c r="B67" s="155"/>
      <c r="C67" s="155"/>
      <c r="D67" s="155"/>
      <c r="E67" s="155"/>
      <c r="F67" s="155"/>
    </row>
    <row r="68" spans="1:6" ht="15">
      <c r="A68" s="155"/>
      <c r="B68" s="155"/>
      <c r="C68" s="155"/>
      <c r="D68" s="155"/>
      <c r="E68" s="155"/>
      <c r="F68" s="155"/>
    </row>
    <row r="69" spans="1:6" ht="15">
      <c r="A69" s="155"/>
      <c r="B69" s="155"/>
      <c r="C69" s="155"/>
      <c r="D69" s="155"/>
      <c r="E69" s="155"/>
      <c r="F69" s="155"/>
    </row>
    <row r="70" spans="1:6" ht="15">
      <c r="A70" s="155"/>
      <c r="B70" s="155"/>
      <c r="C70" s="155"/>
      <c r="D70" s="155"/>
      <c r="E70" s="155"/>
      <c r="F70" s="155"/>
    </row>
  </sheetData>
  <sheetProtection/>
  <mergeCells count="2">
    <mergeCell ref="A4:C4"/>
    <mergeCell ref="B7:C7"/>
  </mergeCells>
  <hyperlinks>
    <hyperlink ref="D1" location="BG!A1" display="BG"/>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10"/>
  <dimension ref="A1:H60"/>
  <sheetViews>
    <sheetView showGridLines="0" zoomScalePageLayoutView="0" workbookViewId="0" topLeftCell="A52">
      <selection activeCell="A20" sqref="A20"/>
    </sheetView>
  </sheetViews>
  <sheetFormatPr defaultColWidth="11.421875" defaultRowHeight="15"/>
  <cols>
    <col min="1" max="1" width="40.28125" style="11" customWidth="1"/>
    <col min="2" max="2" width="27.7109375" style="11" customWidth="1"/>
    <col min="3" max="3" width="25.421875" style="11" customWidth="1"/>
    <col min="4" max="4" width="19.57421875" style="11" customWidth="1"/>
    <col min="5" max="5" width="4.8515625" style="11" customWidth="1"/>
    <col min="6" max="6" width="61.57421875" style="11" customWidth="1"/>
    <col min="7" max="7" width="13.8515625" style="11" bestFit="1" customWidth="1"/>
    <col min="8" max="8" width="27.8515625" style="11" bestFit="1" customWidth="1"/>
    <col min="9" max="16384" width="11.421875" style="11" customWidth="1"/>
  </cols>
  <sheetData>
    <row r="1" spans="1:6" ht="15">
      <c r="A1" s="13" t="str">
        <f>Indice!C1</f>
        <v>IMPORT CENTER S.A.</v>
      </c>
      <c r="F1" s="182" t="s">
        <v>130</v>
      </c>
    </row>
    <row r="2" spans="1:6" ht="15">
      <c r="A2" s="288" t="s">
        <v>103</v>
      </c>
      <c r="B2" s="288"/>
      <c r="F2" s="182"/>
    </row>
    <row r="3" spans="1:6" ht="102">
      <c r="A3" s="482" t="s">
        <v>903</v>
      </c>
      <c r="B3" s="288"/>
      <c r="F3" s="182"/>
    </row>
    <row r="4" ht="12.75">
      <c r="C4" s="144"/>
    </row>
    <row r="5" spans="1:5" ht="12.75">
      <c r="A5" s="386" t="s">
        <v>303</v>
      </c>
      <c r="B5" s="386"/>
      <c r="C5" s="439"/>
      <c r="D5" s="439"/>
      <c r="E5" s="439"/>
    </row>
    <row r="6" spans="1:5" ht="12.75">
      <c r="A6" s="2" t="s">
        <v>901</v>
      </c>
      <c r="B6" s="2"/>
      <c r="E6" s="144"/>
    </row>
    <row r="7" spans="1:5" ht="12.75">
      <c r="A7" s="154"/>
      <c r="B7" s="154"/>
      <c r="C7" s="737" t="s">
        <v>251</v>
      </c>
      <c r="D7" s="738"/>
      <c r="E7" s="144"/>
    </row>
    <row r="8" spans="1:8" ht="12.75">
      <c r="A8" s="16"/>
      <c r="B8" s="16"/>
      <c r="C8" s="440">
        <f>_xlfn.IFERROR(IF(Indice!B6="","2XX2",YEAR(Indice!B6)),"2XX2")</f>
        <v>2021</v>
      </c>
      <c r="D8" s="440">
        <f>_xlfn.IFERROR(YEAR(Indice!B6-365),"2XX1")</f>
        <v>2020</v>
      </c>
      <c r="E8" s="144"/>
      <c r="F8" s="423" t="s">
        <v>893</v>
      </c>
      <c r="G8" s="424">
        <v>44286</v>
      </c>
      <c r="H8" s="438"/>
    </row>
    <row r="9" spans="1:8" ht="12.75">
      <c r="A9" s="289" t="s">
        <v>309</v>
      </c>
      <c r="B9" s="289" t="s">
        <v>463</v>
      </c>
      <c r="C9" s="559">
        <v>4829125</v>
      </c>
      <c r="D9" s="559">
        <v>5102344</v>
      </c>
      <c r="E9" s="144"/>
      <c r="F9" s="422" t="s">
        <v>304</v>
      </c>
      <c r="G9" s="139" t="s">
        <v>896</v>
      </c>
      <c r="H9" s="139" t="s">
        <v>900</v>
      </c>
    </row>
    <row r="10" spans="1:8" ht="12.75">
      <c r="A10" s="289" t="s">
        <v>309</v>
      </c>
      <c r="B10" s="289" t="s">
        <v>464</v>
      </c>
      <c r="C10" s="559">
        <v>881980</v>
      </c>
      <c r="D10" s="559">
        <v>1034647</v>
      </c>
      <c r="E10" s="144"/>
      <c r="F10" s="10" t="s">
        <v>8</v>
      </c>
      <c r="G10" s="428">
        <v>6129308</v>
      </c>
      <c r="H10" s="435">
        <v>0</v>
      </c>
    </row>
    <row r="11" spans="1:8" ht="12.75">
      <c r="A11" s="289" t="s">
        <v>309</v>
      </c>
      <c r="B11" s="289" t="s">
        <v>465</v>
      </c>
      <c r="C11" s="559">
        <v>0</v>
      </c>
      <c r="D11" s="559">
        <v>0</v>
      </c>
      <c r="E11" s="144"/>
      <c r="F11" s="291" t="s">
        <v>12</v>
      </c>
      <c r="G11" s="287">
        <f>SUM(G13:G15)</f>
        <v>2354900</v>
      </c>
      <c r="H11" s="436"/>
    </row>
    <row r="12" spans="1:8" ht="12.75">
      <c r="A12" s="289" t="s">
        <v>310</v>
      </c>
      <c r="B12" s="289" t="s">
        <v>463</v>
      </c>
      <c r="C12" s="559"/>
      <c r="D12" s="559"/>
      <c r="E12" s="144"/>
      <c r="F12" s="437" t="s">
        <v>102</v>
      </c>
      <c r="G12" s="287"/>
      <c r="H12" s="436"/>
    </row>
    <row r="13" spans="1:8" ht="12.75">
      <c r="A13" s="289" t="s">
        <v>310</v>
      </c>
      <c r="B13" s="289" t="s">
        <v>464</v>
      </c>
      <c r="C13" s="559"/>
      <c r="D13" s="559"/>
      <c r="E13" s="144"/>
      <c r="F13" s="289" t="s">
        <v>9</v>
      </c>
      <c r="G13" s="287">
        <v>473376</v>
      </c>
      <c r="H13" s="436">
        <v>0.2</v>
      </c>
    </row>
    <row r="14" spans="1:8" ht="12.75">
      <c r="A14" s="289" t="s">
        <v>310</v>
      </c>
      <c r="B14" s="289" t="s">
        <v>465</v>
      </c>
      <c r="C14" s="559"/>
      <c r="D14" s="559"/>
      <c r="E14" s="144"/>
      <c r="F14" s="289" t="s">
        <v>10</v>
      </c>
      <c r="G14" s="287">
        <v>1339627</v>
      </c>
      <c r="H14" s="436">
        <v>0.5</v>
      </c>
    </row>
    <row r="15" spans="1:8" ht="12.75">
      <c r="A15" s="289" t="s">
        <v>466</v>
      </c>
      <c r="B15" s="289" t="s">
        <v>463</v>
      </c>
      <c r="C15" s="559"/>
      <c r="D15" s="559"/>
      <c r="E15" s="144"/>
      <c r="F15" s="289" t="s">
        <v>11</v>
      </c>
      <c r="G15" s="287">
        <v>541897</v>
      </c>
      <c r="H15" s="436">
        <v>0</v>
      </c>
    </row>
    <row r="16" spans="1:8" ht="12.75">
      <c r="A16" s="289" t="s">
        <v>466</v>
      </c>
      <c r="B16" s="289" t="s">
        <v>464</v>
      </c>
      <c r="C16" s="559"/>
      <c r="D16" s="559"/>
      <c r="E16" s="144"/>
      <c r="F16" s="10"/>
      <c r="G16" s="156"/>
      <c r="H16" s="429"/>
    </row>
    <row r="17" spans="1:8" ht="12.75">
      <c r="A17" s="289" t="s">
        <v>466</v>
      </c>
      <c r="B17" s="289" t="s">
        <v>465</v>
      </c>
      <c r="C17" s="559"/>
      <c r="D17" s="559"/>
      <c r="E17" s="144"/>
      <c r="F17" s="430" t="s">
        <v>894</v>
      </c>
      <c r="G17" s="7">
        <f>G10+G11</f>
        <v>8484208</v>
      </c>
      <c r="H17" s="431"/>
    </row>
    <row r="18" spans="1:8" ht="12.75">
      <c r="A18" s="289" t="s">
        <v>306</v>
      </c>
      <c r="B18" s="289" t="s">
        <v>463</v>
      </c>
      <c r="C18" s="559">
        <v>1622068</v>
      </c>
      <c r="D18" s="559">
        <v>1279044</v>
      </c>
      <c r="E18" s="144"/>
      <c r="F18" s="10"/>
      <c r="G18" s="156"/>
      <c r="H18" s="429"/>
    </row>
    <row r="19" spans="1:8" ht="12.75">
      <c r="A19" s="289" t="s">
        <v>306</v>
      </c>
      <c r="B19" s="289" t="s">
        <v>464</v>
      </c>
      <c r="C19" s="559">
        <v>6278</v>
      </c>
      <c r="D19" s="559">
        <v>14473</v>
      </c>
      <c r="E19" s="144"/>
      <c r="F19" s="432" t="s">
        <v>895</v>
      </c>
      <c r="G19" s="8">
        <f>-((G10*H10)+(SUMPRODUCT(G13:G15,H13:H15)))</f>
        <v>-764488.7</v>
      </c>
      <c r="H19" s="140"/>
    </row>
    <row r="20" spans="1:8" ht="12.75">
      <c r="A20" s="289" t="s">
        <v>306</v>
      </c>
      <c r="B20" s="289" t="s">
        <v>465</v>
      </c>
      <c r="C20" s="559"/>
      <c r="D20" s="559"/>
      <c r="E20" s="144"/>
      <c r="F20" s="419"/>
      <c r="G20" s="420"/>
      <c r="H20" s="421"/>
    </row>
    <row r="21" spans="1:8" ht="12.75">
      <c r="A21" s="289" t="s">
        <v>308</v>
      </c>
      <c r="B21" s="289" t="s">
        <v>463</v>
      </c>
      <c r="C21" s="559"/>
      <c r="D21" s="559"/>
      <c r="E21" s="144"/>
      <c r="F21" s="433" t="s">
        <v>897</v>
      </c>
      <c r="G21" s="434">
        <f>G17+G19</f>
        <v>7719719.3</v>
      </c>
      <c r="H21" s="7"/>
    </row>
    <row r="22" spans="1:8" ht="12.75">
      <c r="A22" s="289" t="s">
        <v>308</v>
      </c>
      <c r="B22" s="289" t="s">
        <v>464</v>
      </c>
      <c r="C22" s="559"/>
      <c r="D22" s="559"/>
      <c r="E22" s="144"/>
      <c r="F22" s="10"/>
      <c r="G22" s="425"/>
      <c r="H22" s="16"/>
    </row>
    <row r="23" spans="1:8" ht="15" customHeight="1">
      <c r="A23" s="289" t="s">
        <v>467</v>
      </c>
      <c r="B23" s="289" t="s">
        <v>463</v>
      </c>
      <c r="C23" s="559"/>
      <c r="D23" s="559"/>
      <c r="E23" s="144"/>
      <c r="F23" s="6" t="s">
        <v>13</v>
      </c>
      <c r="G23" s="426"/>
      <c r="H23" s="426"/>
    </row>
    <row r="24" spans="1:8" ht="12.75">
      <c r="A24" s="289" t="s">
        <v>467</v>
      </c>
      <c r="B24" s="289" t="s">
        <v>464</v>
      </c>
      <c r="C24" s="559"/>
      <c r="D24" s="559"/>
      <c r="E24" s="144"/>
      <c r="F24" s="157" t="s">
        <v>14</v>
      </c>
      <c r="G24" s="427" t="s">
        <v>898</v>
      </c>
      <c r="H24" s="427" t="s">
        <v>899</v>
      </c>
    </row>
    <row r="25" spans="1:8" ht="12.75">
      <c r="A25" s="289" t="s">
        <v>467</v>
      </c>
      <c r="B25" s="289" t="s">
        <v>465</v>
      </c>
      <c r="C25" s="559"/>
      <c r="D25" s="559"/>
      <c r="E25" s="144"/>
      <c r="F25" s="10" t="s">
        <v>9</v>
      </c>
      <c r="G25" s="290">
        <v>181</v>
      </c>
      <c r="H25" s="290">
        <v>365</v>
      </c>
    </row>
    <row r="26" spans="1:8" ht="12.75">
      <c r="A26" s="289" t="s">
        <v>468</v>
      </c>
      <c r="B26" s="289"/>
      <c r="C26" s="559">
        <v>-399785</v>
      </c>
      <c r="D26" s="559">
        <v>-399785</v>
      </c>
      <c r="E26" s="144"/>
      <c r="F26" s="10" t="s">
        <v>10</v>
      </c>
      <c r="G26" s="290">
        <v>366</v>
      </c>
      <c r="H26" s="290">
        <v>730</v>
      </c>
    </row>
    <row r="27" spans="1:8" ht="12.75">
      <c r="A27" s="289" t="s">
        <v>3</v>
      </c>
      <c r="B27" s="289"/>
      <c r="C27" s="559">
        <f>+SUM($C$9:C26)</f>
        <v>6939666</v>
      </c>
      <c r="D27" s="559">
        <f>+SUM($D$9:D26)</f>
        <v>7030723</v>
      </c>
      <c r="E27" s="144"/>
      <c r="F27" s="10" t="s">
        <v>11</v>
      </c>
      <c r="G27" s="290">
        <v>731</v>
      </c>
      <c r="H27" s="290">
        <v>10000</v>
      </c>
    </row>
    <row r="28" spans="1:5" ht="12.75">
      <c r="A28" s="2"/>
      <c r="B28" s="2"/>
      <c r="E28" s="144"/>
    </row>
    <row r="29" spans="1:5" ht="12.75">
      <c r="A29" s="154"/>
      <c r="B29" s="154"/>
      <c r="E29" s="144"/>
    </row>
    <row r="30" spans="1:5" ht="12.75">
      <c r="A30" s="2" t="s">
        <v>902</v>
      </c>
      <c r="B30" s="2"/>
      <c r="E30" s="144"/>
    </row>
    <row r="31" spans="1:5" ht="12.75">
      <c r="A31" s="154"/>
      <c r="B31" s="154"/>
      <c r="C31" s="737" t="s">
        <v>251</v>
      </c>
      <c r="D31" s="738"/>
      <c r="E31" s="144"/>
    </row>
    <row r="32" spans="1:5" ht="12.75">
      <c r="A32" s="16"/>
      <c r="B32" s="16"/>
      <c r="C32" s="440">
        <f>_xlfn.IFERROR(IF(Indice!B6="","2XX2",YEAR(Indice!B6)),"2XX2")</f>
        <v>2021</v>
      </c>
      <c r="D32" s="440">
        <f>_xlfn.IFERROR(YEAR(Indice!B6-365),"2XX1")</f>
        <v>2020</v>
      </c>
      <c r="E32" s="144"/>
    </row>
    <row r="33" spans="1:4" ht="12.75">
      <c r="A33" s="289" t="s">
        <v>309</v>
      </c>
      <c r="B33" s="289" t="s">
        <v>463</v>
      </c>
      <c r="C33" s="559"/>
      <c r="D33" s="559"/>
    </row>
    <row r="34" spans="1:4" ht="15" customHeight="1">
      <c r="A34" s="289" t="s">
        <v>309</v>
      </c>
      <c r="B34" s="289" t="s">
        <v>464</v>
      </c>
      <c r="C34" s="559"/>
      <c r="D34" s="559"/>
    </row>
    <row r="35" spans="1:4" ht="12.75">
      <c r="A35" s="289" t="s">
        <v>309</v>
      </c>
      <c r="B35" s="289" t="s">
        <v>465</v>
      </c>
      <c r="C35" s="559"/>
      <c r="D35" s="559"/>
    </row>
    <row r="36" spans="1:4" ht="12.75">
      <c r="A36" s="289" t="s">
        <v>310</v>
      </c>
      <c r="B36" s="289" t="s">
        <v>463</v>
      </c>
      <c r="C36" s="559"/>
      <c r="D36" s="559"/>
    </row>
    <row r="37" spans="1:4" ht="12.75">
      <c r="A37" s="289" t="s">
        <v>310</v>
      </c>
      <c r="B37" s="289" t="s">
        <v>464</v>
      </c>
      <c r="C37" s="559"/>
      <c r="D37" s="559"/>
    </row>
    <row r="38" spans="1:4" ht="12.75">
      <c r="A38" s="289" t="s">
        <v>310</v>
      </c>
      <c r="B38" s="289" t="s">
        <v>465</v>
      </c>
      <c r="C38" s="559"/>
      <c r="D38" s="559"/>
    </row>
    <row r="39" spans="1:4" ht="12.75">
      <c r="A39" s="289" t="s">
        <v>466</v>
      </c>
      <c r="B39" s="289" t="s">
        <v>463</v>
      </c>
      <c r="C39" s="559"/>
      <c r="D39" s="559"/>
    </row>
    <row r="40" spans="1:4" ht="12.75">
      <c r="A40" s="289" t="s">
        <v>466</v>
      </c>
      <c r="B40" s="289" t="s">
        <v>464</v>
      </c>
      <c r="C40" s="559"/>
      <c r="D40" s="559"/>
    </row>
    <row r="41" spans="1:4" ht="12.75">
      <c r="A41" s="289" t="s">
        <v>466</v>
      </c>
      <c r="B41" s="289" t="s">
        <v>465</v>
      </c>
      <c r="C41" s="559"/>
      <c r="D41" s="559"/>
    </row>
    <row r="42" spans="1:4" ht="12.75">
      <c r="A42" s="289" t="s">
        <v>306</v>
      </c>
      <c r="B42" s="289" t="s">
        <v>463</v>
      </c>
      <c r="C42" s="559"/>
      <c r="D42" s="559"/>
    </row>
    <row r="43" spans="1:4" ht="12.75">
      <c r="A43" s="289" t="s">
        <v>306</v>
      </c>
      <c r="B43" s="289" t="s">
        <v>464</v>
      </c>
      <c r="C43" s="559"/>
      <c r="D43" s="559"/>
    </row>
    <row r="44" spans="1:4" ht="12.75">
      <c r="A44" s="289" t="s">
        <v>306</v>
      </c>
      <c r="B44" s="289" t="s">
        <v>465</v>
      </c>
      <c r="C44" s="559"/>
      <c r="D44" s="559"/>
    </row>
    <row r="45" spans="1:4" ht="12.75">
      <c r="A45" s="289" t="s">
        <v>307</v>
      </c>
      <c r="B45" s="289" t="s">
        <v>463</v>
      </c>
      <c r="C45" s="559"/>
      <c r="D45" s="559"/>
    </row>
    <row r="46" spans="1:4" ht="12.75">
      <c r="A46" s="289" t="s">
        <v>307</v>
      </c>
      <c r="B46" s="289" t="s">
        <v>464</v>
      </c>
      <c r="C46" s="559"/>
      <c r="D46" s="559"/>
    </row>
    <row r="47" spans="1:4" ht="12.75">
      <c r="A47" s="289" t="s">
        <v>307</v>
      </c>
      <c r="B47" s="289" t="s">
        <v>465</v>
      </c>
      <c r="C47" s="559"/>
      <c r="D47" s="559"/>
    </row>
    <row r="48" spans="1:4" ht="12.75">
      <c r="A48" s="289" t="s">
        <v>308</v>
      </c>
      <c r="B48" s="289" t="s">
        <v>463</v>
      </c>
      <c r="C48" s="559"/>
      <c r="D48" s="559"/>
    </row>
    <row r="49" spans="1:4" ht="12.75">
      <c r="A49" s="289" t="s">
        <v>308</v>
      </c>
      <c r="B49" s="289" t="s">
        <v>464</v>
      </c>
      <c r="C49" s="559">
        <v>1144757</v>
      </c>
      <c r="D49" s="559">
        <v>1101619</v>
      </c>
    </row>
    <row r="50" spans="1:4" ht="12.75">
      <c r="A50" s="289" t="s">
        <v>467</v>
      </c>
      <c r="B50" s="289" t="s">
        <v>463</v>
      </c>
      <c r="C50" s="559"/>
      <c r="D50" s="559"/>
    </row>
    <row r="51" spans="1:4" ht="12.75">
      <c r="A51" s="289" t="s">
        <v>467</v>
      </c>
      <c r="B51" s="289" t="s">
        <v>464</v>
      </c>
      <c r="C51" s="559"/>
      <c r="D51" s="559"/>
    </row>
    <row r="52" spans="1:4" ht="12.75">
      <c r="A52" s="289" t="s">
        <v>467</v>
      </c>
      <c r="B52" s="289" t="s">
        <v>465</v>
      </c>
      <c r="C52" s="559"/>
      <c r="D52" s="559"/>
    </row>
    <row r="53" spans="1:4" ht="12.75">
      <c r="A53" s="289" t="s">
        <v>468</v>
      </c>
      <c r="B53" s="289"/>
      <c r="C53" s="559">
        <v>-364704</v>
      </c>
      <c r="D53" s="559">
        <v>-364704</v>
      </c>
    </row>
    <row r="54" spans="1:4" ht="12.75">
      <c r="A54" s="289" t="s">
        <v>3</v>
      </c>
      <c r="B54" s="289"/>
      <c r="C54" s="559">
        <f>+SUM($C$33:C53)</f>
        <v>780053</v>
      </c>
      <c r="D54" s="559">
        <f>+SUM($D$33:D53)</f>
        <v>736915</v>
      </c>
    </row>
    <row r="55" spans="2:4" ht="12.75">
      <c r="B55" s="288"/>
      <c r="C55" s="288"/>
      <c r="D55" s="288"/>
    </row>
    <row r="56" spans="1:4" ht="12.75">
      <c r="A56" s="288"/>
      <c r="B56" s="288"/>
      <c r="C56" s="288"/>
      <c r="D56" s="288"/>
    </row>
    <row r="57" spans="1:5" ht="12.75">
      <c r="A57" s="288"/>
      <c r="B57" s="288"/>
      <c r="C57" s="288"/>
      <c r="D57" s="288"/>
      <c r="E57" s="288"/>
    </row>
    <row r="58" ht="12.75">
      <c r="E58" s="288"/>
    </row>
    <row r="59" ht="12.75">
      <c r="E59" s="288"/>
    </row>
    <row r="60" ht="12.75">
      <c r="E60" s="288"/>
    </row>
  </sheetData>
  <sheetProtection/>
  <mergeCells count="2">
    <mergeCell ref="C7:D7"/>
    <mergeCell ref="C31:D31"/>
  </mergeCells>
  <hyperlinks>
    <hyperlink ref="F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2.xml><?xml version="1.0" encoding="utf-8"?>
<worksheet xmlns="http://schemas.openxmlformats.org/spreadsheetml/2006/main" xmlns:r="http://schemas.openxmlformats.org/officeDocument/2006/relationships">
  <sheetPr codeName="Hoja11"/>
  <dimension ref="A1:G35"/>
  <sheetViews>
    <sheetView showGridLines="0" zoomScalePageLayoutView="0" workbookViewId="0" topLeftCell="A1">
      <selection activeCell="A1" sqref="A1"/>
    </sheetView>
  </sheetViews>
  <sheetFormatPr defaultColWidth="11.421875" defaultRowHeight="15"/>
  <cols>
    <col min="1" max="1" width="44.140625" style="2" bestFit="1" customWidth="1"/>
    <col min="2" max="2" width="20.8515625" style="2" customWidth="1"/>
    <col min="3" max="3" width="14.8515625" style="2" bestFit="1" customWidth="1"/>
    <col min="4" max="4" width="3.421875" style="2" bestFit="1" customWidth="1"/>
    <col min="5" max="5" width="38.8515625" style="2" bestFit="1" customWidth="1"/>
    <col min="6" max="6" width="18.28125" style="2" bestFit="1" customWidth="1"/>
    <col min="7" max="7" width="14.28125" style="2" customWidth="1"/>
    <col min="8" max="16384" width="11.421875" style="2" customWidth="1"/>
  </cols>
  <sheetData>
    <row r="1" spans="1:4" ht="15">
      <c r="A1" s="3" t="str">
        <f>Indice!C1</f>
        <v>IMPORT CENTER S.A.</v>
      </c>
      <c r="D1" s="177" t="s">
        <v>130</v>
      </c>
    </row>
    <row r="2" ht="12.75">
      <c r="A2" s="3"/>
    </row>
    <row r="3" ht="12.75">
      <c r="A3" s="3"/>
    </row>
    <row r="4" spans="1:3" ht="12.75">
      <c r="A4" s="354" t="s">
        <v>305</v>
      </c>
      <c r="B4" s="354"/>
      <c r="C4" s="354"/>
    </row>
    <row r="5" spans="1:2" ht="12.75">
      <c r="A5" s="299" t="s">
        <v>324</v>
      </c>
      <c r="B5" s="299"/>
    </row>
    <row r="6" ht="12.75">
      <c r="A6" s="2" t="s">
        <v>15</v>
      </c>
    </row>
    <row r="8" spans="1:7" ht="12.75">
      <c r="A8" s="13" t="s">
        <v>65</v>
      </c>
      <c r="B8" s="11"/>
      <c r="C8" s="11"/>
      <c r="E8" s="13" t="s">
        <v>64</v>
      </c>
      <c r="F8" s="19"/>
      <c r="G8" s="11"/>
    </row>
    <row r="9" spans="1:7" ht="12.75">
      <c r="A9" s="11"/>
      <c r="E9" s="11"/>
      <c r="F9" s="337"/>
      <c r="G9" s="337"/>
    </row>
    <row r="10" spans="1:7" ht="12.75">
      <c r="A10" s="14" t="s">
        <v>5</v>
      </c>
      <c r="B10" s="442">
        <f>_xlfn.IFERROR(IF(Indice!B6="","2XX2",YEAR(Indice!B6)),"2XX2")</f>
        <v>2021</v>
      </c>
      <c r="C10" s="442">
        <f>_xlfn.IFERROR(YEAR(Indice!B6-365),"2XX1")</f>
        <v>2020</v>
      </c>
      <c r="E10" s="14" t="s">
        <v>5</v>
      </c>
      <c r="F10" s="442">
        <f>_xlfn.IFERROR(IF(Indice!B6="","2XX2",YEAR(Indice!B6)),"2XX2")</f>
        <v>2021</v>
      </c>
      <c r="G10" s="442">
        <f>_xlfn.IFERROR(YEAR(Indice!B6-365),"2XX1")</f>
        <v>2020</v>
      </c>
    </row>
    <row r="11" spans="1:7" ht="12.75">
      <c r="A11" s="11" t="s">
        <v>316</v>
      </c>
      <c r="B11" s="29">
        <v>6641893</v>
      </c>
      <c r="C11" s="29">
        <v>6639900</v>
      </c>
      <c r="E11" s="11" t="s">
        <v>16</v>
      </c>
      <c r="F11" s="161"/>
      <c r="G11" s="161"/>
    </row>
    <row r="12" spans="1:7" ht="12.75">
      <c r="A12" s="11" t="s">
        <v>101</v>
      </c>
      <c r="B12" s="29"/>
      <c r="C12" s="29"/>
      <c r="E12" s="11" t="s">
        <v>315</v>
      </c>
      <c r="F12" s="161"/>
      <c r="G12" s="161"/>
    </row>
    <row r="13" spans="1:7" ht="12.75">
      <c r="A13" s="11" t="s">
        <v>17</v>
      </c>
      <c r="B13" s="9"/>
      <c r="C13" s="22"/>
      <c r="E13" s="11" t="s">
        <v>317</v>
      </c>
      <c r="F13" s="29"/>
      <c r="G13" s="29"/>
    </row>
    <row r="14" spans="1:7" ht="12.75">
      <c r="A14" s="11" t="s">
        <v>59</v>
      </c>
      <c r="B14" s="9">
        <v>22477</v>
      </c>
      <c r="C14" s="9"/>
      <c r="E14" s="11" t="s">
        <v>1021</v>
      </c>
      <c r="F14" s="624">
        <v>59092</v>
      </c>
      <c r="G14" s="624">
        <v>59092</v>
      </c>
    </row>
    <row r="15" spans="1:7" ht="12.75">
      <c r="A15" s="11" t="s">
        <v>60</v>
      </c>
      <c r="B15" s="9"/>
      <c r="C15" s="22"/>
      <c r="E15" s="13"/>
      <c r="F15" s="623"/>
      <c r="G15" s="623"/>
    </row>
    <row r="16" spans="1:7" ht="12.75">
      <c r="A16" s="11" t="s">
        <v>968</v>
      </c>
      <c r="B16" s="9"/>
      <c r="C16" s="22">
        <v>123</v>
      </c>
      <c r="E16" s="13"/>
      <c r="F16" s="623"/>
      <c r="G16" s="623"/>
    </row>
    <row r="17" spans="1:7" ht="12.75">
      <c r="A17" s="11" t="s">
        <v>969</v>
      </c>
      <c r="B17" s="9"/>
      <c r="C17" s="22">
        <v>136</v>
      </c>
      <c r="E17" s="13"/>
      <c r="F17" s="146"/>
      <c r="G17" s="146"/>
    </row>
    <row r="18" spans="1:7" ht="12.75">
      <c r="A18" s="11" t="s">
        <v>970</v>
      </c>
      <c r="B18" s="9">
        <v>96033</v>
      </c>
      <c r="C18" s="22">
        <v>99692</v>
      </c>
      <c r="E18" s="11" t="s">
        <v>66</v>
      </c>
      <c r="F18" s="127"/>
      <c r="G18" s="127"/>
    </row>
    <row r="19" spans="1:7" ht="13.5" thickBot="1">
      <c r="A19" s="11" t="s">
        <v>1017</v>
      </c>
      <c r="B19" s="9">
        <v>21729</v>
      </c>
      <c r="C19" s="22">
        <v>37769</v>
      </c>
      <c r="E19" s="13" t="s">
        <v>3</v>
      </c>
      <c r="F19" s="17">
        <f>SUM(F11:F18)</f>
        <v>59092</v>
      </c>
      <c r="G19" s="17">
        <f>SUM(G11:G18)</f>
        <v>59092</v>
      </c>
    </row>
    <row r="20" spans="1:7" ht="13.5" thickTop="1">
      <c r="A20" s="11" t="s">
        <v>1018</v>
      </c>
      <c r="B20" s="9">
        <v>89546</v>
      </c>
      <c r="C20" s="22">
        <v>51547</v>
      </c>
      <c r="E20" s="13"/>
      <c r="F20" s="146"/>
      <c r="G20" s="146"/>
    </row>
    <row r="21" spans="1:7" ht="12.75">
      <c r="A21" s="11" t="s">
        <v>1019</v>
      </c>
      <c r="B21" s="9">
        <v>25270</v>
      </c>
      <c r="C21" s="22">
        <v>25270</v>
      </c>
      <c r="E21" s="13"/>
      <c r="F21" s="146"/>
      <c r="G21" s="146"/>
    </row>
    <row r="22" spans="1:7" ht="12.75">
      <c r="A22" s="11" t="s">
        <v>1020</v>
      </c>
      <c r="B22" s="9">
        <v>1455</v>
      </c>
      <c r="C22" s="22">
        <v>1455</v>
      </c>
      <c r="E22" s="13"/>
      <c r="F22" s="146"/>
      <c r="G22" s="146"/>
    </row>
    <row r="23" spans="1:7" ht="12.75">
      <c r="A23" s="11" t="s">
        <v>66</v>
      </c>
      <c r="B23" s="127"/>
      <c r="C23" s="127"/>
      <c r="F23" s="45"/>
      <c r="G23" s="45"/>
    </row>
    <row r="24" spans="1:3" ht="13.5" thickBot="1">
      <c r="A24" s="13" t="s">
        <v>3</v>
      </c>
      <c r="B24" s="17">
        <f>SUM($B$11:B23)</f>
        <v>6898403</v>
      </c>
      <c r="C24" s="17">
        <f>SUM($C$11:C23)</f>
        <v>6855892</v>
      </c>
    </row>
    <row r="25" spans="1:3" ht="13.5" thickTop="1">
      <c r="A25" s="13"/>
      <c r="B25" s="146"/>
      <c r="C25" s="146"/>
    </row>
    <row r="26" spans="2:3" ht="12.75">
      <c r="B26" s="18"/>
      <c r="C26" s="18"/>
    </row>
    <row r="35" spans="5:7" ht="15">
      <c r="E35"/>
      <c r="F35"/>
      <c r="G35"/>
    </row>
    <row r="36" ht="15"/>
    <row r="37" ht="15"/>
    <row r="38" ht="15"/>
    <row r="39" ht="15"/>
    <row r="40" ht="15"/>
  </sheetData>
  <sheetProtection/>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3.xml><?xml version="1.0" encoding="utf-8"?>
<worksheet xmlns="http://schemas.openxmlformats.org/spreadsheetml/2006/main" xmlns:r="http://schemas.openxmlformats.org/officeDocument/2006/relationships">
  <sheetPr codeName="Hoja12"/>
  <dimension ref="A1:G16"/>
  <sheetViews>
    <sheetView showGridLines="0" zoomScalePageLayoutView="0" workbookViewId="0" topLeftCell="A1">
      <selection activeCell="B29" sqref="B29"/>
    </sheetView>
  </sheetViews>
  <sheetFormatPr defaultColWidth="11.421875" defaultRowHeight="15"/>
  <cols>
    <col min="1" max="1" width="50.140625" style="0" customWidth="1"/>
    <col min="2" max="2" width="19.00390625" style="0" customWidth="1"/>
    <col min="3" max="3" width="16.57421875" style="0" customWidth="1"/>
  </cols>
  <sheetData>
    <row r="1" spans="1:4" ht="15">
      <c r="A1" t="str">
        <f>Indice!C1</f>
        <v>IMPORT CENTER S.A.</v>
      </c>
      <c r="D1" s="177" t="s">
        <v>130</v>
      </c>
    </row>
    <row r="4" spans="1:3" ht="15">
      <c r="A4" s="740" t="s">
        <v>318</v>
      </c>
      <c r="B4" s="740"/>
      <c r="C4" s="740"/>
    </row>
    <row r="6" spans="1:7" ht="15">
      <c r="A6" s="739" t="s">
        <v>19</v>
      </c>
      <c r="B6" s="739"/>
      <c r="C6" s="739"/>
      <c r="D6" s="739"/>
      <c r="E6" s="739"/>
      <c r="F6" s="739"/>
      <c r="G6" s="739"/>
    </row>
    <row r="7" spans="2:3" ht="15" customHeight="1">
      <c r="B7" s="736" t="s">
        <v>324</v>
      </c>
      <c r="C7" s="736"/>
    </row>
    <row r="8" spans="1:3" ht="15">
      <c r="A8" s="14" t="s">
        <v>5</v>
      </c>
      <c r="B8" s="442">
        <f>_xlfn.IFERROR(IF(Indice!B6="","2XX2",YEAR(Indice!B6)),"2XX2")</f>
        <v>2021</v>
      </c>
      <c r="C8" s="442">
        <f>_xlfn.IFERROR(YEAR(Indice!B6-365),"2XX1")</f>
        <v>2020</v>
      </c>
    </row>
    <row r="9" spans="1:3" ht="15">
      <c r="A9" s="24" t="s">
        <v>97</v>
      </c>
      <c r="B9" s="9">
        <v>20140797</v>
      </c>
      <c r="C9" s="20">
        <v>21283307</v>
      </c>
    </row>
    <row r="10" spans="1:3" ht="15">
      <c r="A10" s="24" t="s">
        <v>98</v>
      </c>
      <c r="B10" s="9">
        <v>451121</v>
      </c>
      <c r="C10" s="20">
        <v>31961</v>
      </c>
    </row>
    <row r="11" spans="1:3" ht="15">
      <c r="A11" s="24" t="s">
        <v>99</v>
      </c>
      <c r="B11" s="9">
        <v>44219</v>
      </c>
      <c r="C11" s="20">
        <v>33342</v>
      </c>
    </row>
    <row r="12" spans="1:3" ht="15">
      <c r="A12" s="24" t="s">
        <v>100</v>
      </c>
      <c r="B12" s="9">
        <f>732955+672535</f>
        <v>1405490</v>
      </c>
      <c r="C12" s="20">
        <f>850252+25542</f>
        <v>875794</v>
      </c>
    </row>
    <row r="13" spans="1:3" s="496" customFormat="1" ht="15">
      <c r="A13" s="24" t="s">
        <v>971</v>
      </c>
      <c r="B13" s="9">
        <v>118340</v>
      </c>
      <c r="C13" s="20"/>
    </row>
    <row r="14" spans="1:3" ht="15">
      <c r="A14" s="24" t="s">
        <v>66</v>
      </c>
      <c r="B14" s="9"/>
      <c r="C14" s="20"/>
    </row>
    <row r="15" spans="1:3" ht="15" customHeight="1">
      <c r="A15" s="293" t="s">
        <v>319</v>
      </c>
      <c r="B15" s="9"/>
      <c r="C15" s="20"/>
    </row>
    <row r="16" spans="1:3" ht="15.75" thickBot="1">
      <c r="A16" s="13" t="s">
        <v>18</v>
      </c>
      <c r="B16" s="23">
        <f>SUM(B9:B13)-1</f>
        <v>22159966</v>
      </c>
      <c r="C16" s="25">
        <f>SUM(C9:C12)</f>
        <v>22224404</v>
      </c>
    </row>
    <row r="17" ht="15.75" thickTop="1"/>
  </sheetData>
  <sheetProtection/>
  <mergeCells count="3">
    <mergeCell ref="B7:C7"/>
    <mergeCell ref="A6:G6"/>
    <mergeCell ref="A4:C4"/>
  </mergeCells>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4.xml><?xml version="1.0" encoding="utf-8"?>
<worksheet xmlns="http://schemas.openxmlformats.org/spreadsheetml/2006/main" xmlns:r="http://schemas.openxmlformats.org/officeDocument/2006/relationships">
  <sheetPr codeName="Hoja13"/>
  <dimension ref="A1:AD18"/>
  <sheetViews>
    <sheetView zoomScalePageLayoutView="0" workbookViewId="0" topLeftCell="A1">
      <selection activeCell="A1" sqref="A1"/>
    </sheetView>
  </sheetViews>
  <sheetFormatPr defaultColWidth="11.421875" defaultRowHeight="15"/>
  <cols>
    <col min="1" max="2" width="22.8515625" style="155" customWidth="1"/>
    <col min="3" max="3" width="29.28125" style="155" bestFit="1" customWidth="1"/>
    <col min="4" max="4" width="25.8515625" style="155" customWidth="1"/>
    <col min="5" max="5" width="26.140625" style="155" customWidth="1"/>
    <col min="6" max="6" width="3.421875" style="155" customWidth="1"/>
    <col min="7" max="7" width="29.28125" style="155" bestFit="1" customWidth="1"/>
    <col min="8" max="8" width="33.00390625" style="155" bestFit="1" customWidth="1"/>
    <col min="9" max="9" width="33.00390625" style="155" customWidth="1"/>
    <col min="10" max="10" width="39.28125" style="155" bestFit="1" customWidth="1"/>
    <col min="11" max="11" width="37.421875" style="155" bestFit="1" customWidth="1"/>
    <col min="12" max="12" width="35.7109375" style="155" bestFit="1" customWidth="1"/>
    <col min="13" max="30" width="11.421875" style="155" customWidth="1"/>
  </cols>
  <sheetData>
    <row r="1" spans="1:4" ht="15">
      <c r="A1" s="155" t="str">
        <f>Indice!C1</f>
        <v>IMPORT CENTER S.A.</v>
      </c>
      <c r="B1" s="178"/>
      <c r="D1" s="178" t="s">
        <v>130</v>
      </c>
    </row>
    <row r="4" spans="1:6" ht="15">
      <c r="A4" s="740" t="s">
        <v>321</v>
      </c>
      <c r="B4" s="740"/>
      <c r="C4" s="740"/>
      <c r="D4" s="740"/>
      <c r="E4" s="740"/>
      <c r="F4" s="740"/>
    </row>
    <row r="5" spans="1:6" s="34" customFormat="1" ht="15">
      <c r="A5" s="448" t="s">
        <v>251</v>
      </c>
      <c r="B5" s="449"/>
      <c r="C5" s="179"/>
      <c r="D5" s="179"/>
      <c r="E5" s="179"/>
      <c r="F5" s="179"/>
    </row>
    <row r="6" ht="15">
      <c r="A6" s="155" t="s">
        <v>322</v>
      </c>
    </row>
    <row r="7" spans="1:30" s="286" customFormat="1" ht="15">
      <c r="A7" s="155" t="s">
        <v>484</v>
      </c>
      <c r="B7" s="446">
        <f>_xlfn.IFERROR(IF(Indice!B6="","2XX2",YEAR(Indice!B6)),"2XX2")</f>
        <v>2021</v>
      </c>
      <c r="C7" s="445">
        <f>_xlfn.IFERROR(YEAR(Indice!B6-365),"2XX1")</f>
        <v>2020</v>
      </c>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row>
    <row r="8" spans="1:30" s="336" customFormat="1" ht="15">
      <c r="A8" s="155" t="s">
        <v>487</v>
      </c>
      <c r="B8" s="351">
        <f>SUM($I$13:I18)</f>
        <v>0</v>
      </c>
      <c r="C8" s="353">
        <v>0</v>
      </c>
      <c r="D8" s="350" t="s">
        <v>492</v>
      </c>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row>
    <row r="9" spans="1:30" s="336" customFormat="1" ht="15">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row>
    <row r="10" spans="1:30" s="286" customFormat="1" ht="15">
      <c r="A10" s="155" t="s">
        <v>325</v>
      </c>
      <c r="B10" s="155"/>
      <c r="C10" s="155"/>
      <c r="F10" s="155"/>
      <c r="G10" s="155" t="s">
        <v>485</v>
      </c>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row>
    <row r="11" spans="4:5" ht="15">
      <c r="D11" s="450">
        <f>_xlfn.IFERROR(IF(Indice!B6="","2XX2",YEAR(Indice!B6)),"2XX2")</f>
        <v>2021</v>
      </c>
      <c r="E11" s="447"/>
    </row>
    <row r="12" spans="1:12" ht="15" customHeight="1">
      <c r="A12" s="348" t="s">
        <v>469</v>
      </c>
      <c r="B12" s="338" t="s">
        <v>470</v>
      </c>
      <c r="C12" s="348" t="s">
        <v>486</v>
      </c>
      <c r="D12" s="349" t="s">
        <v>483</v>
      </c>
      <c r="E12" s="349" t="s">
        <v>323</v>
      </c>
      <c r="G12" s="348" t="s">
        <v>486</v>
      </c>
      <c r="H12" s="348" t="s">
        <v>488</v>
      </c>
      <c r="I12" s="348" t="s">
        <v>491</v>
      </c>
      <c r="J12" s="348" t="s">
        <v>489</v>
      </c>
      <c r="K12" s="348" t="s">
        <v>326</v>
      </c>
      <c r="L12" s="348" t="s">
        <v>490</v>
      </c>
    </row>
    <row r="13" spans="1:12" ht="15">
      <c r="A13" s="294"/>
      <c r="B13" s="294"/>
      <c r="C13" s="294"/>
      <c r="D13" s="294"/>
      <c r="E13" s="294"/>
      <c r="G13" s="294"/>
      <c r="H13" s="294"/>
      <c r="I13" s="294"/>
      <c r="J13" s="294"/>
      <c r="K13" s="352">
        <f aca="true" t="shared" si="0" ref="K13:K18">J13*D13</f>
        <v>0</v>
      </c>
      <c r="L13" s="352">
        <f aca="true" t="shared" si="1" ref="L13:L18">J13*E13</f>
        <v>0</v>
      </c>
    </row>
    <row r="14" spans="1:12" ht="15">
      <c r="A14" s="236"/>
      <c r="B14" s="236"/>
      <c r="C14" s="236"/>
      <c r="D14" s="236"/>
      <c r="E14" s="236"/>
      <c r="G14" s="236"/>
      <c r="H14" s="236"/>
      <c r="I14" s="236"/>
      <c r="J14" s="294"/>
      <c r="K14" s="352">
        <f t="shared" si="0"/>
        <v>0</v>
      </c>
      <c r="L14" s="352">
        <f t="shared" si="1"/>
        <v>0</v>
      </c>
    </row>
    <row r="15" spans="1:12" ht="15">
      <c r="A15" s="236"/>
      <c r="B15" s="236"/>
      <c r="C15" s="236"/>
      <c r="D15" s="236"/>
      <c r="E15" s="236"/>
      <c r="G15" s="236"/>
      <c r="H15" s="236"/>
      <c r="I15" s="236"/>
      <c r="J15" s="294"/>
      <c r="K15" s="352">
        <f t="shared" si="0"/>
        <v>0</v>
      </c>
      <c r="L15" s="352">
        <f t="shared" si="1"/>
        <v>0</v>
      </c>
    </row>
    <row r="16" spans="1:12" ht="15">
      <c r="A16" s="236"/>
      <c r="B16" s="236"/>
      <c r="C16" s="236"/>
      <c r="D16" s="236"/>
      <c r="E16" s="236"/>
      <c r="G16" s="236"/>
      <c r="H16" s="236"/>
      <c r="I16" s="236"/>
      <c r="J16" s="294"/>
      <c r="K16" s="352">
        <f t="shared" si="0"/>
        <v>0</v>
      </c>
      <c r="L16" s="352">
        <f t="shared" si="1"/>
        <v>0</v>
      </c>
    </row>
    <row r="17" spans="1:12" ht="15">
      <c r="A17" s="236"/>
      <c r="B17" s="236"/>
      <c r="C17" s="236"/>
      <c r="D17" s="236"/>
      <c r="E17" s="236"/>
      <c r="G17" s="236"/>
      <c r="H17" s="236"/>
      <c r="I17" s="236"/>
      <c r="J17" s="294"/>
      <c r="K17" s="352">
        <f t="shared" si="0"/>
        <v>0</v>
      </c>
      <c r="L17" s="352">
        <f t="shared" si="1"/>
        <v>0</v>
      </c>
    </row>
    <row r="18" spans="1:12" ht="15">
      <c r="A18" s="236"/>
      <c r="B18" s="236"/>
      <c r="C18" s="236"/>
      <c r="D18" s="236"/>
      <c r="E18" s="236"/>
      <c r="G18" s="236"/>
      <c r="H18" s="236"/>
      <c r="I18" s="236"/>
      <c r="J18" s="294"/>
      <c r="K18" s="352">
        <f t="shared" si="0"/>
        <v>0</v>
      </c>
      <c r="L18" s="352">
        <f t="shared" si="1"/>
        <v>0</v>
      </c>
    </row>
    <row r="23" ht="15" customHeight="1"/>
  </sheetData>
  <sheetProtection/>
  <mergeCells count="1">
    <mergeCell ref="A4:F4"/>
  </mergeCells>
  <hyperlinks>
    <hyperlink ref="D1" location="BG!A1" display="BG"/>
  </hyperlink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Hoja14"/>
  <dimension ref="A1:CX27"/>
  <sheetViews>
    <sheetView zoomScalePageLayoutView="0" workbookViewId="0" topLeftCell="C1">
      <selection activeCell="C2" sqref="C2"/>
    </sheetView>
  </sheetViews>
  <sheetFormatPr defaultColWidth="11.421875" defaultRowHeight="15"/>
  <cols>
    <col min="1" max="1" width="27.00390625" style="155" customWidth="1"/>
    <col min="2" max="2" width="16.421875" style="155" customWidth="1"/>
    <col min="3" max="3" width="13.57421875" style="155" customWidth="1"/>
    <col min="4" max="5" width="11.421875" style="155" customWidth="1"/>
    <col min="6" max="6" width="13.8515625" style="155" customWidth="1"/>
    <col min="7" max="7" width="15.7109375" style="155" customWidth="1"/>
    <col min="8" max="8" width="16.00390625" style="155" customWidth="1"/>
    <col min="9" max="9" width="17.00390625" style="155" customWidth="1"/>
    <col min="10" max="10" width="14.28125" style="155" customWidth="1"/>
    <col min="11" max="11" width="16.8515625" style="155" customWidth="1"/>
    <col min="12" max="30" width="11.421875" style="155" customWidth="1"/>
  </cols>
  <sheetData>
    <row r="1" spans="1:12" ht="15">
      <c r="A1" s="155" t="str">
        <f>Indice!C1</f>
        <v>IMPORT CENTER S.A.</v>
      </c>
      <c r="C1" s="155" t="str">
        <f>+Indice!C1</f>
        <v>IMPORT CENTER S.A.</v>
      </c>
      <c r="L1" s="178" t="s">
        <v>130</v>
      </c>
    </row>
    <row r="5" ht="15">
      <c r="A5" s="160" t="s">
        <v>329</v>
      </c>
    </row>
    <row r="6" ht="15">
      <c r="A6" s="155" t="s">
        <v>330</v>
      </c>
    </row>
    <row r="7" ht="15">
      <c r="A7" s="155" t="s">
        <v>332</v>
      </c>
    </row>
    <row r="8" ht="15">
      <c r="A8" s="155" t="s">
        <v>333</v>
      </c>
    </row>
    <row r="9" ht="15">
      <c r="A9" s="155" t="s">
        <v>334</v>
      </c>
    </row>
    <row r="10" ht="15">
      <c r="A10" s="155" t="s">
        <v>331</v>
      </c>
    </row>
    <row r="12" spans="1:62" ht="24.75" customHeight="1">
      <c r="A12" s="741" t="s">
        <v>327</v>
      </c>
      <c r="B12" s="742"/>
      <c r="C12" s="742"/>
      <c r="D12" s="742"/>
      <c r="E12" s="742"/>
      <c r="F12" s="742"/>
      <c r="G12" s="742"/>
      <c r="H12" s="742"/>
      <c r="I12" s="742"/>
      <c r="J12" s="742"/>
      <c r="K12" s="742"/>
      <c r="L12" s="742"/>
      <c r="M12" s="743"/>
      <c r="N12" s="194"/>
      <c r="O12" s="194"/>
      <c r="P12" s="194"/>
      <c r="Q12" s="194"/>
      <c r="R12" s="194"/>
      <c r="S12" s="194"/>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row>
    <row r="13" spans="1:62" ht="15">
      <c r="A13" s="452" t="s">
        <v>251</v>
      </c>
      <c r="B13" s="194"/>
      <c r="C13" s="194"/>
      <c r="D13" s="194"/>
      <c r="E13" s="194"/>
      <c r="F13" s="194"/>
      <c r="G13" s="194"/>
      <c r="H13" s="194"/>
      <c r="I13" s="194"/>
      <c r="J13" s="195">
        <v>-1</v>
      </c>
      <c r="K13" s="194"/>
      <c r="L13" s="194"/>
      <c r="M13" s="194"/>
      <c r="N13" s="194"/>
      <c r="O13" s="194"/>
      <c r="P13" s="194"/>
      <c r="Q13" s="194"/>
      <c r="R13" s="194"/>
      <c r="S13" s="194"/>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row>
    <row r="14" spans="2:19" s="34" customFormat="1" ht="15">
      <c r="B14" s="451"/>
      <c r="C14" s="451"/>
      <c r="D14" s="451"/>
      <c r="E14" s="451"/>
      <c r="F14" s="451"/>
      <c r="G14" s="451"/>
      <c r="H14" s="451"/>
      <c r="I14" s="451"/>
      <c r="J14" s="451"/>
      <c r="K14" s="451"/>
      <c r="L14" s="451"/>
      <c r="M14" s="451"/>
      <c r="N14" s="193"/>
      <c r="O14" s="193"/>
      <c r="P14" s="193"/>
      <c r="Q14" s="193"/>
      <c r="R14" s="193"/>
      <c r="S14" s="193"/>
    </row>
    <row r="15" spans="1:102" s="192" customFormat="1" ht="55.5" customHeight="1">
      <c r="A15" s="455"/>
      <c r="B15" s="453" t="s">
        <v>235</v>
      </c>
      <c r="C15" s="453" t="s">
        <v>236</v>
      </c>
      <c r="D15" s="453" t="s">
        <v>61</v>
      </c>
      <c r="E15" s="453" t="s">
        <v>237</v>
      </c>
      <c r="F15" s="453" t="s">
        <v>238</v>
      </c>
      <c r="G15" s="453" t="s">
        <v>239</v>
      </c>
      <c r="H15" s="453" t="s">
        <v>240</v>
      </c>
      <c r="I15" s="453" t="s">
        <v>241</v>
      </c>
      <c r="J15" s="453" t="s">
        <v>242</v>
      </c>
      <c r="K15" s="453" t="s">
        <v>243</v>
      </c>
      <c r="L15" s="454" t="s">
        <v>493</v>
      </c>
      <c r="M15" s="458"/>
      <c r="N15" s="193"/>
      <c r="O15" s="193"/>
      <c r="P15" s="193"/>
      <c r="Q15" s="193"/>
      <c r="R15" s="193"/>
      <c r="S15" s="193"/>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row>
    <row r="16" spans="1:102" s="192" customFormat="1" ht="15">
      <c r="A16" s="456"/>
      <c r="B16" s="457"/>
      <c r="C16" s="457"/>
      <c r="D16" s="457"/>
      <c r="E16" s="457"/>
      <c r="F16" s="457"/>
      <c r="G16" s="457"/>
      <c r="H16" s="457"/>
      <c r="I16" s="457"/>
      <c r="J16" s="457"/>
      <c r="K16" s="457"/>
      <c r="L16" s="459">
        <f>_xlfn.IFERROR(IF(Indice!B6="","2XX2",YEAR(Indice!B6)),"2XX2")</f>
        <v>2021</v>
      </c>
      <c r="M16" s="460">
        <f>_xlfn.IFERROR(YEAR(Indice!B6-365),"2XX1")</f>
        <v>2020</v>
      </c>
      <c r="N16" s="193"/>
      <c r="O16" s="193"/>
      <c r="P16" s="193"/>
      <c r="Q16" s="193"/>
      <c r="R16" s="193"/>
      <c r="S16" s="193"/>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row>
    <row r="17" spans="1:62" ht="15">
      <c r="A17" s="196" t="s">
        <v>244</v>
      </c>
      <c r="B17" s="197">
        <v>316335</v>
      </c>
      <c r="C17" s="197">
        <v>63735</v>
      </c>
      <c r="D17" s="198"/>
      <c r="E17" s="199"/>
      <c r="F17" s="200">
        <f>SUM(B17:E17)+1</f>
        <v>380071</v>
      </c>
      <c r="G17" s="200">
        <v>-206877</v>
      </c>
      <c r="H17" s="201">
        <v>-2824</v>
      </c>
      <c r="I17" s="199"/>
      <c r="J17" s="199"/>
      <c r="K17" s="560">
        <f aca="true" t="shared" si="0" ref="K17:K24">G17+H17</f>
        <v>-209701</v>
      </c>
      <c r="L17" s="199">
        <f>+F17+K17-2</f>
        <v>170368</v>
      </c>
      <c r="M17" s="201">
        <v>109456</v>
      </c>
      <c r="N17" s="203"/>
      <c r="O17" s="194"/>
      <c r="P17" s="194"/>
      <c r="Q17" s="194"/>
      <c r="R17" s="194"/>
      <c r="S17" s="194"/>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row>
    <row r="18" spans="1:62" ht="15">
      <c r="A18" s="196" t="s">
        <v>245</v>
      </c>
      <c r="B18" s="197">
        <v>2477433</v>
      </c>
      <c r="C18" s="199"/>
      <c r="D18" s="204"/>
      <c r="E18" s="199"/>
      <c r="F18" s="200">
        <v>2477433</v>
      </c>
      <c r="G18" s="200">
        <v>-2059483</v>
      </c>
      <c r="H18" s="201">
        <v>-18409</v>
      </c>
      <c r="I18" s="200"/>
      <c r="J18" s="199"/>
      <c r="K18" s="560">
        <f t="shared" si="0"/>
        <v>-2077892</v>
      </c>
      <c r="L18" s="199">
        <f>+F18+K18-1</f>
        <v>399540</v>
      </c>
      <c r="M18" s="201">
        <v>417948</v>
      </c>
      <c r="N18" s="194"/>
      <c r="O18" s="194"/>
      <c r="P18" s="194"/>
      <c r="Q18" s="194"/>
      <c r="R18" s="194"/>
      <c r="S18" s="194"/>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row>
    <row r="19" spans="1:62" ht="15">
      <c r="A19" s="196" t="s">
        <v>246</v>
      </c>
      <c r="B19" s="197">
        <v>490189</v>
      </c>
      <c r="C19" s="197">
        <v>11040</v>
      </c>
      <c r="D19" s="198"/>
      <c r="E19" s="199"/>
      <c r="F19" s="200">
        <f>SUM(B19:E19)</f>
        <v>501229</v>
      </c>
      <c r="G19" s="200">
        <v>-434955</v>
      </c>
      <c r="H19" s="201">
        <v>-3725</v>
      </c>
      <c r="I19" s="199"/>
      <c r="J19" s="199"/>
      <c r="K19" s="560">
        <f t="shared" si="0"/>
        <v>-438680</v>
      </c>
      <c r="L19" s="199">
        <f aca="true" t="shared" si="1" ref="L19:L25">+F19+K19</f>
        <v>62549</v>
      </c>
      <c r="M19" s="201">
        <v>55236</v>
      </c>
      <c r="N19" s="194"/>
      <c r="O19" s="194"/>
      <c r="P19" s="194"/>
      <c r="Q19" s="194"/>
      <c r="R19" s="194"/>
      <c r="S19" s="194"/>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row>
    <row r="20" spans="1:62" ht="15">
      <c r="A20" s="196" t="s">
        <v>247</v>
      </c>
      <c r="B20" s="197">
        <v>474794</v>
      </c>
      <c r="C20" s="205">
        <v>2545</v>
      </c>
      <c r="D20" s="204"/>
      <c r="E20" s="199"/>
      <c r="F20" s="200">
        <f aca="true" t="shared" si="2" ref="F20:F25">SUM(B20:E20)</f>
        <v>477339</v>
      </c>
      <c r="G20" s="200">
        <v>-458128</v>
      </c>
      <c r="H20" s="201">
        <v>-3547</v>
      </c>
      <c r="I20" s="200"/>
      <c r="J20" s="199"/>
      <c r="K20" s="560">
        <f t="shared" si="0"/>
        <v>-461675</v>
      </c>
      <c r="L20" s="199">
        <f>+F20+K20+1</f>
        <v>15665</v>
      </c>
      <c r="M20" s="201">
        <v>16664</v>
      </c>
      <c r="N20" s="194"/>
      <c r="O20" s="194"/>
      <c r="P20" s="194"/>
      <c r="Q20" s="194"/>
      <c r="R20" s="194"/>
      <c r="S20" s="194"/>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row>
    <row r="21" spans="1:62" ht="15">
      <c r="A21" s="196" t="s">
        <v>248</v>
      </c>
      <c r="B21" s="197"/>
      <c r="C21" s="197"/>
      <c r="D21" s="198"/>
      <c r="E21" s="199"/>
      <c r="F21" s="200">
        <f t="shared" si="2"/>
        <v>0</v>
      </c>
      <c r="G21" s="200"/>
      <c r="H21" s="201"/>
      <c r="I21" s="199"/>
      <c r="J21" s="199"/>
      <c r="K21" s="560">
        <f t="shared" si="0"/>
        <v>0</v>
      </c>
      <c r="L21" s="199">
        <f t="shared" si="1"/>
        <v>0</v>
      </c>
      <c r="M21" s="201">
        <v>0</v>
      </c>
      <c r="N21" s="194"/>
      <c r="O21" s="194"/>
      <c r="P21" s="194"/>
      <c r="Q21" s="194"/>
      <c r="R21" s="194"/>
      <c r="S21" s="194"/>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row>
    <row r="22" spans="1:62" ht="15">
      <c r="A22" s="196" t="s">
        <v>249</v>
      </c>
      <c r="B22" s="197">
        <v>782921</v>
      </c>
      <c r="C22" s="199">
        <v>2727</v>
      </c>
      <c r="D22" s="204"/>
      <c r="E22" s="199"/>
      <c r="F22" s="200">
        <f t="shared" si="2"/>
        <v>785648</v>
      </c>
      <c r="G22" s="200">
        <v>-757301</v>
      </c>
      <c r="H22" s="201">
        <v>-5838</v>
      </c>
      <c r="I22" s="200"/>
      <c r="J22" s="199"/>
      <c r="K22" s="560">
        <f>G22+H22-2</f>
        <v>-763141</v>
      </c>
      <c r="L22" s="199">
        <f>+F22+K22+3</f>
        <v>22510</v>
      </c>
      <c r="M22" s="201">
        <v>25626</v>
      </c>
      <c r="N22" s="194"/>
      <c r="O22" s="194"/>
      <c r="P22" s="194"/>
      <c r="Q22" s="194"/>
      <c r="R22" s="194"/>
      <c r="S22" s="194"/>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row>
    <row r="23" spans="1:62" ht="15">
      <c r="A23" s="196" t="s">
        <v>250</v>
      </c>
      <c r="B23" s="197"/>
      <c r="C23" s="197"/>
      <c r="D23" s="198"/>
      <c r="E23" s="199"/>
      <c r="F23" s="200">
        <f t="shared" si="2"/>
        <v>0</v>
      </c>
      <c r="G23" s="200"/>
      <c r="H23" s="201"/>
      <c r="I23" s="199"/>
      <c r="J23" s="199"/>
      <c r="K23" s="560">
        <f t="shared" si="0"/>
        <v>0</v>
      </c>
      <c r="L23" s="199">
        <f t="shared" si="1"/>
        <v>0</v>
      </c>
      <c r="M23" s="201"/>
      <c r="N23" s="194"/>
      <c r="O23" s="194"/>
      <c r="P23" s="194"/>
      <c r="Q23" s="194"/>
      <c r="R23" s="194"/>
      <c r="S23" s="194"/>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row>
    <row r="24" spans="1:62" s="496" customFormat="1" ht="15">
      <c r="A24" s="196" t="s">
        <v>972</v>
      </c>
      <c r="B24" s="197">
        <v>6444061</v>
      </c>
      <c r="C24" s="197"/>
      <c r="D24" s="198"/>
      <c r="E24" s="199"/>
      <c r="F24" s="200">
        <f t="shared" si="2"/>
        <v>6444061</v>
      </c>
      <c r="G24" s="200"/>
      <c r="H24" s="201"/>
      <c r="I24" s="200"/>
      <c r="J24" s="199"/>
      <c r="K24" s="560">
        <f t="shared" si="0"/>
        <v>0</v>
      </c>
      <c r="L24" s="199">
        <f>+F24</f>
        <v>6444061</v>
      </c>
      <c r="M24" s="201">
        <v>6444061</v>
      </c>
      <c r="N24" s="194"/>
      <c r="O24" s="194"/>
      <c r="P24" s="194"/>
      <c r="Q24" s="194"/>
      <c r="R24" s="194"/>
      <c r="S24" s="194"/>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row>
    <row r="25" spans="1:62" s="496" customFormat="1" ht="15">
      <c r="A25" s="196" t="s">
        <v>973</v>
      </c>
      <c r="B25" s="197">
        <v>11291506</v>
      </c>
      <c r="C25" s="197"/>
      <c r="D25" s="198"/>
      <c r="E25" s="199"/>
      <c r="F25" s="200">
        <f t="shared" si="2"/>
        <v>11291506</v>
      </c>
      <c r="G25" s="200">
        <v>-4334896</v>
      </c>
      <c r="H25" s="201">
        <v>-83904</v>
      </c>
      <c r="I25" s="200"/>
      <c r="J25" s="199"/>
      <c r="K25" s="560">
        <f>G25+H25</f>
        <v>-4418800</v>
      </c>
      <c r="L25" s="199">
        <f t="shared" si="1"/>
        <v>6872706</v>
      </c>
      <c r="M25" s="201">
        <v>6956610</v>
      </c>
      <c r="N25" s="194"/>
      <c r="O25" s="194"/>
      <c r="P25" s="194"/>
      <c r="Q25" s="194"/>
      <c r="R25" s="194"/>
      <c r="S25" s="194"/>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row>
    <row r="26" spans="1:62" ht="15">
      <c r="A26" s="196" t="s">
        <v>66</v>
      </c>
      <c r="B26" s="197"/>
      <c r="C26" s="199"/>
      <c r="D26" s="204"/>
      <c r="E26" s="199"/>
      <c r="F26" s="200"/>
      <c r="G26" s="200"/>
      <c r="H26" s="201"/>
      <c r="I26" s="200"/>
      <c r="J26" s="199"/>
      <c r="K26" s="202"/>
      <c r="L26" s="199"/>
      <c r="M26" s="201"/>
      <c r="N26" s="194"/>
      <c r="O26" s="194"/>
      <c r="P26" s="194"/>
      <c r="Q26" s="194"/>
      <c r="R26" s="194"/>
      <c r="S26" s="194"/>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row>
    <row r="27" spans="1:62" ht="15">
      <c r="A27" s="141" t="s">
        <v>328</v>
      </c>
      <c r="B27" s="142">
        <f>SUM(B17:B26)+1</f>
        <v>22277240</v>
      </c>
      <c r="C27" s="142">
        <f>SUM(C17:C26)</f>
        <v>80047</v>
      </c>
      <c r="D27" s="142"/>
      <c r="E27" s="143"/>
      <c r="F27" s="142">
        <f>SUM(F17:F26)</f>
        <v>22357287</v>
      </c>
      <c r="G27" s="142">
        <f>SUM(G17:G26)-3</f>
        <v>-8251643</v>
      </c>
      <c r="H27" s="142">
        <f>SUM(H17:H26)</f>
        <v>-118247</v>
      </c>
      <c r="I27" s="142"/>
      <c r="J27" s="142"/>
      <c r="K27" s="142">
        <f>SUM(K17:K26)-3</f>
        <v>-8369892</v>
      </c>
      <c r="L27" s="142">
        <f>SUM(L17:L26)+3</f>
        <v>13987402</v>
      </c>
      <c r="M27" s="142">
        <f>SUM(M17:M26)</f>
        <v>14025601</v>
      </c>
      <c r="N27" s="194"/>
      <c r="O27" s="194"/>
      <c r="P27" s="194"/>
      <c r="Q27" s="194"/>
      <c r="R27" s="194"/>
      <c r="S27" s="194"/>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row>
  </sheetData>
  <sheetProtection/>
  <mergeCells count="1">
    <mergeCell ref="A12:M12"/>
  </mergeCells>
  <hyperlinks>
    <hyperlink ref="L1" location="BG!A1" display="BG"/>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Hoja15"/>
  <dimension ref="A1:IV19"/>
  <sheetViews>
    <sheetView showGridLines="0" zoomScalePageLayoutView="0" workbookViewId="0" topLeftCell="A1">
      <selection activeCell="A3" sqref="A3:IV4"/>
    </sheetView>
  </sheetViews>
  <sheetFormatPr defaultColWidth="11.421875" defaultRowHeight="15"/>
  <cols>
    <col min="1" max="1" width="34.140625" style="0" customWidth="1"/>
    <col min="2" max="3" width="22.7109375" style="0" customWidth="1"/>
  </cols>
  <sheetData>
    <row r="1" spans="1:3" ht="15">
      <c r="A1" t="str">
        <f>Indice!C1</f>
        <v>IMPORT CENTER S.A.</v>
      </c>
      <c r="C1" s="177" t="s">
        <v>130</v>
      </c>
    </row>
    <row r="4" spans="1:256" ht="15">
      <c r="A4" s="354" t="s">
        <v>335</v>
      </c>
      <c r="B4" s="354"/>
      <c r="C4" s="354"/>
      <c r="D4" s="35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c r="AM4" s="744"/>
      <c r="AN4" s="744"/>
      <c r="AO4" s="744"/>
      <c r="AP4" s="744"/>
      <c r="AQ4" s="744"/>
      <c r="AR4" s="744"/>
      <c r="AS4" s="744"/>
      <c r="AT4" s="744"/>
      <c r="AU4" s="744"/>
      <c r="AV4" s="744"/>
      <c r="AW4" s="744"/>
      <c r="AX4" s="744"/>
      <c r="AY4" s="744"/>
      <c r="AZ4" s="744"/>
      <c r="BA4" s="744"/>
      <c r="BB4" s="744"/>
      <c r="BC4" s="744"/>
      <c r="BD4" s="744"/>
      <c r="BE4" s="744"/>
      <c r="BF4" s="744"/>
      <c r="BG4" s="744"/>
      <c r="BH4" s="744"/>
      <c r="BI4" s="744"/>
      <c r="BJ4" s="744"/>
      <c r="BK4" s="744"/>
      <c r="BL4" s="744"/>
      <c r="BM4" s="744"/>
      <c r="BN4" s="744"/>
      <c r="BO4" s="744"/>
      <c r="BP4" s="744"/>
      <c r="BQ4" s="744"/>
      <c r="BR4" s="744"/>
      <c r="BS4" s="744"/>
      <c r="BT4" s="744"/>
      <c r="BU4" s="744"/>
      <c r="BV4" s="744"/>
      <c r="BW4" s="744"/>
      <c r="BX4" s="744"/>
      <c r="BY4" s="744"/>
      <c r="BZ4" s="744"/>
      <c r="CA4" s="744"/>
      <c r="CB4" s="744"/>
      <c r="CC4" s="744"/>
      <c r="CD4" s="744"/>
      <c r="CE4" s="744"/>
      <c r="CF4" s="744"/>
      <c r="CG4" s="744"/>
      <c r="CH4" s="744"/>
      <c r="CI4" s="744"/>
      <c r="CJ4" s="744"/>
      <c r="CK4" s="744"/>
      <c r="CL4" s="744"/>
      <c r="CM4" s="744"/>
      <c r="CN4" s="744"/>
      <c r="CO4" s="744"/>
      <c r="CP4" s="744"/>
      <c r="CQ4" s="744"/>
      <c r="CR4" s="744"/>
      <c r="CS4" s="744"/>
      <c r="CT4" s="744"/>
      <c r="CU4" s="744"/>
      <c r="CV4" s="744"/>
      <c r="CW4" s="744"/>
      <c r="CX4" s="744"/>
      <c r="CY4" s="744"/>
      <c r="CZ4" s="744"/>
      <c r="DA4" s="744"/>
      <c r="DB4" s="744"/>
      <c r="DC4" s="744"/>
      <c r="DD4" s="744"/>
      <c r="DE4" s="744"/>
      <c r="DF4" s="744"/>
      <c r="DG4" s="744"/>
      <c r="DH4" s="744"/>
      <c r="DI4" s="744"/>
      <c r="DJ4" s="744"/>
      <c r="DK4" s="744"/>
      <c r="DL4" s="744"/>
      <c r="DM4" s="744"/>
      <c r="DN4" s="744"/>
      <c r="DO4" s="744"/>
      <c r="DP4" s="744"/>
      <c r="DQ4" s="744"/>
      <c r="DR4" s="744"/>
      <c r="DS4" s="744"/>
      <c r="DT4" s="744"/>
      <c r="DU4" s="744"/>
      <c r="DV4" s="744"/>
      <c r="DW4" s="744"/>
      <c r="DX4" s="744"/>
      <c r="DY4" s="744"/>
      <c r="DZ4" s="744"/>
      <c r="EA4" s="744"/>
      <c r="EB4" s="744"/>
      <c r="EC4" s="744"/>
      <c r="ED4" s="744"/>
      <c r="EE4" s="744"/>
      <c r="EF4" s="744"/>
      <c r="EG4" s="744"/>
      <c r="EH4" s="744"/>
      <c r="EI4" s="744"/>
      <c r="EJ4" s="744"/>
      <c r="EK4" s="744"/>
      <c r="EL4" s="744"/>
      <c r="EM4" s="744"/>
      <c r="EN4" s="744"/>
      <c r="EO4" s="744"/>
      <c r="EP4" s="744"/>
      <c r="EQ4" s="744"/>
      <c r="ER4" s="744"/>
      <c r="ES4" s="744"/>
      <c r="ET4" s="744"/>
      <c r="EU4" s="744"/>
      <c r="EV4" s="744"/>
      <c r="EW4" s="744"/>
      <c r="EX4" s="744"/>
      <c r="EY4" s="744"/>
      <c r="EZ4" s="744"/>
      <c r="FA4" s="744"/>
      <c r="FB4" s="744"/>
      <c r="FC4" s="744"/>
      <c r="FD4" s="744"/>
      <c r="FE4" s="744"/>
      <c r="FF4" s="744"/>
      <c r="FG4" s="744"/>
      <c r="FH4" s="744"/>
      <c r="FI4" s="744"/>
      <c r="FJ4" s="744"/>
      <c r="FK4" s="744"/>
      <c r="FL4" s="744"/>
      <c r="FM4" s="744"/>
      <c r="FN4" s="744"/>
      <c r="FO4" s="744"/>
      <c r="FP4" s="744"/>
      <c r="FQ4" s="744"/>
      <c r="FR4" s="744"/>
      <c r="FS4" s="744"/>
      <c r="FT4" s="744"/>
      <c r="FU4" s="744"/>
      <c r="FV4" s="744"/>
      <c r="FW4" s="744"/>
      <c r="FX4" s="744"/>
      <c r="FY4" s="744"/>
      <c r="FZ4" s="744"/>
      <c r="GA4" s="744"/>
      <c r="GB4" s="744"/>
      <c r="GC4" s="744"/>
      <c r="GD4" s="744"/>
      <c r="GE4" s="744"/>
      <c r="GF4" s="744"/>
      <c r="GG4" s="744"/>
      <c r="GH4" s="744"/>
      <c r="GI4" s="744"/>
      <c r="GJ4" s="744"/>
      <c r="GK4" s="744"/>
      <c r="GL4" s="744"/>
      <c r="GM4" s="744"/>
      <c r="GN4" s="744"/>
      <c r="GO4" s="744"/>
      <c r="GP4" s="744"/>
      <c r="GQ4" s="744"/>
      <c r="GR4" s="744"/>
      <c r="GS4" s="744"/>
      <c r="GT4" s="744"/>
      <c r="GU4" s="744"/>
      <c r="GV4" s="744"/>
      <c r="GW4" s="744"/>
      <c r="GX4" s="744"/>
      <c r="GY4" s="744"/>
      <c r="GZ4" s="744"/>
      <c r="HA4" s="744"/>
      <c r="HB4" s="744"/>
      <c r="HC4" s="744"/>
      <c r="HD4" s="744"/>
      <c r="HE4" s="744"/>
      <c r="HF4" s="744"/>
      <c r="HG4" s="744"/>
      <c r="HH4" s="744"/>
      <c r="HI4" s="744"/>
      <c r="HJ4" s="744"/>
      <c r="HK4" s="744"/>
      <c r="HL4" s="744"/>
      <c r="HM4" s="744"/>
      <c r="HN4" s="744"/>
      <c r="HO4" s="744"/>
      <c r="HP4" s="744"/>
      <c r="HQ4" s="744"/>
      <c r="HR4" s="744"/>
      <c r="HS4" s="744"/>
      <c r="HT4" s="744"/>
      <c r="HU4" s="744"/>
      <c r="HV4" s="744"/>
      <c r="HW4" s="744"/>
      <c r="HX4" s="744"/>
      <c r="HY4" s="744"/>
      <c r="HZ4" s="744"/>
      <c r="IA4" s="744"/>
      <c r="IB4" s="744"/>
      <c r="IC4" s="744"/>
      <c r="ID4" s="744"/>
      <c r="IE4" s="744"/>
      <c r="IF4" s="744"/>
      <c r="IG4" s="744"/>
      <c r="IH4" s="744"/>
      <c r="II4" s="744"/>
      <c r="IJ4" s="744"/>
      <c r="IK4" s="744"/>
      <c r="IL4" s="744"/>
      <c r="IM4" s="744"/>
      <c r="IN4" s="744"/>
      <c r="IO4" s="744"/>
      <c r="IP4" s="744"/>
      <c r="IQ4" s="744"/>
      <c r="IR4" s="744"/>
      <c r="IS4" s="744"/>
      <c r="IT4" s="744"/>
      <c r="IU4" s="744"/>
      <c r="IV4" s="744"/>
    </row>
    <row r="5" spans="2:3" ht="15">
      <c r="B5" s="736" t="s">
        <v>324</v>
      </c>
      <c r="C5" s="736"/>
    </row>
    <row r="6" spans="1:4" ht="15.75" customHeight="1">
      <c r="A6" s="167"/>
      <c r="B6" s="446">
        <f>_xlfn.IFERROR(IF(Indice!B6="","2XX2",YEAR(Indice!B6)),"2XX2")</f>
        <v>2021</v>
      </c>
      <c r="C6" s="446">
        <f>_xlfn.IFERROR(YEAR(Indice!B6-365),"2XX1")</f>
        <v>2020</v>
      </c>
      <c r="D6" s="167"/>
    </row>
    <row r="7" spans="1:4" ht="15" customHeight="1">
      <c r="A7" s="169" t="s">
        <v>122</v>
      </c>
      <c r="B7" s="12"/>
      <c r="C7" s="12"/>
      <c r="D7" s="12"/>
    </row>
    <row r="8" spans="1:256" ht="15" customHeight="1">
      <c r="A8" s="58" t="s">
        <v>125</v>
      </c>
      <c r="B8" s="58"/>
      <c r="C8" s="58"/>
      <c r="D8" s="58"/>
      <c r="E8" s="729"/>
      <c r="F8" s="729"/>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29"/>
      <c r="AS8" s="729"/>
      <c r="AT8" s="729"/>
      <c r="AU8" s="729"/>
      <c r="AV8" s="729"/>
      <c r="AW8" s="729"/>
      <c r="AX8" s="729"/>
      <c r="AY8" s="729"/>
      <c r="AZ8" s="729"/>
      <c r="BA8" s="729"/>
      <c r="BB8" s="729"/>
      <c r="BC8" s="729"/>
      <c r="BD8" s="729"/>
      <c r="BE8" s="729"/>
      <c r="BF8" s="729"/>
      <c r="BG8" s="729"/>
      <c r="BH8" s="729"/>
      <c r="BI8" s="729"/>
      <c r="BJ8" s="729"/>
      <c r="BK8" s="729"/>
      <c r="BL8" s="729"/>
      <c r="BM8" s="729"/>
      <c r="BN8" s="729"/>
      <c r="BO8" s="729"/>
      <c r="BP8" s="729"/>
      <c r="BQ8" s="729"/>
      <c r="BR8" s="729"/>
      <c r="BS8" s="729"/>
      <c r="BT8" s="729"/>
      <c r="BU8" s="729"/>
      <c r="BV8" s="729"/>
      <c r="BW8" s="729"/>
      <c r="BX8" s="729"/>
      <c r="BY8" s="729"/>
      <c r="BZ8" s="729"/>
      <c r="CA8" s="729"/>
      <c r="CB8" s="729"/>
      <c r="CC8" s="729"/>
      <c r="CD8" s="729"/>
      <c r="CE8" s="729"/>
      <c r="CF8" s="729"/>
      <c r="CG8" s="729"/>
      <c r="CH8" s="729"/>
      <c r="CI8" s="729"/>
      <c r="CJ8" s="729"/>
      <c r="CK8" s="729"/>
      <c r="CL8" s="729"/>
      <c r="CM8" s="729"/>
      <c r="CN8" s="729"/>
      <c r="CO8" s="729"/>
      <c r="CP8" s="729"/>
      <c r="CQ8" s="729"/>
      <c r="CR8" s="729"/>
      <c r="CS8" s="729"/>
      <c r="CT8" s="729"/>
      <c r="CU8" s="729"/>
      <c r="CV8" s="729"/>
      <c r="CW8" s="729"/>
      <c r="CX8" s="729"/>
      <c r="CY8" s="729"/>
      <c r="CZ8" s="729"/>
      <c r="DA8" s="729"/>
      <c r="DB8" s="729"/>
      <c r="DC8" s="729"/>
      <c r="DD8" s="729"/>
      <c r="DE8" s="729"/>
      <c r="DF8" s="729"/>
      <c r="DG8" s="729"/>
      <c r="DH8" s="729"/>
      <c r="DI8" s="729"/>
      <c r="DJ8" s="729"/>
      <c r="DK8" s="729"/>
      <c r="DL8" s="729"/>
      <c r="DM8" s="729"/>
      <c r="DN8" s="729"/>
      <c r="DO8" s="729"/>
      <c r="DP8" s="729"/>
      <c r="DQ8" s="729"/>
      <c r="DR8" s="729"/>
      <c r="DS8" s="729"/>
      <c r="DT8" s="729"/>
      <c r="DU8" s="729"/>
      <c r="DV8" s="729"/>
      <c r="DW8" s="729"/>
      <c r="DX8" s="729"/>
      <c r="DY8" s="729"/>
      <c r="DZ8" s="729"/>
      <c r="EA8" s="729"/>
      <c r="EB8" s="729"/>
      <c r="EC8" s="729"/>
      <c r="ED8" s="729"/>
      <c r="EE8" s="729"/>
      <c r="EF8" s="729"/>
      <c r="EG8" s="729"/>
      <c r="EH8" s="729"/>
      <c r="EI8" s="729"/>
      <c r="EJ8" s="729"/>
      <c r="EK8" s="729"/>
      <c r="EL8" s="729"/>
      <c r="EM8" s="729"/>
      <c r="EN8" s="729"/>
      <c r="EO8" s="729"/>
      <c r="EP8" s="729"/>
      <c r="EQ8" s="729"/>
      <c r="ER8" s="729"/>
      <c r="ES8" s="729"/>
      <c r="ET8" s="729"/>
      <c r="EU8" s="729"/>
      <c r="EV8" s="729"/>
      <c r="EW8" s="729"/>
      <c r="EX8" s="729"/>
      <c r="EY8" s="729"/>
      <c r="EZ8" s="729"/>
      <c r="FA8" s="729"/>
      <c r="FB8" s="729"/>
      <c r="FC8" s="729"/>
      <c r="FD8" s="729"/>
      <c r="FE8" s="729"/>
      <c r="FF8" s="729"/>
      <c r="FG8" s="729"/>
      <c r="FH8" s="729"/>
      <c r="FI8" s="729"/>
      <c r="FJ8" s="729"/>
      <c r="FK8" s="729"/>
      <c r="FL8" s="729"/>
      <c r="FM8" s="729"/>
      <c r="FN8" s="729"/>
      <c r="FO8" s="729"/>
      <c r="FP8" s="729"/>
      <c r="FQ8" s="729"/>
      <c r="FR8" s="729"/>
      <c r="FS8" s="729"/>
      <c r="FT8" s="729"/>
      <c r="FU8" s="729"/>
      <c r="FV8" s="729"/>
      <c r="FW8" s="729"/>
      <c r="FX8" s="729"/>
      <c r="FY8" s="729"/>
      <c r="FZ8" s="729"/>
      <c r="GA8" s="729"/>
      <c r="GB8" s="729"/>
      <c r="GC8" s="729"/>
      <c r="GD8" s="729"/>
      <c r="GE8" s="729"/>
      <c r="GF8" s="729"/>
      <c r="GG8" s="729"/>
      <c r="GH8" s="729"/>
      <c r="GI8" s="729"/>
      <c r="GJ8" s="729"/>
      <c r="GK8" s="729"/>
      <c r="GL8" s="729"/>
      <c r="GM8" s="729"/>
      <c r="GN8" s="729"/>
      <c r="GO8" s="729"/>
      <c r="GP8" s="729"/>
      <c r="GQ8" s="729"/>
      <c r="GR8" s="729"/>
      <c r="GS8" s="729"/>
      <c r="GT8" s="729"/>
      <c r="GU8" s="729"/>
      <c r="GV8" s="729"/>
      <c r="GW8" s="729"/>
      <c r="GX8" s="729"/>
      <c r="GY8" s="729"/>
      <c r="GZ8" s="729"/>
      <c r="HA8" s="729"/>
      <c r="HB8" s="729"/>
      <c r="HC8" s="729"/>
      <c r="HD8" s="729"/>
      <c r="HE8" s="729"/>
      <c r="HF8" s="729"/>
      <c r="HG8" s="729"/>
      <c r="HH8" s="729"/>
      <c r="HI8" s="729"/>
      <c r="HJ8" s="729"/>
      <c r="HK8" s="729"/>
      <c r="HL8" s="729"/>
      <c r="HM8" s="729"/>
      <c r="HN8" s="729"/>
      <c r="HO8" s="729"/>
      <c r="HP8" s="729"/>
      <c r="HQ8" s="729"/>
      <c r="HR8" s="729"/>
      <c r="HS8" s="729"/>
      <c r="HT8" s="729"/>
      <c r="HU8" s="729"/>
      <c r="HV8" s="729"/>
      <c r="HW8" s="729"/>
      <c r="HX8" s="729"/>
      <c r="HY8" s="729"/>
      <c r="HZ8" s="729"/>
      <c r="IA8" s="729"/>
      <c r="IB8" s="729"/>
      <c r="IC8" s="729"/>
      <c r="ID8" s="729"/>
      <c r="IE8" s="729"/>
      <c r="IF8" s="729"/>
      <c r="IG8" s="729"/>
      <c r="IH8" s="729"/>
      <c r="II8" s="729"/>
      <c r="IJ8" s="729"/>
      <c r="IK8" s="729"/>
      <c r="IL8" s="729"/>
      <c r="IM8" s="729"/>
      <c r="IN8" s="729"/>
      <c r="IO8" s="729"/>
      <c r="IP8" s="729"/>
      <c r="IQ8" s="729"/>
      <c r="IR8" s="729"/>
      <c r="IS8" s="729"/>
      <c r="IT8" s="729"/>
      <c r="IU8" s="729"/>
      <c r="IV8" s="729"/>
    </row>
    <row r="9" spans="1:256" ht="15" customHeight="1">
      <c r="A9" s="170" t="s">
        <v>3</v>
      </c>
      <c r="B9" s="300">
        <f>B8</f>
        <v>0</v>
      </c>
      <c r="C9" s="300">
        <f>C8</f>
        <v>0</v>
      </c>
      <c r="D9" s="58"/>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c r="IR9" s="166"/>
      <c r="IS9" s="166"/>
      <c r="IT9" s="166"/>
      <c r="IU9" s="166"/>
      <c r="IV9" s="166"/>
    </row>
    <row r="10" spans="1:256" ht="15" customHeight="1">
      <c r="A10" s="58"/>
      <c r="B10" s="58"/>
      <c r="C10" s="58"/>
      <c r="D10" s="58"/>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29"/>
      <c r="AY10" s="729"/>
      <c r="AZ10" s="729"/>
      <c r="BA10" s="729"/>
      <c r="BB10" s="729"/>
      <c r="BC10" s="729"/>
      <c r="BD10" s="729"/>
      <c r="BE10" s="729"/>
      <c r="BF10" s="729"/>
      <c r="BG10" s="729"/>
      <c r="BH10" s="729"/>
      <c r="BI10" s="729"/>
      <c r="BJ10" s="729"/>
      <c r="BK10" s="729"/>
      <c r="BL10" s="729"/>
      <c r="BM10" s="729"/>
      <c r="BN10" s="729"/>
      <c r="BO10" s="729"/>
      <c r="BP10" s="729"/>
      <c r="BQ10" s="729"/>
      <c r="BR10" s="729"/>
      <c r="BS10" s="729"/>
      <c r="BT10" s="729"/>
      <c r="BU10" s="729"/>
      <c r="BV10" s="729"/>
      <c r="BW10" s="729"/>
      <c r="BX10" s="729"/>
      <c r="BY10" s="729"/>
      <c r="BZ10" s="729"/>
      <c r="CA10" s="729"/>
      <c r="CB10" s="729"/>
      <c r="CC10" s="729"/>
      <c r="CD10" s="729"/>
      <c r="CE10" s="729"/>
      <c r="CF10" s="729"/>
      <c r="CG10" s="729"/>
      <c r="CH10" s="729"/>
      <c r="CI10" s="729"/>
      <c r="CJ10" s="729"/>
      <c r="CK10" s="729"/>
      <c r="CL10" s="729"/>
      <c r="CM10" s="729"/>
      <c r="CN10" s="729"/>
      <c r="CO10" s="729"/>
      <c r="CP10" s="729"/>
      <c r="CQ10" s="729"/>
      <c r="CR10" s="729"/>
      <c r="CS10" s="729"/>
      <c r="CT10" s="729"/>
      <c r="CU10" s="729"/>
      <c r="CV10" s="729"/>
      <c r="CW10" s="729"/>
      <c r="CX10" s="729"/>
      <c r="CY10" s="729"/>
      <c r="CZ10" s="729"/>
      <c r="DA10" s="729"/>
      <c r="DB10" s="729"/>
      <c r="DC10" s="729"/>
      <c r="DD10" s="729"/>
      <c r="DE10" s="729"/>
      <c r="DF10" s="729"/>
      <c r="DG10" s="729"/>
      <c r="DH10" s="729"/>
      <c r="DI10" s="729"/>
      <c r="DJ10" s="729"/>
      <c r="DK10" s="729"/>
      <c r="DL10" s="729"/>
      <c r="DM10" s="729"/>
      <c r="DN10" s="729"/>
      <c r="DO10" s="729"/>
      <c r="DP10" s="729"/>
      <c r="DQ10" s="729"/>
      <c r="DR10" s="729"/>
      <c r="DS10" s="729"/>
      <c r="DT10" s="729"/>
      <c r="DU10" s="729"/>
      <c r="DV10" s="729"/>
      <c r="DW10" s="729"/>
      <c r="DX10" s="729"/>
      <c r="DY10" s="729"/>
      <c r="DZ10" s="729"/>
      <c r="EA10" s="729"/>
      <c r="EB10" s="729"/>
      <c r="EC10" s="729"/>
      <c r="ED10" s="729"/>
      <c r="EE10" s="729"/>
      <c r="EF10" s="729"/>
      <c r="EG10" s="729"/>
      <c r="EH10" s="729"/>
      <c r="EI10" s="729"/>
      <c r="EJ10" s="729"/>
      <c r="EK10" s="729"/>
      <c r="EL10" s="729"/>
      <c r="EM10" s="729"/>
      <c r="EN10" s="729"/>
      <c r="EO10" s="729"/>
      <c r="EP10" s="729"/>
      <c r="EQ10" s="729"/>
      <c r="ER10" s="729"/>
      <c r="ES10" s="729"/>
      <c r="ET10" s="729"/>
      <c r="EU10" s="729"/>
      <c r="EV10" s="729"/>
      <c r="EW10" s="729"/>
      <c r="EX10" s="729"/>
      <c r="EY10" s="729"/>
      <c r="EZ10" s="729"/>
      <c r="FA10" s="729"/>
      <c r="FB10" s="729"/>
      <c r="FC10" s="729"/>
      <c r="FD10" s="729"/>
      <c r="FE10" s="729"/>
      <c r="FF10" s="729"/>
      <c r="FG10" s="729"/>
      <c r="FH10" s="729"/>
      <c r="FI10" s="729"/>
      <c r="FJ10" s="729"/>
      <c r="FK10" s="729"/>
      <c r="FL10" s="729"/>
      <c r="FM10" s="729"/>
      <c r="FN10" s="729"/>
      <c r="FO10" s="729"/>
      <c r="FP10" s="729"/>
      <c r="FQ10" s="729"/>
      <c r="FR10" s="729"/>
      <c r="FS10" s="729"/>
      <c r="FT10" s="729"/>
      <c r="FU10" s="729"/>
      <c r="FV10" s="729"/>
      <c r="FW10" s="729"/>
      <c r="FX10" s="729"/>
      <c r="FY10" s="729"/>
      <c r="FZ10" s="729"/>
      <c r="GA10" s="729"/>
      <c r="GB10" s="729"/>
      <c r="GC10" s="729"/>
      <c r="GD10" s="729"/>
      <c r="GE10" s="729"/>
      <c r="GF10" s="729"/>
      <c r="GG10" s="729"/>
      <c r="GH10" s="729"/>
      <c r="GI10" s="729"/>
      <c r="GJ10" s="729"/>
      <c r="GK10" s="729"/>
      <c r="GL10" s="729"/>
      <c r="GM10" s="729"/>
      <c r="GN10" s="729"/>
      <c r="GO10" s="729"/>
      <c r="GP10" s="729"/>
      <c r="GQ10" s="729"/>
      <c r="GR10" s="729"/>
      <c r="GS10" s="729"/>
      <c r="GT10" s="729"/>
      <c r="GU10" s="729"/>
      <c r="GV10" s="729"/>
      <c r="GW10" s="729"/>
      <c r="GX10" s="729"/>
      <c r="GY10" s="729"/>
      <c r="GZ10" s="729"/>
      <c r="HA10" s="729"/>
      <c r="HB10" s="729"/>
      <c r="HC10" s="729"/>
      <c r="HD10" s="729"/>
      <c r="HE10" s="729"/>
      <c r="HF10" s="729"/>
      <c r="HG10" s="729"/>
      <c r="HH10" s="729"/>
      <c r="HI10" s="729"/>
      <c r="HJ10" s="729"/>
      <c r="HK10" s="729"/>
      <c r="HL10" s="729"/>
      <c r="HM10" s="729"/>
      <c r="HN10" s="729"/>
      <c r="HO10" s="729"/>
      <c r="HP10" s="729"/>
      <c r="HQ10" s="729"/>
      <c r="HR10" s="729"/>
      <c r="HS10" s="729"/>
      <c r="HT10" s="729"/>
      <c r="HU10" s="729"/>
      <c r="HV10" s="729"/>
      <c r="HW10" s="729"/>
      <c r="HX10" s="729"/>
      <c r="HY10" s="729"/>
      <c r="HZ10" s="729"/>
      <c r="IA10" s="729"/>
      <c r="IB10" s="729"/>
      <c r="IC10" s="729"/>
      <c r="ID10" s="729"/>
      <c r="IE10" s="729"/>
      <c r="IF10" s="729"/>
      <c r="IG10" s="729"/>
      <c r="IH10" s="729"/>
      <c r="II10" s="729"/>
      <c r="IJ10" s="729"/>
      <c r="IK10" s="729"/>
      <c r="IL10" s="729"/>
      <c r="IM10" s="729"/>
      <c r="IN10" s="729"/>
      <c r="IO10" s="729"/>
      <c r="IP10" s="729"/>
      <c r="IQ10" s="729"/>
      <c r="IR10" s="729"/>
      <c r="IS10" s="729"/>
      <c r="IT10" s="729"/>
      <c r="IU10" s="729"/>
      <c r="IV10" s="729"/>
    </row>
    <row r="11" spans="1:256" ht="15" customHeight="1">
      <c r="A11" s="170" t="s">
        <v>123</v>
      </c>
      <c r="B11" s="58"/>
      <c r="C11" s="58"/>
      <c r="D11" s="58"/>
      <c r="E11" s="729"/>
      <c r="F11" s="729"/>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29"/>
      <c r="AY11" s="729"/>
      <c r="AZ11" s="729"/>
      <c r="BA11" s="729"/>
      <c r="BB11" s="729"/>
      <c r="BC11" s="729"/>
      <c r="BD11" s="729"/>
      <c r="BE11" s="729"/>
      <c r="BF11" s="729"/>
      <c r="BG11" s="729"/>
      <c r="BH11" s="729"/>
      <c r="BI11" s="729"/>
      <c r="BJ11" s="729"/>
      <c r="BK11" s="729"/>
      <c r="BL11" s="729"/>
      <c r="BM11" s="729"/>
      <c r="BN11" s="729"/>
      <c r="BO11" s="729"/>
      <c r="BP11" s="729"/>
      <c r="BQ11" s="729"/>
      <c r="BR11" s="729"/>
      <c r="BS11" s="729"/>
      <c r="BT11" s="729"/>
      <c r="BU11" s="729"/>
      <c r="BV11" s="729"/>
      <c r="BW11" s="729"/>
      <c r="BX11" s="729"/>
      <c r="BY11" s="729"/>
      <c r="BZ11" s="729"/>
      <c r="CA11" s="729"/>
      <c r="CB11" s="729"/>
      <c r="CC11" s="729"/>
      <c r="CD11" s="729"/>
      <c r="CE11" s="729"/>
      <c r="CF11" s="729"/>
      <c r="CG11" s="729"/>
      <c r="CH11" s="729"/>
      <c r="CI11" s="729"/>
      <c r="CJ11" s="729"/>
      <c r="CK11" s="729"/>
      <c r="CL11" s="729"/>
      <c r="CM11" s="729"/>
      <c r="CN11" s="729"/>
      <c r="CO11" s="729"/>
      <c r="CP11" s="729"/>
      <c r="CQ11" s="729"/>
      <c r="CR11" s="729"/>
      <c r="CS11" s="729"/>
      <c r="CT11" s="729"/>
      <c r="CU11" s="729"/>
      <c r="CV11" s="729"/>
      <c r="CW11" s="729"/>
      <c r="CX11" s="729"/>
      <c r="CY11" s="729"/>
      <c r="CZ11" s="729"/>
      <c r="DA11" s="729"/>
      <c r="DB11" s="729"/>
      <c r="DC11" s="729"/>
      <c r="DD11" s="729"/>
      <c r="DE11" s="729"/>
      <c r="DF11" s="729"/>
      <c r="DG11" s="729"/>
      <c r="DH11" s="729"/>
      <c r="DI11" s="729"/>
      <c r="DJ11" s="729"/>
      <c r="DK11" s="729"/>
      <c r="DL11" s="729"/>
      <c r="DM11" s="729"/>
      <c r="DN11" s="729"/>
      <c r="DO11" s="729"/>
      <c r="DP11" s="729"/>
      <c r="DQ11" s="729"/>
      <c r="DR11" s="729"/>
      <c r="DS11" s="729"/>
      <c r="DT11" s="729"/>
      <c r="DU11" s="729"/>
      <c r="DV11" s="729"/>
      <c r="DW11" s="729"/>
      <c r="DX11" s="729"/>
      <c r="DY11" s="729"/>
      <c r="DZ11" s="729"/>
      <c r="EA11" s="729"/>
      <c r="EB11" s="729"/>
      <c r="EC11" s="729"/>
      <c r="ED11" s="729"/>
      <c r="EE11" s="729"/>
      <c r="EF11" s="729"/>
      <c r="EG11" s="729"/>
      <c r="EH11" s="729"/>
      <c r="EI11" s="729"/>
      <c r="EJ11" s="729"/>
      <c r="EK11" s="729"/>
      <c r="EL11" s="729"/>
      <c r="EM11" s="729"/>
      <c r="EN11" s="729"/>
      <c r="EO11" s="729"/>
      <c r="EP11" s="729"/>
      <c r="EQ11" s="729"/>
      <c r="ER11" s="729"/>
      <c r="ES11" s="729"/>
      <c r="ET11" s="729"/>
      <c r="EU11" s="729"/>
      <c r="EV11" s="729"/>
      <c r="EW11" s="729"/>
      <c r="EX11" s="729"/>
      <c r="EY11" s="729"/>
      <c r="EZ11" s="729"/>
      <c r="FA11" s="729"/>
      <c r="FB11" s="729"/>
      <c r="FC11" s="729"/>
      <c r="FD11" s="729"/>
      <c r="FE11" s="729"/>
      <c r="FF11" s="729"/>
      <c r="FG11" s="729"/>
      <c r="FH11" s="729"/>
      <c r="FI11" s="729"/>
      <c r="FJ11" s="729"/>
      <c r="FK11" s="729"/>
      <c r="FL11" s="729"/>
      <c r="FM11" s="729"/>
      <c r="FN11" s="729"/>
      <c r="FO11" s="729"/>
      <c r="FP11" s="729"/>
      <c r="FQ11" s="729"/>
      <c r="FR11" s="729"/>
      <c r="FS11" s="729"/>
      <c r="FT11" s="729"/>
      <c r="FU11" s="729"/>
      <c r="FV11" s="729"/>
      <c r="FW11" s="729"/>
      <c r="FX11" s="729"/>
      <c r="FY11" s="729"/>
      <c r="FZ11" s="729"/>
      <c r="GA11" s="729"/>
      <c r="GB11" s="729"/>
      <c r="GC11" s="729"/>
      <c r="GD11" s="729"/>
      <c r="GE11" s="729"/>
      <c r="GF11" s="729"/>
      <c r="GG11" s="729"/>
      <c r="GH11" s="729"/>
      <c r="GI11" s="729"/>
      <c r="GJ11" s="729"/>
      <c r="GK11" s="729"/>
      <c r="GL11" s="729"/>
      <c r="GM11" s="729"/>
      <c r="GN11" s="729"/>
      <c r="GO11" s="729"/>
      <c r="GP11" s="729"/>
      <c r="GQ11" s="729"/>
      <c r="GR11" s="729"/>
      <c r="GS11" s="729"/>
      <c r="GT11" s="729"/>
      <c r="GU11" s="729"/>
      <c r="GV11" s="729"/>
      <c r="GW11" s="729"/>
      <c r="GX11" s="729"/>
      <c r="GY11" s="729"/>
      <c r="GZ11" s="729"/>
      <c r="HA11" s="729"/>
      <c r="HB11" s="729"/>
      <c r="HC11" s="729"/>
      <c r="HD11" s="729"/>
      <c r="HE11" s="729"/>
      <c r="HF11" s="729"/>
      <c r="HG11" s="729"/>
      <c r="HH11" s="729"/>
      <c r="HI11" s="729"/>
      <c r="HJ11" s="729"/>
      <c r="HK11" s="729"/>
      <c r="HL11" s="729"/>
      <c r="HM11" s="729"/>
      <c r="HN11" s="729"/>
      <c r="HO11" s="729"/>
      <c r="HP11" s="729"/>
      <c r="HQ11" s="729"/>
      <c r="HR11" s="729"/>
      <c r="HS11" s="729"/>
      <c r="HT11" s="729"/>
      <c r="HU11" s="729"/>
      <c r="HV11" s="729"/>
      <c r="HW11" s="729"/>
      <c r="HX11" s="729"/>
      <c r="HY11" s="729"/>
      <c r="HZ11" s="729"/>
      <c r="IA11" s="729"/>
      <c r="IB11" s="729"/>
      <c r="IC11" s="729"/>
      <c r="ID11" s="729"/>
      <c r="IE11" s="729"/>
      <c r="IF11" s="729"/>
      <c r="IG11" s="729"/>
      <c r="IH11" s="729"/>
      <c r="II11" s="729"/>
      <c r="IJ11" s="729"/>
      <c r="IK11" s="729"/>
      <c r="IL11" s="729"/>
      <c r="IM11" s="729"/>
      <c r="IN11" s="729"/>
      <c r="IO11" s="729"/>
      <c r="IP11" s="729"/>
      <c r="IQ11" s="729"/>
      <c r="IR11" s="729"/>
      <c r="IS11" s="729"/>
      <c r="IT11" s="729"/>
      <c r="IU11" s="729"/>
      <c r="IV11" s="729"/>
    </row>
    <row r="12" spans="1:256" ht="15" customHeight="1">
      <c r="A12" s="58" t="s">
        <v>126</v>
      </c>
      <c r="B12" s="58"/>
      <c r="C12" s="58"/>
      <c r="D12" s="58"/>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29"/>
      <c r="AM12" s="729"/>
      <c r="AN12" s="729"/>
      <c r="AO12" s="729"/>
      <c r="AP12" s="729"/>
      <c r="AQ12" s="729"/>
      <c r="AR12" s="729"/>
      <c r="AS12" s="729"/>
      <c r="AT12" s="729"/>
      <c r="AU12" s="729"/>
      <c r="AV12" s="729"/>
      <c r="AW12" s="729"/>
      <c r="AX12" s="729"/>
      <c r="AY12" s="729"/>
      <c r="AZ12" s="729"/>
      <c r="BA12" s="729"/>
      <c r="BB12" s="729"/>
      <c r="BC12" s="729"/>
      <c r="BD12" s="729"/>
      <c r="BE12" s="729"/>
      <c r="BF12" s="729"/>
      <c r="BG12" s="729"/>
      <c r="BH12" s="729"/>
      <c r="BI12" s="729"/>
      <c r="BJ12" s="729"/>
      <c r="BK12" s="729"/>
      <c r="BL12" s="729"/>
      <c r="BM12" s="729"/>
      <c r="BN12" s="729"/>
      <c r="BO12" s="729"/>
      <c r="BP12" s="729"/>
      <c r="BQ12" s="729"/>
      <c r="BR12" s="729"/>
      <c r="BS12" s="729"/>
      <c r="BT12" s="729"/>
      <c r="BU12" s="729"/>
      <c r="BV12" s="729"/>
      <c r="BW12" s="729"/>
      <c r="BX12" s="729"/>
      <c r="BY12" s="729"/>
      <c r="BZ12" s="729"/>
      <c r="CA12" s="729"/>
      <c r="CB12" s="729"/>
      <c r="CC12" s="729"/>
      <c r="CD12" s="729"/>
      <c r="CE12" s="729"/>
      <c r="CF12" s="729"/>
      <c r="CG12" s="729"/>
      <c r="CH12" s="729"/>
      <c r="CI12" s="729"/>
      <c r="CJ12" s="729"/>
      <c r="CK12" s="729"/>
      <c r="CL12" s="729"/>
      <c r="CM12" s="729"/>
      <c r="CN12" s="729"/>
      <c r="CO12" s="729"/>
      <c r="CP12" s="729"/>
      <c r="CQ12" s="729"/>
      <c r="CR12" s="729"/>
      <c r="CS12" s="729"/>
      <c r="CT12" s="729"/>
      <c r="CU12" s="729"/>
      <c r="CV12" s="729"/>
      <c r="CW12" s="729"/>
      <c r="CX12" s="729"/>
      <c r="CY12" s="729"/>
      <c r="CZ12" s="729"/>
      <c r="DA12" s="729"/>
      <c r="DB12" s="729"/>
      <c r="DC12" s="729"/>
      <c r="DD12" s="729"/>
      <c r="DE12" s="729"/>
      <c r="DF12" s="729"/>
      <c r="DG12" s="729"/>
      <c r="DH12" s="729"/>
      <c r="DI12" s="729"/>
      <c r="DJ12" s="729"/>
      <c r="DK12" s="729"/>
      <c r="DL12" s="729"/>
      <c r="DM12" s="729"/>
      <c r="DN12" s="729"/>
      <c r="DO12" s="729"/>
      <c r="DP12" s="729"/>
      <c r="DQ12" s="729"/>
      <c r="DR12" s="729"/>
      <c r="DS12" s="729"/>
      <c r="DT12" s="729"/>
      <c r="DU12" s="729"/>
      <c r="DV12" s="729"/>
      <c r="DW12" s="729"/>
      <c r="DX12" s="729"/>
      <c r="DY12" s="729"/>
      <c r="DZ12" s="729"/>
      <c r="EA12" s="729"/>
      <c r="EB12" s="729"/>
      <c r="EC12" s="729"/>
      <c r="ED12" s="729"/>
      <c r="EE12" s="729"/>
      <c r="EF12" s="729"/>
      <c r="EG12" s="729"/>
      <c r="EH12" s="729"/>
      <c r="EI12" s="729"/>
      <c r="EJ12" s="729"/>
      <c r="EK12" s="729"/>
      <c r="EL12" s="729"/>
      <c r="EM12" s="729"/>
      <c r="EN12" s="729"/>
      <c r="EO12" s="729"/>
      <c r="EP12" s="729"/>
      <c r="EQ12" s="729"/>
      <c r="ER12" s="729"/>
      <c r="ES12" s="729"/>
      <c r="ET12" s="729"/>
      <c r="EU12" s="729"/>
      <c r="EV12" s="729"/>
      <c r="EW12" s="729"/>
      <c r="EX12" s="729"/>
      <c r="EY12" s="729"/>
      <c r="EZ12" s="729"/>
      <c r="FA12" s="729"/>
      <c r="FB12" s="729"/>
      <c r="FC12" s="729"/>
      <c r="FD12" s="729"/>
      <c r="FE12" s="729"/>
      <c r="FF12" s="729"/>
      <c r="FG12" s="729"/>
      <c r="FH12" s="729"/>
      <c r="FI12" s="729"/>
      <c r="FJ12" s="729"/>
      <c r="FK12" s="729"/>
      <c r="FL12" s="729"/>
      <c r="FM12" s="729"/>
      <c r="FN12" s="729"/>
      <c r="FO12" s="729"/>
      <c r="FP12" s="729"/>
      <c r="FQ12" s="729"/>
      <c r="FR12" s="729"/>
      <c r="FS12" s="729"/>
      <c r="FT12" s="729"/>
      <c r="FU12" s="729"/>
      <c r="FV12" s="729"/>
      <c r="FW12" s="729"/>
      <c r="FX12" s="729"/>
      <c r="FY12" s="729"/>
      <c r="FZ12" s="729"/>
      <c r="GA12" s="729"/>
      <c r="GB12" s="729"/>
      <c r="GC12" s="729"/>
      <c r="GD12" s="729"/>
      <c r="GE12" s="729"/>
      <c r="GF12" s="729"/>
      <c r="GG12" s="729"/>
      <c r="GH12" s="729"/>
      <c r="GI12" s="729"/>
      <c r="GJ12" s="729"/>
      <c r="GK12" s="729"/>
      <c r="GL12" s="729"/>
      <c r="GM12" s="729"/>
      <c r="GN12" s="729"/>
      <c r="GO12" s="729"/>
      <c r="GP12" s="729"/>
      <c r="GQ12" s="729"/>
      <c r="GR12" s="729"/>
      <c r="GS12" s="729"/>
      <c r="GT12" s="729"/>
      <c r="GU12" s="729"/>
      <c r="GV12" s="729"/>
      <c r="GW12" s="729"/>
      <c r="GX12" s="729"/>
      <c r="GY12" s="729"/>
      <c r="GZ12" s="729"/>
      <c r="HA12" s="729"/>
      <c r="HB12" s="729"/>
      <c r="HC12" s="729"/>
      <c r="HD12" s="729"/>
      <c r="HE12" s="729"/>
      <c r="HF12" s="729"/>
      <c r="HG12" s="729"/>
      <c r="HH12" s="729"/>
      <c r="HI12" s="729"/>
      <c r="HJ12" s="729"/>
      <c r="HK12" s="729"/>
      <c r="HL12" s="729"/>
      <c r="HM12" s="729"/>
      <c r="HN12" s="729"/>
      <c r="HO12" s="729"/>
      <c r="HP12" s="729"/>
      <c r="HQ12" s="729"/>
      <c r="HR12" s="729"/>
      <c r="HS12" s="729"/>
      <c r="HT12" s="729"/>
      <c r="HU12" s="729"/>
      <c r="HV12" s="729"/>
      <c r="HW12" s="729"/>
      <c r="HX12" s="729"/>
      <c r="HY12" s="729"/>
      <c r="HZ12" s="729"/>
      <c r="IA12" s="729"/>
      <c r="IB12" s="729"/>
      <c r="IC12" s="729"/>
      <c r="ID12" s="729"/>
      <c r="IE12" s="729"/>
      <c r="IF12" s="729"/>
      <c r="IG12" s="729"/>
      <c r="IH12" s="729"/>
      <c r="II12" s="729"/>
      <c r="IJ12" s="729"/>
      <c r="IK12" s="729"/>
      <c r="IL12" s="729"/>
      <c r="IM12" s="729"/>
      <c r="IN12" s="729"/>
      <c r="IO12" s="729"/>
      <c r="IP12" s="729"/>
      <c r="IQ12" s="729"/>
      <c r="IR12" s="729"/>
      <c r="IS12" s="729"/>
      <c r="IT12" s="729"/>
      <c r="IU12" s="729"/>
      <c r="IV12" s="729"/>
    </row>
    <row r="13" spans="1:256" ht="15" customHeight="1">
      <c r="A13" s="170" t="s">
        <v>3</v>
      </c>
      <c r="B13" s="300">
        <f>B12</f>
        <v>0</v>
      </c>
      <c r="C13" s="300">
        <f>C12</f>
        <v>0</v>
      </c>
      <c r="D13" s="58"/>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c r="IR13" s="166"/>
      <c r="IS13" s="166"/>
      <c r="IT13" s="166"/>
      <c r="IU13" s="166"/>
      <c r="IV13" s="166"/>
    </row>
    <row r="14" ht="15" customHeight="1"/>
    <row r="15" ht="15" customHeight="1">
      <c r="A15" s="128" t="s">
        <v>124</v>
      </c>
    </row>
    <row r="16" spans="1:4" s="67" customFormat="1" ht="15" customHeight="1">
      <c r="A16" s="168" t="s">
        <v>127</v>
      </c>
      <c r="B16" s="168"/>
      <c r="C16" s="168"/>
      <c r="D16" s="168"/>
    </row>
    <row r="17" spans="1:3" ht="15" customHeight="1">
      <c r="A17" s="170" t="s">
        <v>3</v>
      </c>
      <c r="B17" s="301">
        <f>B16</f>
        <v>0</v>
      </c>
      <c r="C17" s="301">
        <f>C16</f>
        <v>0</v>
      </c>
    </row>
    <row r="18" ht="15" customHeight="1"/>
    <row r="19" spans="1:3" ht="15" customHeight="1">
      <c r="A19" s="128" t="s">
        <v>128</v>
      </c>
      <c r="B19" s="301">
        <f>B9+B13+B17</f>
        <v>0</v>
      </c>
      <c r="C19" s="301">
        <f>C9+C13+C17</f>
        <v>0</v>
      </c>
    </row>
    <row r="20" ht="15" customHeight="1"/>
    <row r="21" ht="15" customHeight="1"/>
  </sheetData>
  <sheetProtection/>
  <mergeCells count="211">
    <mergeCell ref="BS4:BX4"/>
    <mergeCell ref="BY4:CD4"/>
    <mergeCell ref="CE4:CJ4"/>
    <mergeCell ref="CK4:CP4"/>
    <mergeCell ref="CQ4:CV4"/>
    <mergeCell ref="CW4:DB4"/>
    <mergeCell ref="AI4:AN4"/>
    <mergeCell ref="AO4:AT4"/>
    <mergeCell ref="AU4:AZ4"/>
    <mergeCell ref="BA4:BF4"/>
    <mergeCell ref="BG4:BL4"/>
    <mergeCell ref="BM4:BR4"/>
    <mergeCell ref="E4:J4"/>
    <mergeCell ref="K4:P4"/>
    <mergeCell ref="Q4:V4"/>
    <mergeCell ref="W4:AB4"/>
    <mergeCell ref="AC4:AH4"/>
    <mergeCell ref="IQ4:IV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 ref="AU8:AZ8"/>
    <mergeCell ref="BA8:BF8"/>
    <mergeCell ref="BG8:BL8"/>
    <mergeCell ref="BM8:BR8"/>
    <mergeCell ref="BS8:BX8"/>
    <mergeCell ref="BY8:CD8"/>
    <mergeCell ref="E8:J8"/>
    <mergeCell ref="K8:P8"/>
    <mergeCell ref="Q8:V8"/>
    <mergeCell ref="W8:AB8"/>
    <mergeCell ref="AC8:AH8"/>
    <mergeCell ref="AI8:AN8"/>
    <mergeCell ref="AO8:AT8"/>
    <mergeCell ref="HS8:HX8"/>
    <mergeCell ref="HY8:ID8"/>
    <mergeCell ref="IE8:IJ8"/>
    <mergeCell ref="IK8:IP8"/>
    <mergeCell ref="IQ8:IV8"/>
    <mergeCell ref="GI8:GN8"/>
    <mergeCell ref="GO8:GT8"/>
    <mergeCell ref="GU8:GZ8"/>
    <mergeCell ref="HA8:HF8"/>
    <mergeCell ref="HG8:HL8"/>
    <mergeCell ref="HM8:HR8"/>
    <mergeCell ref="EY8:FD8"/>
    <mergeCell ref="FE8:FJ8"/>
    <mergeCell ref="FK8:FP8"/>
    <mergeCell ref="FQ8:FV8"/>
    <mergeCell ref="FW8:GB8"/>
    <mergeCell ref="GC8:GH8"/>
    <mergeCell ref="DO8:DT8"/>
    <mergeCell ref="DU8:DZ8"/>
    <mergeCell ref="EA8:EF8"/>
    <mergeCell ref="EG8:EL8"/>
    <mergeCell ref="EM8:ER8"/>
    <mergeCell ref="ES8:EX8"/>
    <mergeCell ref="CE8:CJ8"/>
    <mergeCell ref="CK8:CP8"/>
    <mergeCell ref="CQ8:CV8"/>
    <mergeCell ref="CW8:DB8"/>
    <mergeCell ref="DC8:DH8"/>
    <mergeCell ref="DI8:DN8"/>
    <mergeCell ref="AC10:AH10"/>
    <mergeCell ref="AI10:AN10"/>
    <mergeCell ref="AO10:AT10"/>
    <mergeCell ref="AU10:AZ10"/>
    <mergeCell ref="BA10:BF10"/>
    <mergeCell ref="BG10:BL10"/>
    <mergeCell ref="E10:J10"/>
    <mergeCell ref="K10:P10"/>
    <mergeCell ref="Q10:V10"/>
    <mergeCell ref="W10:AB10"/>
    <mergeCell ref="IK10:IP10"/>
    <mergeCell ref="IQ10:IV10"/>
    <mergeCell ref="HA10:HF10"/>
    <mergeCell ref="HG10:HL10"/>
    <mergeCell ref="HM10:HR10"/>
    <mergeCell ref="HS10:HX10"/>
    <mergeCell ref="HY10:ID10"/>
    <mergeCell ref="IE10:IJ10"/>
    <mergeCell ref="FQ10:FV10"/>
    <mergeCell ref="FW10:GB10"/>
    <mergeCell ref="GC10:GH10"/>
    <mergeCell ref="GI10:GN10"/>
    <mergeCell ref="GO10:GT10"/>
    <mergeCell ref="GU10:GZ10"/>
    <mergeCell ref="EG10:EL10"/>
    <mergeCell ref="EM10:ER10"/>
    <mergeCell ref="ES10:EX10"/>
    <mergeCell ref="EY10:FD10"/>
    <mergeCell ref="FE10:FJ10"/>
    <mergeCell ref="FK10:FP10"/>
    <mergeCell ref="CW10:DB10"/>
    <mergeCell ref="DC10:DH10"/>
    <mergeCell ref="DI10:DN10"/>
    <mergeCell ref="DO10:DT10"/>
    <mergeCell ref="DU10:DZ10"/>
    <mergeCell ref="EA10:EF10"/>
    <mergeCell ref="BM10:BR10"/>
    <mergeCell ref="BS10:BX10"/>
    <mergeCell ref="BY10:CD10"/>
    <mergeCell ref="CE10:CJ10"/>
    <mergeCell ref="CK10:CP10"/>
    <mergeCell ref="CQ10:CV10"/>
    <mergeCell ref="E11:J11"/>
    <mergeCell ref="K11:P11"/>
    <mergeCell ref="Q11:V11"/>
    <mergeCell ref="W11:AB11"/>
    <mergeCell ref="AC11:AH11"/>
    <mergeCell ref="AI11:AN11"/>
    <mergeCell ref="AO11:AT11"/>
    <mergeCell ref="HS11:HX11"/>
    <mergeCell ref="HY11:ID11"/>
    <mergeCell ref="IE11:IJ11"/>
    <mergeCell ref="IK11:IP11"/>
    <mergeCell ref="IQ11:IV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E12:J12"/>
    <mergeCell ref="K12:P12"/>
    <mergeCell ref="Q12:V12"/>
    <mergeCell ref="W12:AB12"/>
    <mergeCell ref="HA12:HF12"/>
    <mergeCell ref="HG12:HL12"/>
    <mergeCell ref="EG12:EL12"/>
    <mergeCell ref="EM12:ER12"/>
    <mergeCell ref="ES12:EX12"/>
    <mergeCell ref="EY12:FD12"/>
    <mergeCell ref="HM12:HR12"/>
    <mergeCell ref="HS12:HX12"/>
    <mergeCell ref="HY12:ID12"/>
    <mergeCell ref="IE12:IJ12"/>
    <mergeCell ref="FQ12:FV12"/>
    <mergeCell ref="FW12:GB12"/>
    <mergeCell ref="GC12:GH12"/>
    <mergeCell ref="GI12:GN12"/>
    <mergeCell ref="GO12:GT12"/>
    <mergeCell ref="GU12:GZ12"/>
    <mergeCell ref="FK12:FP12"/>
    <mergeCell ref="CW12:DB12"/>
    <mergeCell ref="DC12:DH12"/>
    <mergeCell ref="DI12:DN12"/>
    <mergeCell ref="DO12:DT12"/>
    <mergeCell ref="DU12:DZ12"/>
    <mergeCell ref="EA12:EF12"/>
    <mergeCell ref="BS12:BX12"/>
    <mergeCell ref="BY12:CD12"/>
    <mergeCell ref="CE12:CJ12"/>
    <mergeCell ref="CK12:CP12"/>
    <mergeCell ref="CQ12:CV12"/>
    <mergeCell ref="FE12:FJ12"/>
    <mergeCell ref="IK12:IP12"/>
    <mergeCell ref="IQ12:IV12"/>
    <mergeCell ref="B5:C5"/>
    <mergeCell ref="AC12:AH12"/>
    <mergeCell ref="AI12:AN12"/>
    <mergeCell ref="AO12:AT12"/>
    <mergeCell ref="AU12:AZ12"/>
    <mergeCell ref="BA12:BF12"/>
    <mergeCell ref="BG12:BL12"/>
    <mergeCell ref="BM12:BR12"/>
  </mergeCells>
  <hyperlinks>
    <hyperlink ref="C1" location="BG!A1" display="BG"/>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Hoja16"/>
  <dimension ref="A1:F17"/>
  <sheetViews>
    <sheetView zoomScalePageLayoutView="0" workbookViewId="0" topLeftCell="A1">
      <selection activeCell="A3" sqref="A3:IV4"/>
    </sheetView>
  </sheetViews>
  <sheetFormatPr defaultColWidth="11.421875" defaultRowHeight="15"/>
  <cols>
    <col min="1" max="1" width="26.7109375" style="155" customWidth="1"/>
    <col min="2" max="3" width="22.7109375" style="155" customWidth="1"/>
    <col min="4" max="19" width="11.421875" style="155" customWidth="1"/>
  </cols>
  <sheetData>
    <row r="1" spans="1:6" ht="15">
      <c r="A1" s="155" t="str">
        <f>Indice!C1</f>
        <v>IMPORT CENTER S.A.</v>
      </c>
      <c r="F1" s="178" t="s">
        <v>130</v>
      </c>
    </row>
    <row r="4" spans="1:4" ht="15">
      <c r="A4" s="740" t="s">
        <v>336</v>
      </c>
      <c r="B4" s="740"/>
      <c r="C4" s="740"/>
      <c r="D4" s="740"/>
    </row>
    <row r="5" spans="2:3" ht="15">
      <c r="B5" s="736" t="s">
        <v>324</v>
      </c>
      <c r="C5" s="736"/>
    </row>
    <row r="6" spans="1:4" ht="15">
      <c r="A6" s="175" t="s">
        <v>123</v>
      </c>
      <c r="B6" s="446">
        <f>_xlfn.IFERROR(IF(Indice!B6="","2XX2",YEAR(Indice!B6)),"2XX2")</f>
        <v>2021</v>
      </c>
      <c r="C6" s="446">
        <f>_xlfn.IFERROR(YEAR(Indice!B6-365),"2XX1")</f>
        <v>2020</v>
      </c>
      <c r="D6" s="171"/>
    </row>
    <row r="7" spans="1:4" ht="15">
      <c r="A7" s="172" t="s">
        <v>126</v>
      </c>
      <c r="B7" s="172"/>
      <c r="C7" s="172"/>
      <c r="D7" s="172"/>
    </row>
    <row r="8" spans="1:4" ht="25.5">
      <c r="A8" s="173" t="s">
        <v>165</v>
      </c>
      <c r="D8" s="173"/>
    </row>
    <row r="9" spans="1:6" ht="15">
      <c r="A9" s="174"/>
      <c r="D9" s="173"/>
      <c r="E9" s="172"/>
      <c r="F9" s="172"/>
    </row>
    <row r="10" spans="1:3" ht="15">
      <c r="A10" s="160" t="s">
        <v>128</v>
      </c>
      <c r="B10" s="298">
        <f>SUM(B7:B9)</f>
        <v>0</v>
      </c>
      <c r="C10" s="298">
        <f>SUM(C7:C9)</f>
        <v>0</v>
      </c>
    </row>
    <row r="11" spans="1:4" ht="15">
      <c r="A11" s="174"/>
      <c r="D11" s="173"/>
    </row>
    <row r="12" spans="1:4" ht="15">
      <c r="A12" s="173"/>
      <c r="D12" s="173"/>
    </row>
    <row r="13" spans="1:6" ht="15">
      <c r="A13" s="174"/>
      <c r="D13" s="173"/>
      <c r="E13" s="172"/>
      <c r="F13" s="172"/>
    </row>
    <row r="15" ht="15">
      <c r="A15" s="160"/>
    </row>
    <row r="16" spans="1:4" ht="15">
      <c r="A16" s="171"/>
      <c r="D16" s="171"/>
    </row>
    <row r="17" ht="15">
      <c r="A17" s="174"/>
    </row>
  </sheetData>
  <sheetProtection/>
  <mergeCells count="2">
    <mergeCell ref="A4:D4"/>
    <mergeCell ref="B5:C5"/>
  </mergeCells>
  <hyperlinks>
    <hyperlink ref="F1" location="BG!A1" display="BG"/>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A1:E13"/>
  <sheetViews>
    <sheetView zoomScalePageLayoutView="0" workbookViewId="0" topLeftCell="A1">
      <selection activeCell="A3" sqref="A3:IV4"/>
    </sheetView>
  </sheetViews>
  <sheetFormatPr defaultColWidth="11.421875" defaultRowHeight="15"/>
  <cols>
    <col min="1" max="1" width="24.7109375" style="155" customWidth="1"/>
    <col min="2" max="2" width="17.140625" style="155" customWidth="1"/>
    <col min="3" max="3" width="17.28125" style="155" customWidth="1"/>
    <col min="4" max="13" width="11.421875" style="155" customWidth="1"/>
  </cols>
  <sheetData>
    <row r="1" spans="1:5" ht="15">
      <c r="A1" s="155" t="str">
        <f>Indice!C1</f>
        <v>IMPORT CENTER S.A.</v>
      </c>
      <c r="E1" s="178" t="s">
        <v>130</v>
      </c>
    </row>
    <row r="5" spans="1:4" ht="15">
      <c r="A5" s="354" t="s">
        <v>337</v>
      </c>
      <c r="B5" s="354"/>
      <c r="C5" s="354"/>
      <c r="D5" s="354"/>
    </row>
    <row r="6" spans="2:3" ht="15">
      <c r="B6" s="736" t="s">
        <v>324</v>
      </c>
      <c r="C6" s="736"/>
    </row>
    <row r="7" spans="1:4" ht="15">
      <c r="A7" s="176" t="s">
        <v>129</v>
      </c>
      <c r="B7" s="446">
        <f>_xlfn.IFERROR(IF(Indice!B6="","2XX2",YEAR(Indice!B6)),"2XX2")</f>
        <v>2021</v>
      </c>
      <c r="C7" s="446">
        <f>_xlfn.IFERROR(YEAR(Indice!B6-365),"2XX1")</f>
        <v>2020</v>
      </c>
      <c r="D7" s="171"/>
    </row>
    <row r="8" spans="1:4" ht="15">
      <c r="A8" s="172"/>
      <c r="B8" s="172"/>
      <c r="C8" s="172"/>
      <c r="D8" s="172"/>
    </row>
    <row r="9" spans="1:4" ht="15">
      <c r="A9" s="173"/>
      <c r="D9" s="173"/>
    </row>
    <row r="10" spans="1:4" ht="15">
      <c r="A10" s="174"/>
      <c r="D10" s="173"/>
    </row>
    <row r="11" spans="1:3" ht="15">
      <c r="A11" s="160" t="s">
        <v>128</v>
      </c>
      <c r="B11" s="298">
        <f>SUM(B8:B10)</f>
        <v>0</v>
      </c>
      <c r="C11" s="298">
        <f>SUM(C8:C10)</f>
        <v>0</v>
      </c>
    </row>
    <row r="12" spans="1:4" ht="15">
      <c r="A12" s="174"/>
      <c r="D12" s="173"/>
    </row>
    <row r="13" spans="1:4" ht="15">
      <c r="A13" s="173"/>
      <c r="D13" s="173"/>
    </row>
  </sheetData>
  <sheetProtection/>
  <mergeCells count="1">
    <mergeCell ref="B6:C6"/>
  </mergeCells>
  <hyperlinks>
    <hyperlink ref="E1" location="BG!A1" display="BG"/>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E26"/>
  <sheetViews>
    <sheetView showGridLines="0" zoomScalePageLayoutView="0" workbookViewId="0" topLeftCell="A1">
      <selection activeCell="A1" sqref="A1"/>
    </sheetView>
  </sheetViews>
  <sheetFormatPr defaultColWidth="11.421875" defaultRowHeight="15"/>
  <cols>
    <col min="1" max="1" width="38.57421875" style="336" customWidth="1"/>
    <col min="2" max="2" width="34.140625" style="336" customWidth="1"/>
    <col min="3" max="3" width="34.421875" style="336" bestFit="1" customWidth="1"/>
    <col min="4" max="4" width="18.421875" style="336" customWidth="1"/>
    <col min="5" max="5" width="18.7109375" style="336" customWidth="1"/>
    <col min="6" max="16384" width="11.421875" style="336" customWidth="1"/>
  </cols>
  <sheetData>
    <row r="1" spans="1:3" ht="15">
      <c r="A1" s="336" t="str">
        <f>Indice!C1</f>
        <v>IMPORT CENTER S.A.</v>
      </c>
      <c r="B1" s="177"/>
      <c r="C1" s="481" t="s">
        <v>130</v>
      </c>
    </row>
    <row r="4" spans="1:5" ht="15">
      <c r="A4" s="354" t="s">
        <v>339</v>
      </c>
      <c r="B4" s="354"/>
      <c r="C4" s="354"/>
      <c r="D4" s="354"/>
      <c r="E4" s="354"/>
    </row>
    <row r="5" ht="15">
      <c r="A5" s="444" t="s">
        <v>324</v>
      </c>
    </row>
    <row r="6" spans="1:4" ht="15">
      <c r="A6" s="355" t="s">
        <v>854</v>
      </c>
      <c r="B6" s="355"/>
      <c r="C6" s="355"/>
      <c r="D6" s="355"/>
    </row>
    <row r="7" ht="15">
      <c r="E7" s="299"/>
    </row>
    <row r="8" spans="1:5" ht="15">
      <c r="A8" s="128" t="s">
        <v>65</v>
      </c>
      <c r="B8" s="461" t="s">
        <v>188</v>
      </c>
      <c r="C8" s="461" t="s">
        <v>495</v>
      </c>
      <c r="D8" s="462">
        <f>_xlfn.IFERROR(IF(Indice!B6="","2XX2",YEAR(Indice!B6)),"2XX2")</f>
        <v>2021</v>
      </c>
      <c r="E8" s="462">
        <f>_xlfn.IFERROR(YEAR(Indice!B6-365),"2XX1")</f>
        <v>2020</v>
      </c>
    </row>
    <row r="9" spans="1:4" ht="15">
      <c r="A9" s="336" t="s">
        <v>494</v>
      </c>
      <c r="B9" s="353"/>
      <c r="C9" s="358">
        <f>_xlfn.IFERROR(VLOOKUP(B9,'Base de Monedas'!A:B,2,0),"")</f>
      </c>
      <c r="D9" s="28"/>
    </row>
    <row r="10" spans="1:4" ht="15">
      <c r="A10" s="339" t="s">
        <v>113</v>
      </c>
      <c r="B10" s="353"/>
      <c r="C10" s="358">
        <f>_xlfn.IFERROR(VLOOKUP(B10,'Base de Monedas'!A:B,2,0),"")</f>
      </c>
      <c r="D10" s="9"/>
    </row>
    <row r="11" spans="1:5" ht="15">
      <c r="A11" s="339" t="s">
        <v>114</v>
      </c>
      <c r="B11" s="353" t="s">
        <v>977</v>
      </c>
      <c r="C11" s="358" t="str">
        <f>_xlfn.IFERROR(VLOOKUP(B11,'Base de Monedas'!A:B,2,0),"")</f>
        <v>Guaraní</v>
      </c>
      <c r="D11" s="561">
        <v>107291</v>
      </c>
      <c r="E11" s="562">
        <v>183667</v>
      </c>
    </row>
    <row r="12" spans="1:5" s="496" customFormat="1" ht="15">
      <c r="A12" s="496" t="s">
        <v>114</v>
      </c>
      <c r="B12" s="353" t="s">
        <v>976</v>
      </c>
      <c r="C12" s="358" t="str">
        <f>_xlfn.IFERROR(VLOOKUP(B12,'Base de Monedas'!A:B,2,0),"")</f>
        <v>Dólar estadounidense</v>
      </c>
      <c r="D12" s="561">
        <v>125998</v>
      </c>
      <c r="E12" s="562">
        <v>66030</v>
      </c>
    </row>
    <row r="13" spans="1:5" s="496" customFormat="1" ht="15">
      <c r="A13" s="496" t="s">
        <v>974</v>
      </c>
      <c r="B13" s="353" t="s">
        <v>976</v>
      </c>
      <c r="C13" s="358" t="str">
        <f>_xlfn.IFERROR(VLOOKUP(B13,'Base de Monedas'!A:B,2,0),"")</f>
        <v>Dólar estadounidense</v>
      </c>
      <c r="D13" s="561"/>
      <c r="E13" s="562">
        <v>85917</v>
      </c>
    </row>
    <row r="14" spans="1:5" s="496" customFormat="1" ht="15">
      <c r="A14" s="496" t="s">
        <v>974</v>
      </c>
      <c r="B14" s="353" t="s">
        <v>977</v>
      </c>
      <c r="C14" s="358" t="str">
        <f>_xlfn.IFERROR(VLOOKUP(B14,'Base de Monedas'!A:B,2,0),"")</f>
        <v>Guaraní</v>
      </c>
      <c r="D14" s="561">
        <v>38643</v>
      </c>
      <c r="E14" s="562"/>
    </row>
    <row r="15" spans="1:5" s="496" customFormat="1" ht="15">
      <c r="A15" s="496" t="s">
        <v>975</v>
      </c>
      <c r="B15" s="353" t="s">
        <v>977</v>
      </c>
      <c r="C15" s="358" t="str">
        <f>_xlfn.IFERROR(VLOOKUP(B15,'Base de Monedas'!A:B,2,0),"")</f>
        <v>Guaraní</v>
      </c>
      <c r="D15" s="561">
        <v>6033</v>
      </c>
      <c r="E15" s="563">
        <v>4982</v>
      </c>
    </row>
    <row r="16" spans="1:5" ht="15">
      <c r="A16" s="357" t="s">
        <v>66</v>
      </c>
      <c r="B16" s="353"/>
      <c r="C16" s="358">
        <f>_xlfn.IFERROR(VLOOKUP(B16,'Base de Monedas'!A:B,2,0),"")</f>
      </c>
      <c r="D16" s="561"/>
      <c r="E16" s="562"/>
    </row>
    <row r="17" spans="1:5" ht="15.75" thickBot="1">
      <c r="A17" s="13" t="s">
        <v>115</v>
      </c>
      <c r="B17" s="11"/>
      <c r="C17" s="15"/>
      <c r="D17" s="564">
        <f>SUM($D$9:D16)</f>
        <v>277965</v>
      </c>
      <c r="E17" s="564">
        <f>SUM($E$9:E16)</f>
        <v>340596</v>
      </c>
    </row>
    <row r="18" spans="1:5" ht="15.75" thickTop="1">
      <c r="A18" s="13"/>
      <c r="B18" s="11"/>
      <c r="C18" s="15"/>
      <c r="D18" s="346"/>
      <c r="E18" s="346"/>
    </row>
    <row r="20" ht="15">
      <c r="D20" s="299"/>
    </row>
    <row r="21" spans="1:5" ht="15">
      <c r="A21" s="128" t="s">
        <v>853</v>
      </c>
      <c r="B21" s="461" t="s">
        <v>188</v>
      </c>
      <c r="C21" s="461" t="s">
        <v>495</v>
      </c>
      <c r="D21" s="462">
        <f>_xlfn.IFERROR(YEAR(Indice!B6),"2XX2")</f>
        <v>2021</v>
      </c>
      <c r="E21" s="462">
        <f>_xlfn.IFERROR(YEAR(Indice!B6-365),"2XX1")</f>
        <v>2020</v>
      </c>
    </row>
    <row r="22" spans="1:4" ht="15">
      <c r="A22" s="336" t="s">
        <v>494</v>
      </c>
      <c r="B22" s="353"/>
      <c r="C22" s="358">
        <f>_xlfn.IFERROR(VLOOKUP(B22,'Base de Monedas'!A:B,2,0),"")</f>
      </c>
      <c r="D22" s="28"/>
    </row>
    <row r="23" spans="1:4" ht="15">
      <c r="A23" s="339" t="s">
        <v>113</v>
      </c>
      <c r="B23" s="353"/>
      <c r="C23" s="358">
        <f>_xlfn.IFERROR(VLOOKUP(B23,'Base de Monedas'!A:B,2,0),"")</f>
      </c>
      <c r="D23" s="9"/>
    </row>
    <row r="24" spans="1:5" ht="15">
      <c r="A24" s="339" t="s">
        <v>114</v>
      </c>
      <c r="B24" s="353" t="s">
        <v>976</v>
      </c>
      <c r="C24" s="358" t="str">
        <f>_xlfn.IFERROR(VLOOKUP(B24,'Base de Monedas'!A:B,2,0),"")</f>
        <v>Dólar estadounidense</v>
      </c>
      <c r="D24" s="561">
        <v>176846</v>
      </c>
      <c r="E24" s="562">
        <v>204973</v>
      </c>
    </row>
    <row r="25" spans="1:5" ht="15">
      <c r="A25" s="357" t="s">
        <v>66</v>
      </c>
      <c r="B25" s="353"/>
      <c r="C25" s="358">
        <f>_xlfn.IFERROR(VLOOKUP(B25,'Base de Monedas'!A:B,2,0),"")</f>
      </c>
      <c r="D25" s="561"/>
      <c r="E25" s="562"/>
    </row>
    <row r="26" spans="1:5" ht="15.75" thickBot="1">
      <c r="A26" s="13" t="s">
        <v>115</v>
      </c>
      <c r="B26" s="11"/>
      <c r="C26" s="15"/>
      <c r="D26" s="564">
        <f>SUM($D$22:D24)</f>
        <v>176846</v>
      </c>
      <c r="E26" s="564">
        <f>SUM($E$22:E24)</f>
        <v>204973</v>
      </c>
    </row>
    <row r="27" ht="15.75" thickTop="1"/>
  </sheetData>
  <sheetProtection/>
  <hyperlinks>
    <hyperlink ref="C1" location="BG!A1" display="BG"/>
  </hyperlink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5" scale="75" r:id="rId1"/>
</worksheet>
</file>

<file path=xl/worksheets/sheet2.xml><?xml version="1.0" encoding="utf-8"?>
<worksheet xmlns="http://schemas.openxmlformats.org/spreadsheetml/2006/main" xmlns:r="http://schemas.openxmlformats.org/officeDocument/2006/relationships">
  <sheetPr codeName="Hoja1"/>
  <dimension ref="A1:T67"/>
  <sheetViews>
    <sheetView showGridLines="0" zoomScalePageLayoutView="0" workbookViewId="0" topLeftCell="A1">
      <selection activeCell="C2" sqref="C2"/>
    </sheetView>
  </sheetViews>
  <sheetFormatPr defaultColWidth="11.421875" defaultRowHeight="15"/>
  <cols>
    <col min="1" max="1" width="21.421875" style="2" bestFit="1" customWidth="1"/>
    <col min="2" max="2" width="10.140625" style="2" bestFit="1" customWidth="1"/>
    <col min="3" max="3" width="61.57421875" style="2" bestFit="1" customWidth="1"/>
    <col min="4" max="4" width="14.8515625" style="292" customWidth="1"/>
    <col min="5" max="5" width="49.8515625" style="2" bestFit="1" customWidth="1"/>
    <col min="6" max="6" width="6.7109375" style="2" bestFit="1" customWidth="1"/>
    <col min="7" max="16384" width="11.421875" style="2" customWidth="1"/>
  </cols>
  <sheetData>
    <row r="1" spans="2:4" ht="12.75">
      <c r="B1" s="493" t="s">
        <v>855</v>
      </c>
      <c r="C1" s="492" t="s">
        <v>939</v>
      </c>
      <c r="D1" s="2" t="s">
        <v>919</v>
      </c>
    </row>
    <row r="2" spans="19:20" ht="12.75">
      <c r="S2" s="2">
        <v>1</v>
      </c>
      <c r="T2" s="2" t="s">
        <v>471</v>
      </c>
    </row>
    <row r="3" spans="19:20" ht="12.75">
      <c r="S3" s="2">
        <v>2</v>
      </c>
      <c r="T3" s="2" t="s">
        <v>472</v>
      </c>
    </row>
    <row r="4" spans="19:20" ht="12.75">
      <c r="S4" s="2">
        <v>3</v>
      </c>
      <c r="T4" s="2" t="s">
        <v>473</v>
      </c>
    </row>
    <row r="5" spans="19:20" ht="12.75">
      <c r="S5" s="2">
        <v>4</v>
      </c>
      <c r="T5" s="2" t="s">
        <v>474</v>
      </c>
    </row>
    <row r="6" spans="1:20" ht="12.75">
      <c r="A6" s="493" t="s">
        <v>852</v>
      </c>
      <c r="B6" s="491">
        <v>44286</v>
      </c>
      <c r="S6" s="2">
        <v>5</v>
      </c>
      <c r="T6" s="2" t="s">
        <v>475</v>
      </c>
    </row>
    <row r="7" spans="1:20" ht="12.75" customHeight="1" hidden="1">
      <c r="A7" s="46"/>
      <c r="B7" s="46"/>
      <c r="C7" s="46"/>
      <c r="D7" s="312"/>
      <c r="S7" s="2">
        <v>6</v>
      </c>
      <c r="T7" s="2" t="s">
        <v>476</v>
      </c>
    </row>
    <row r="8" spans="1:20" ht="12.75">
      <c r="A8" s="359"/>
      <c r="S8" s="2">
        <v>7</v>
      </c>
      <c r="T8" s="2" t="s">
        <v>477</v>
      </c>
    </row>
    <row r="9" spans="2:20" ht="26.25" customHeight="1">
      <c r="B9" s="360"/>
      <c r="C9" s="361" t="s">
        <v>22</v>
      </c>
      <c r="D9" s="365" t="s">
        <v>392</v>
      </c>
      <c r="S9" s="2">
        <v>8</v>
      </c>
      <c r="T9" s="2" t="s">
        <v>478</v>
      </c>
    </row>
    <row r="10" spans="2:20" ht="26.25" customHeight="1">
      <c r="B10" s="362" t="s">
        <v>445</v>
      </c>
      <c r="C10" s="344"/>
      <c r="D10" s="366"/>
      <c r="S10" s="2">
        <v>9</v>
      </c>
      <c r="T10" s="2" t="s">
        <v>479</v>
      </c>
    </row>
    <row r="11" spans="1:20" ht="15">
      <c r="A11" s="114"/>
      <c r="B11" s="363"/>
      <c r="C11" s="345" t="s">
        <v>366</v>
      </c>
      <c r="D11" s="367" t="s">
        <v>23</v>
      </c>
      <c r="S11" s="2">
        <v>10</v>
      </c>
      <c r="T11" s="2" t="s">
        <v>480</v>
      </c>
    </row>
    <row r="12" spans="1:20" ht="15">
      <c r="A12" s="114"/>
      <c r="B12" s="363"/>
      <c r="C12" s="345" t="s">
        <v>39</v>
      </c>
      <c r="D12" s="368" t="s">
        <v>24</v>
      </c>
      <c r="S12" s="2">
        <v>11</v>
      </c>
      <c r="T12" s="2" t="s">
        <v>481</v>
      </c>
    </row>
    <row r="13" spans="1:20" ht="15">
      <c r="A13" s="114"/>
      <c r="B13" s="362" t="s">
        <v>292</v>
      </c>
      <c r="C13" s="345"/>
      <c r="D13" s="367" t="s">
        <v>130</v>
      </c>
      <c r="S13" s="2">
        <v>12</v>
      </c>
      <c r="T13" s="2" t="s">
        <v>482</v>
      </c>
    </row>
    <row r="14" spans="1:4" ht="12.75">
      <c r="A14" s="114"/>
      <c r="B14" s="363"/>
      <c r="C14" s="45" t="s">
        <v>230</v>
      </c>
      <c r="D14" s="369" t="s">
        <v>25</v>
      </c>
    </row>
    <row r="15" spans="1:4" ht="12.75">
      <c r="A15" s="114"/>
      <c r="B15" s="363"/>
      <c r="C15" s="45" t="s">
        <v>110</v>
      </c>
      <c r="D15" s="369" t="s">
        <v>26</v>
      </c>
    </row>
    <row r="16" spans="1:4" ht="12.75">
      <c r="A16" s="114"/>
      <c r="B16" s="363"/>
      <c r="C16" s="45" t="s">
        <v>231</v>
      </c>
      <c r="D16" s="369" t="s">
        <v>27</v>
      </c>
    </row>
    <row r="17" spans="1:4" ht="12.75">
      <c r="A17" s="114"/>
      <c r="B17" s="363"/>
      <c r="C17" s="45" t="s">
        <v>40</v>
      </c>
      <c r="D17" s="369" t="s">
        <v>28</v>
      </c>
    </row>
    <row r="18" spans="1:4" ht="15">
      <c r="A18" s="114"/>
      <c r="B18" s="363"/>
      <c r="C18" s="45" t="s">
        <v>231</v>
      </c>
      <c r="D18" s="368" t="s">
        <v>27</v>
      </c>
    </row>
    <row r="19" spans="1:4" ht="12.75">
      <c r="A19" s="114"/>
      <c r="B19" s="363"/>
      <c r="C19" s="45" t="s">
        <v>232</v>
      </c>
      <c r="D19" s="369" t="s">
        <v>29</v>
      </c>
    </row>
    <row r="20" spans="1:4" ht="12.75">
      <c r="A20" s="114"/>
      <c r="B20" s="363"/>
      <c r="C20" s="45" t="s">
        <v>428</v>
      </c>
      <c r="D20" s="369" t="s">
        <v>30</v>
      </c>
    </row>
    <row r="21" spans="1:4" ht="12.75">
      <c r="A21" s="114"/>
      <c r="B21" s="363"/>
      <c r="C21" s="45" t="s">
        <v>367</v>
      </c>
      <c r="D21" s="369" t="s">
        <v>31</v>
      </c>
    </row>
    <row r="22" spans="1:4" ht="12.75">
      <c r="A22" s="114"/>
      <c r="B22" s="363"/>
      <c r="C22" s="45" t="s">
        <v>252</v>
      </c>
      <c r="D22" s="369" t="s">
        <v>32</v>
      </c>
    </row>
    <row r="23" spans="1:4" ht="15">
      <c r="A23" s="114"/>
      <c r="B23" s="363"/>
      <c r="C23" s="45" t="s">
        <v>123</v>
      </c>
      <c r="D23" s="368" t="s">
        <v>33</v>
      </c>
    </row>
    <row r="24" spans="1:4" ht="15">
      <c r="A24" s="114"/>
      <c r="B24" s="363"/>
      <c r="C24" s="45" t="s">
        <v>129</v>
      </c>
      <c r="D24" s="367" t="s">
        <v>34</v>
      </c>
    </row>
    <row r="25" spans="1:4" ht="15">
      <c r="A25" s="114"/>
      <c r="B25" s="363"/>
      <c r="C25" s="45" t="s">
        <v>111</v>
      </c>
      <c r="D25" s="368" t="s">
        <v>35</v>
      </c>
    </row>
    <row r="26" spans="1:4" ht="12.75">
      <c r="A26" s="114"/>
      <c r="B26" s="363"/>
      <c r="C26" s="45" t="s">
        <v>112</v>
      </c>
      <c r="D26" s="369" t="s">
        <v>36</v>
      </c>
    </row>
    <row r="27" spans="1:4" ht="12.75">
      <c r="A27" s="114"/>
      <c r="B27" s="363"/>
      <c r="C27" s="45" t="s">
        <v>131</v>
      </c>
      <c r="D27" s="369" t="s">
        <v>37</v>
      </c>
    </row>
    <row r="28" spans="1:4" ht="12.75">
      <c r="A28" s="114"/>
      <c r="B28" s="363"/>
      <c r="C28" s="45" t="s">
        <v>67</v>
      </c>
      <c r="D28" s="369" t="s">
        <v>38</v>
      </c>
    </row>
    <row r="29" spans="1:4" ht="15">
      <c r="A29" s="114"/>
      <c r="B29" s="363"/>
      <c r="C29" s="45" t="s">
        <v>68</v>
      </c>
      <c r="D29" s="368" t="s">
        <v>368</v>
      </c>
    </row>
    <row r="30" spans="1:4" ht="15">
      <c r="A30" s="114"/>
      <c r="B30" s="363"/>
      <c r="C30" s="45" t="s">
        <v>69</v>
      </c>
      <c r="D30" s="368" t="s">
        <v>369</v>
      </c>
    </row>
    <row r="31" spans="1:4" ht="15">
      <c r="A31" s="114"/>
      <c r="B31" s="363"/>
      <c r="C31" s="45" t="s">
        <v>258</v>
      </c>
      <c r="D31" s="368" t="s">
        <v>370</v>
      </c>
    </row>
    <row r="32" spans="1:4" ht="15">
      <c r="A32" s="114"/>
      <c r="B32" s="363"/>
      <c r="C32" s="45" t="s">
        <v>372</v>
      </c>
      <c r="D32" s="368" t="s">
        <v>36</v>
      </c>
    </row>
    <row r="33" spans="1:4" ht="15">
      <c r="A33" s="114"/>
      <c r="B33" s="363"/>
      <c r="C33" s="45" t="s">
        <v>374</v>
      </c>
      <c r="D33" s="368" t="s">
        <v>370</v>
      </c>
    </row>
    <row r="34" spans="1:4" ht="15">
      <c r="A34" s="114"/>
      <c r="B34" s="363"/>
      <c r="C34" s="45" t="s">
        <v>262</v>
      </c>
      <c r="D34" s="368" t="s">
        <v>371</v>
      </c>
    </row>
    <row r="35" spans="1:4" ht="15">
      <c r="A35" s="114"/>
      <c r="B35" s="363"/>
      <c r="C35" s="45" t="s">
        <v>43</v>
      </c>
      <c r="D35" s="368" t="s">
        <v>375</v>
      </c>
    </row>
    <row r="36" spans="1:4" ht="15">
      <c r="A36" s="114"/>
      <c r="B36" s="363"/>
      <c r="C36" s="45" t="s">
        <v>81</v>
      </c>
      <c r="D36" s="368" t="s">
        <v>375</v>
      </c>
    </row>
    <row r="37" spans="1:4" ht="15">
      <c r="A37" s="114"/>
      <c r="B37" s="363"/>
      <c r="C37" s="45" t="s">
        <v>263</v>
      </c>
      <c r="D37" s="368" t="s">
        <v>375</v>
      </c>
    </row>
    <row r="38" spans="1:4" ht="15">
      <c r="A38" s="114"/>
      <c r="B38" s="363"/>
      <c r="C38" s="45" t="s">
        <v>431</v>
      </c>
      <c r="D38" s="368" t="s">
        <v>375</v>
      </c>
    </row>
    <row r="39" spans="1:4" ht="15">
      <c r="A39" s="114"/>
      <c r="B39" s="363"/>
      <c r="C39" s="45" t="s">
        <v>70</v>
      </c>
      <c r="D39" s="368" t="s">
        <v>376</v>
      </c>
    </row>
    <row r="40" spans="1:4" ht="15">
      <c r="A40" s="114"/>
      <c r="B40" s="363"/>
      <c r="C40" s="45" t="s">
        <v>44</v>
      </c>
      <c r="D40" s="368" t="s">
        <v>377</v>
      </c>
    </row>
    <row r="41" spans="1:4" ht="15">
      <c r="A41" s="114"/>
      <c r="B41" s="363"/>
      <c r="C41" s="45" t="s">
        <v>71</v>
      </c>
      <c r="D41" s="368" t="s">
        <v>378</v>
      </c>
    </row>
    <row r="42" spans="1:4" ht="15">
      <c r="A42" s="114"/>
      <c r="B42" s="362" t="s">
        <v>57</v>
      </c>
      <c r="C42" s="345"/>
      <c r="D42" s="367" t="s">
        <v>146</v>
      </c>
    </row>
    <row r="43" spans="1:4" ht="15">
      <c r="A43" s="114"/>
      <c r="B43" s="363"/>
      <c r="C43" s="45" t="s">
        <v>63</v>
      </c>
      <c r="D43" s="368" t="s">
        <v>379</v>
      </c>
    </row>
    <row r="44" spans="1:4" ht="15">
      <c r="A44" s="114"/>
      <c r="B44" s="363"/>
      <c r="C44" s="45" t="s">
        <v>154</v>
      </c>
      <c r="D44" s="368" t="s">
        <v>380</v>
      </c>
    </row>
    <row r="45" spans="1:4" ht="15">
      <c r="A45" s="114"/>
      <c r="B45" s="363"/>
      <c r="C45" s="45" t="s">
        <v>268</v>
      </c>
      <c r="D45" s="368" t="s">
        <v>381</v>
      </c>
    </row>
    <row r="46" spans="1:4" ht="15">
      <c r="A46" s="114"/>
      <c r="B46" s="363"/>
      <c r="C46" s="45" t="s">
        <v>191</v>
      </c>
      <c r="D46" s="368" t="s">
        <v>381</v>
      </c>
    </row>
    <row r="47" spans="1:4" ht="15">
      <c r="A47" s="114"/>
      <c r="B47" s="363"/>
      <c r="C47" s="45" t="s">
        <v>383</v>
      </c>
      <c r="D47" s="368" t="s">
        <v>382</v>
      </c>
    </row>
    <row r="48" spans="1:4" ht="15">
      <c r="A48" s="114"/>
      <c r="B48" s="363"/>
      <c r="C48" s="45" t="s">
        <v>433</v>
      </c>
      <c r="D48" s="368" t="s">
        <v>384</v>
      </c>
    </row>
    <row r="49" spans="1:4" ht="15">
      <c r="A49" s="114"/>
      <c r="B49" s="363"/>
      <c r="C49" s="45" t="s">
        <v>436</v>
      </c>
      <c r="D49" s="368" t="s">
        <v>384</v>
      </c>
    </row>
    <row r="50" spans="1:4" ht="15">
      <c r="A50" s="114"/>
      <c r="B50" s="363"/>
      <c r="C50" s="45" t="s">
        <v>160</v>
      </c>
      <c r="D50" s="368" t="s">
        <v>385</v>
      </c>
    </row>
    <row r="51" spans="1:4" ht="15">
      <c r="A51" s="114"/>
      <c r="B51" s="363"/>
      <c r="C51" s="45" t="s">
        <v>161</v>
      </c>
      <c r="D51" s="368" t="s">
        <v>386</v>
      </c>
    </row>
    <row r="52" spans="1:4" ht="15">
      <c r="A52" s="114"/>
      <c r="B52" s="363"/>
      <c r="C52" s="45" t="s">
        <v>46</v>
      </c>
      <c r="D52" s="368" t="s">
        <v>387</v>
      </c>
    </row>
    <row r="53" spans="1:4" ht="15">
      <c r="A53" s="114"/>
      <c r="B53" s="363"/>
      <c r="C53" s="45" t="s">
        <v>73</v>
      </c>
      <c r="D53" s="368" t="s">
        <v>388</v>
      </c>
    </row>
    <row r="54" spans="1:4" ht="15">
      <c r="A54" s="114"/>
      <c r="B54" s="363"/>
      <c r="C54" s="45" t="s">
        <v>74</v>
      </c>
      <c r="D54" s="368" t="s">
        <v>389</v>
      </c>
    </row>
    <row r="55" spans="1:4" ht="15">
      <c r="A55" s="114"/>
      <c r="B55" s="363"/>
      <c r="C55" s="45" t="s">
        <v>391</v>
      </c>
      <c r="D55" s="368" t="s">
        <v>390</v>
      </c>
    </row>
    <row r="56" spans="1:4" ht="15">
      <c r="A56" s="114"/>
      <c r="B56" s="363"/>
      <c r="C56" s="45" t="s">
        <v>75</v>
      </c>
      <c r="D56" s="367" t="s">
        <v>390</v>
      </c>
    </row>
    <row r="57" spans="1:4" ht="15">
      <c r="A57" s="114"/>
      <c r="B57" s="362" t="s">
        <v>58</v>
      </c>
      <c r="C57" s="345"/>
      <c r="D57" s="367" t="s">
        <v>56</v>
      </c>
    </row>
    <row r="58" spans="1:4" ht="15">
      <c r="A58" s="114"/>
      <c r="B58" s="362" t="s">
        <v>293</v>
      </c>
      <c r="C58" s="345"/>
      <c r="D58" s="368" t="s">
        <v>294</v>
      </c>
    </row>
    <row r="59" spans="1:4" ht="15">
      <c r="A59" s="114"/>
      <c r="B59" s="362" t="s">
        <v>446</v>
      </c>
      <c r="C59" s="345"/>
      <c r="D59" s="368"/>
    </row>
    <row r="60" spans="1:4" ht="15">
      <c r="A60" s="114"/>
      <c r="B60" s="363"/>
      <c r="C60" s="45" t="s">
        <v>399</v>
      </c>
      <c r="D60" s="367" t="s">
        <v>400</v>
      </c>
    </row>
    <row r="61" spans="1:4" ht="15">
      <c r="A61" s="114"/>
      <c r="B61" s="363"/>
      <c r="C61" s="45" t="s">
        <v>404</v>
      </c>
      <c r="D61" s="367" t="s">
        <v>405</v>
      </c>
    </row>
    <row r="62" spans="1:4" ht="15">
      <c r="A62" s="114"/>
      <c r="B62" s="363"/>
      <c r="C62" s="45" t="s">
        <v>437</v>
      </c>
      <c r="D62" s="367" t="s">
        <v>407</v>
      </c>
    </row>
    <row r="63" spans="1:4" ht="15">
      <c r="A63" s="114"/>
      <c r="B63" s="363"/>
      <c r="C63" s="45" t="s">
        <v>406</v>
      </c>
      <c r="D63" s="367" t="s">
        <v>408</v>
      </c>
    </row>
    <row r="64" spans="1:4" ht="15">
      <c r="A64" s="114"/>
      <c r="B64" s="364"/>
      <c r="C64" s="494" t="s">
        <v>917</v>
      </c>
      <c r="D64" s="490" t="s">
        <v>918</v>
      </c>
    </row>
    <row r="65" spans="1:4" s="45" customFormat="1" ht="21" customHeight="1">
      <c r="A65" s="47"/>
      <c r="D65" s="313"/>
    </row>
    <row r="66" spans="2:4" ht="12.75">
      <c r="B66" s="45"/>
      <c r="C66" s="45"/>
      <c r="D66" s="114"/>
    </row>
    <row r="67" spans="2:4" ht="12.75">
      <c r="B67" s="45"/>
      <c r="C67" s="45"/>
      <c r="D67" s="114"/>
    </row>
  </sheetData>
  <sheetProtection/>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2" location="'Nota 38'!A1" display="Nota 38"/>
    <hyperlink ref="D63" location="'Nota 39'!A1" display="Nota 39"/>
  </hyperlink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Hoja19"/>
  <dimension ref="A1:M278"/>
  <sheetViews>
    <sheetView showGridLines="0" zoomScalePageLayoutView="0" workbookViewId="0" topLeftCell="A1">
      <selection activeCell="A1" sqref="A1"/>
    </sheetView>
  </sheetViews>
  <sheetFormatPr defaultColWidth="11.421875" defaultRowHeight="15"/>
  <cols>
    <col min="1" max="1" width="45.140625" style="0" customWidth="1"/>
    <col min="2" max="2" width="18.28125" style="0" customWidth="1"/>
    <col min="3" max="3" width="26.140625" style="0" bestFit="1" customWidth="1"/>
    <col min="4" max="4" width="21.421875" style="339" bestFit="1" customWidth="1"/>
    <col min="5" max="5" width="20.421875" style="0" bestFit="1" customWidth="1"/>
    <col min="6" max="6" width="18.57421875" style="0" customWidth="1"/>
    <col min="7" max="7" width="2.7109375" style="0" customWidth="1"/>
    <col min="9" max="9" width="26.140625" style="339" bestFit="1" customWidth="1"/>
    <col min="10" max="10" width="21.421875" style="339" bestFit="1" customWidth="1"/>
    <col min="11" max="11" width="20.421875" style="0" bestFit="1" customWidth="1"/>
    <col min="12" max="12" width="17.7109375" style="0" customWidth="1"/>
  </cols>
  <sheetData>
    <row r="1" spans="1:12" ht="15" customHeight="1">
      <c r="A1" t="str">
        <f>Indice!C1</f>
        <v>IMPORT CENTER S.A.</v>
      </c>
      <c r="E1" s="177" t="s">
        <v>130</v>
      </c>
      <c r="L1" s="177" t="s">
        <v>130</v>
      </c>
    </row>
    <row r="2" ht="15" customHeight="1"/>
    <row r="3" ht="15" customHeight="1"/>
    <row r="4" spans="1:12" ht="15" customHeight="1">
      <c r="A4" s="372" t="s">
        <v>340</v>
      </c>
      <c r="B4" s="372"/>
      <c r="C4" s="372"/>
      <c r="D4" s="372"/>
      <c r="E4" s="372"/>
      <c r="F4" s="372"/>
      <c r="G4" s="372"/>
      <c r="H4" s="372"/>
      <c r="I4" s="372"/>
      <c r="J4" s="372"/>
      <c r="K4" s="372"/>
      <c r="L4" s="372"/>
    </row>
    <row r="5" ht="15" customHeight="1"/>
    <row r="6" ht="15" customHeight="1">
      <c r="A6" t="s">
        <v>874</v>
      </c>
    </row>
    <row r="7" ht="15" customHeight="1">
      <c r="A7" t="s">
        <v>344</v>
      </c>
    </row>
    <row r="8" s="339" customFormat="1" ht="15" customHeight="1"/>
    <row r="9" spans="1:12" ht="15" customHeight="1">
      <c r="A9" s="128" t="s">
        <v>65</v>
      </c>
      <c r="B9" s="286"/>
      <c r="C9" s="299"/>
      <c r="D9" s="299"/>
      <c r="E9" s="299"/>
      <c r="F9" s="286"/>
      <c r="H9" s="286"/>
      <c r="I9" s="299"/>
      <c r="J9" s="299"/>
      <c r="K9" s="299"/>
      <c r="L9" s="299"/>
    </row>
    <row r="10" spans="1:12" ht="15" customHeight="1">
      <c r="A10" s="26"/>
      <c r="B10" s="373"/>
      <c r="C10" s="463"/>
      <c r="D10" s="446">
        <f>_xlfn.IFERROR(IF(Indice!B6="","2XX2",YEAR(Indice!B6)),"2XX2")</f>
        <v>2021</v>
      </c>
      <c r="E10" s="463"/>
      <c r="F10" s="463"/>
      <c r="H10" s="463"/>
      <c r="I10" s="463"/>
      <c r="J10" s="446">
        <f>_xlfn.IFERROR(YEAR(Indice!B6-365),"2XX1")</f>
        <v>2020</v>
      </c>
      <c r="K10" s="463"/>
      <c r="L10" s="463"/>
    </row>
    <row r="11" spans="1:12" ht="15" customHeight="1">
      <c r="A11" s="163" t="s">
        <v>859</v>
      </c>
      <c r="B11" s="164" t="s">
        <v>117</v>
      </c>
      <c r="C11" s="356" t="s">
        <v>857</v>
      </c>
      <c r="D11" s="356" t="s">
        <v>341</v>
      </c>
      <c r="E11" s="163" t="s">
        <v>863</v>
      </c>
      <c r="F11" s="164" t="s">
        <v>119</v>
      </c>
      <c r="H11" s="164" t="s">
        <v>117</v>
      </c>
      <c r="I11" s="356" t="s">
        <v>857</v>
      </c>
      <c r="J11" s="356" t="s">
        <v>341</v>
      </c>
      <c r="K11" s="163" t="s">
        <v>863</v>
      </c>
      <c r="L11" s="164" t="s">
        <v>119</v>
      </c>
    </row>
    <row r="12" spans="1:12" s="556" customFormat="1" ht="15" customHeight="1">
      <c r="A12" s="570" t="s">
        <v>1004</v>
      </c>
      <c r="B12" s="571"/>
      <c r="C12" s="572"/>
      <c r="D12" s="572"/>
      <c r="E12" s="570"/>
      <c r="F12" s="571"/>
      <c r="H12" s="571"/>
      <c r="I12" s="572"/>
      <c r="J12" s="572"/>
      <c r="K12" s="570"/>
      <c r="L12" s="571"/>
    </row>
    <row r="13" spans="1:12" ht="15" customHeight="1">
      <c r="A13" s="556" t="s">
        <v>979</v>
      </c>
      <c r="B13" s="568">
        <v>44311</v>
      </c>
      <c r="C13" s="353" t="s">
        <v>448</v>
      </c>
      <c r="D13" s="339" t="str">
        <f>_xlfn.IFERROR(VLOOKUP(C13,'Base de Monedas'!A:B,2,0),"")</f>
        <v>Guaraní</v>
      </c>
      <c r="E13" s="507">
        <v>500000</v>
      </c>
      <c r="F13" s="556" t="s">
        <v>978</v>
      </c>
      <c r="H13" s="568">
        <v>44221</v>
      </c>
      <c r="I13" s="353" t="s">
        <v>992</v>
      </c>
      <c r="J13" s="556" t="s">
        <v>993</v>
      </c>
      <c r="K13" s="507">
        <v>0</v>
      </c>
      <c r="L13" s="556" t="s">
        <v>978</v>
      </c>
    </row>
    <row r="14" spans="1:12" ht="15" customHeight="1">
      <c r="A14" s="556" t="s">
        <v>979</v>
      </c>
      <c r="B14" s="568"/>
      <c r="C14" s="353" t="s">
        <v>448</v>
      </c>
      <c r="D14" s="339" t="str">
        <f>_xlfn.IFERROR(VLOOKUP(C14,'Base de Monedas'!A:B,2,0),"")</f>
        <v>Guaraní</v>
      </c>
      <c r="E14" s="507">
        <v>0</v>
      </c>
      <c r="F14" s="556" t="s">
        <v>978</v>
      </c>
      <c r="H14" s="568">
        <v>44251</v>
      </c>
      <c r="I14" s="353" t="s">
        <v>992</v>
      </c>
      <c r="J14" s="556" t="s">
        <v>993</v>
      </c>
      <c r="K14" s="507">
        <f>500000</f>
        <v>500000</v>
      </c>
      <c r="L14" s="556" t="s">
        <v>978</v>
      </c>
    </row>
    <row r="15" spans="1:12" ht="15" customHeight="1">
      <c r="A15" s="556" t="s">
        <v>979</v>
      </c>
      <c r="B15" s="568">
        <v>44448</v>
      </c>
      <c r="C15" s="353" t="s">
        <v>448</v>
      </c>
      <c r="D15" s="339" t="str">
        <f>_xlfn.IFERROR(VLOOKUP(C15,'Base de Monedas'!A:B,2,0),"")</f>
        <v>Guaraní</v>
      </c>
      <c r="E15" s="507">
        <f>750000</f>
        <v>750000</v>
      </c>
      <c r="F15" s="556" t="s">
        <v>978</v>
      </c>
      <c r="H15" s="568">
        <v>44311</v>
      </c>
      <c r="I15" s="353" t="s">
        <v>992</v>
      </c>
      <c r="J15" s="556" t="s">
        <v>993</v>
      </c>
      <c r="K15" s="507">
        <f>500000</f>
        <v>500000</v>
      </c>
      <c r="L15" s="556" t="s">
        <v>978</v>
      </c>
    </row>
    <row r="16" spans="1:12" s="556" customFormat="1" ht="15" customHeight="1">
      <c r="A16" s="556" t="s">
        <v>979</v>
      </c>
      <c r="B16" s="568"/>
      <c r="C16" s="353" t="s">
        <v>448</v>
      </c>
      <c r="D16" s="556" t="str">
        <f>_xlfn.IFERROR(VLOOKUP(C16,'Base de Monedas'!A:B,2,0),"")</f>
        <v>Guaraní</v>
      </c>
      <c r="E16" s="507">
        <v>0</v>
      </c>
      <c r="F16" s="556" t="s">
        <v>978</v>
      </c>
      <c r="H16" s="568">
        <v>44268</v>
      </c>
      <c r="I16" s="353" t="s">
        <v>992</v>
      </c>
      <c r="J16" s="556" t="s">
        <v>993</v>
      </c>
      <c r="K16" s="507">
        <v>0</v>
      </c>
      <c r="L16" s="556" t="s">
        <v>978</v>
      </c>
    </row>
    <row r="17" spans="1:12" s="556" customFormat="1" ht="15" customHeight="1">
      <c r="A17" s="556" t="s">
        <v>979</v>
      </c>
      <c r="B17" s="568">
        <v>44407</v>
      </c>
      <c r="C17" s="353" t="s">
        <v>448</v>
      </c>
      <c r="D17" s="556" t="str">
        <f>_xlfn.IFERROR(VLOOKUP(C17,'Base de Monedas'!A:B,2,0),"")</f>
        <v>Guaraní</v>
      </c>
      <c r="E17" s="507">
        <f>1500000</f>
        <v>1500000</v>
      </c>
      <c r="F17" s="556" t="s">
        <v>978</v>
      </c>
      <c r="H17" s="568">
        <v>44358</v>
      </c>
      <c r="I17" s="353" t="s">
        <v>992</v>
      </c>
      <c r="J17" s="556" t="s">
        <v>993</v>
      </c>
      <c r="K17" s="507">
        <v>0</v>
      </c>
      <c r="L17" s="556" t="s">
        <v>978</v>
      </c>
    </row>
    <row r="18" spans="1:12" s="556" customFormat="1" ht="15" customHeight="1">
      <c r="A18" s="556" t="s">
        <v>979</v>
      </c>
      <c r="B18" s="568">
        <v>44371</v>
      </c>
      <c r="C18" s="353" t="s">
        <v>448</v>
      </c>
      <c r="D18" s="556" t="str">
        <f>_xlfn.IFERROR(VLOOKUP(C18,'Base de Monedas'!A:B,2,0),"")</f>
        <v>Guaraní</v>
      </c>
      <c r="E18" s="507">
        <f>1000000</f>
        <v>1000000</v>
      </c>
      <c r="F18" s="556" t="s">
        <v>978</v>
      </c>
      <c r="H18" s="568">
        <v>44448</v>
      </c>
      <c r="I18" s="353" t="s">
        <v>992</v>
      </c>
      <c r="J18" s="556" t="s">
        <v>993</v>
      </c>
      <c r="K18" s="507">
        <f>750000</f>
        <v>750000</v>
      </c>
      <c r="L18" s="556" t="s">
        <v>978</v>
      </c>
    </row>
    <row r="19" spans="1:12" s="556" customFormat="1" ht="15" customHeight="1">
      <c r="A19" s="556" t="s">
        <v>979</v>
      </c>
      <c r="B19" s="568"/>
      <c r="C19" s="353"/>
      <c r="E19" s="507"/>
      <c r="H19" s="568">
        <v>44227</v>
      </c>
      <c r="I19" s="353" t="s">
        <v>992</v>
      </c>
      <c r="J19" s="556" t="s">
        <v>993</v>
      </c>
      <c r="K19" s="507">
        <v>0</v>
      </c>
      <c r="L19" s="556" t="s">
        <v>978</v>
      </c>
    </row>
    <row r="20" spans="1:12" s="556" customFormat="1" ht="15" customHeight="1">
      <c r="A20" s="556" t="s">
        <v>979</v>
      </c>
      <c r="B20" s="568"/>
      <c r="C20" s="353"/>
      <c r="E20" s="507"/>
      <c r="H20" s="568">
        <v>44317</v>
      </c>
      <c r="I20" s="353" t="s">
        <v>992</v>
      </c>
      <c r="J20" s="556" t="s">
        <v>993</v>
      </c>
      <c r="K20" s="507">
        <v>0</v>
      </c>
      <c r="L20" s="556" t="s">
        <v>978</v>
      </c>
    </row>
    <row r="21" spans="1:12" s="556" customFormat="1" ht="15" customHeight="1">
      <c r="A21" s="556" t="s">
        <v>979</v>
      </c>
      <c r="B21" s="568"/>
      <c r="C21" s="353"/>
      <c r="E21" s="507"/>
      <c r="H21" s="568">
        <v>44407</v>
      </c>
      <c r="I21" s="353" t="s">
        <v>992</v>
      </c>
      <c r="J21" s="556" t="s">
        <v>993</v>
      </c>
      <c r="K21" s="507">
        <f>1500000</f>
        <v>1500000</v>
      </c>
      <c r="L21" s="556" t="s">
        <v>978</v>
      </c>
    </row>
    <row r="22" spans="1:12" s="556" customFormat="1" ht="15" customHeight="1">
      <c r="A22" s="556" t="s">
        <v>979</v>
      </c>
      <c r="B22" s="568"/>
      <c r="C22" s="353"/>
      <c r="E22" s="507"/>
      <c r="H22" s="568">
        <v>44281</v>
      </c>
      <c r="I22" s="353" t="s">
        <v>992</v>
      </c>
      <c r="J22" s="556" t="s">
        <v>993</v>
      </c>
      <c r="K22" s="507">
        <v>0</v>
      </c>
      <c r="L22" s="556" t="s">
        <v>978</v>
      </c>
    </row>
    <row r="23" spans="1:12" s="556" customFormat="1" ht="15" customHeight="1">
      <c r="A23" s="556" t="s">
        <v>979</v>
      </c>
      <c r="B23" s="568"/>
      <c r="C23" s="353"/>
      <c r="E23" s="507"/>
      <c r="H23" s="568">
        <v>44371</v>
      </c>
      <c r="I23" s="353" t="s">
        <v>992</v>
      </c>
      <c r="J23" s="556" t="s">
        <v>993</v>
      </c>
      <c r="K23" s="507">
        <f>1000000</f>
        <v>1000000</v>
      </c>
      <c r="L23" s="556" t="s">
        <v>978</v>
      </c>
    </row>
    <row r="24" spans="1:12" s="556" customFormat="1" ht="15" customHeight="1">
      <c r="A24" s="556" t="s">
        <v>980</v>
      </c>
      <c r="B24" s="568">
        <v>44459</v>
      </c>
      <c r="C24" s="353" t="s">
        <v>448</v>
      </c>
      <c r="D24" s="556" t="str">
        <f>_xlfn.IFERROR(VLOOKUP(C24,'Base de Monedas'!A:B,2,0),"")</f>
        <v>Guaraní</v>
      </c>
      <c r="E24" s="507">
        <f>1000000</f>
        <v>1000000</v>
      </c>
      <c r="F24" s="556" t="s">
        <v>978</v>
      </c>
      <c r="H24" s="568">
        <v>44459</v>
      </c>
      <c r="I24" s="353" t="s">
        <v>992</v>
      </c>
      <c r="J24" s="556" t="s">
        <v>993</v>
      </c>
      <c r="K24" s="507">
        <f>1000000</f>
        <v>1000000</v>
      </c>
      <c r="L24" s="556" t="s">
        <v>978</v>
      </c>
    </row>
    <row r="25" spans="1:12" s="556" customFormat="1" ht="15" customHeight="1">
      <c r="A25" s="374" t="s">
        <v>980</v>
      </c>
      <c r="B25" s="568">
        <v>44331</v>
      </c>
      <c r="C25" s="353" t="s">
        <v>448</v>
      </c>
      <c r="D25" s="556" t="str">
        <f>_xlfn.IFERROR(VLOOKUP(C25,'Base de Monedas'!A:B,2,0),"")</f>
        <v>Guaraní</v>
      </c>
      <c r="E25" s="507">
        <f>1000000</f>
        <v>1000000</v>
      </c>
      <c r="F25" s="556" t="s">
        <v>978</v>
      </c>
      <c r="H25" s="568">
        <v>44331</v>
      </c>
      <c r="I25" s="353" t="s">
        <v>992</v>
      </c>
      <c r="J25" s="556" t="s">
        <v>993</v>
      </c>
      <c r="K25" s="507">
        <f>1000000</f>
        <v>1000000</v>
      </c>
      <c r="L25" s="556" t="s">
        <v>978</v>
      </c>
    </row>
    <row r="26" spans="1:12" s="556" customFormat="1" ht="15" customHeight="1">
      <c r="A26" s="374" t="s">
        <v>980</v>
      </c>
      <c r="B26" s="568">
        <v>44392</v>
      </c>
      <c r="C26" s="353" t="s">
        <v>448</v>
      </c>
      <c r="D26" s="556" t="str">
        <f>_xlfn.IFERROR(VLOOKUP(C26,'Base de Monedas'!A:B,2,0),"")</f>
        <v>Guaraní</v>
      </c>
      <c r="E26" s="507">
        <f>1000000</f>
        <v>1000000</v>
      </c>
      <c r="F26" s="556" t="s">
        <v>978</v>
      </c>
      <c r="H26" s="568">
        <v>44392</v>
      </c>
      <c r="I26" s="353" t="s">
        <v>992</v>
      </c>
      <c r="J26" s="556" t="s">
        <v>993</v>
      </c>
      <c r="K26" s="507">
        <f>1000000</f>
        <v>1000000</v>
      </c>
      <c r="L26" s="556" t="s">
        <v>978</v>
      </c>
    </row>
    <row r="27" spans="1:12" s="556" customFormat="1" ht="15" customHeight="1">
      <c r="A27" s="374" t="s">
        <v>981</v>
      </c>
      <c r="B27" s="568">
        <v>44469</v>
      </c>
      <c r="C27" s="353" t="s">
        <v>448</v>
      </c>
      <c r="D27" s="556" t="str">
        <f>_xlfn.IFERROR(VLOOKUP(C27,'Base de Monedas'!A:B,2,0),"")</f>
        <v>Guaraní</v>
      </c>
      <c r="E27" s="507">
        <f>900000</f>
        <v>900000</v>
      </c>
      <c r="F27" s="556" t="s">
        <v>978</v>
      </c>
      <c r="H27" s="568">
        <v>44284</v>
      </c>
      <c r="I27" s="353" t="s">
        <v>992</v>
      </c>
      <c r="J27" s="556" t="s">
        <v>993</v>
      </c>
      <c r="K27" s="507">
        <f>100000</f>
        <v>100000</v>
      </c>
      <c r="L27" s="556" t="s">
        <v>978</v>
      </c>
    </row>
    <row r="28" spans="1:12" s="556" customFormat="1" ht="15" customHeight="1">
      <c r="A28" s="374" t="s">
        <v>981</v>
      </c>
      <c r="B28" s="568">
        <v>44345</v>
      </c>
      <c r="C28" s="353" t="s">
        <v>448</v>
      </c>
      <c r="D28" s="556" t="str">
        <f>_xlfn.IFERROR(VLOOKUP(C28,'Base de Monedas'!A:B,2,0),"")</f>
        <v>Guaraní</v>
      </c>
      <c r="E28" s="507">
        <f>400000</f>
        <v>400000</v>
      </c>
      <c r="F28" s="556" t="s">
        <v>978</v>
      </c>
      <c r="H28" s="568">
        <v>44469</v>
      </c>
      <c r="I28" s="353" t="s">
        <v>992</v>
      </c>
      <c r="J28" s="556" t="s">
        <v>993</v>
      </c>
      <c r="K28" s="507">
        <f>900000</f>
        <v>900000</v>
      </c>
      <c r="L28" s="556" t="s">
        <v>978</v>
      </c>
    </row>
    <row r="29" spans="1:12" s="556" customFormat="1" ht="15" customHeight="1">
      <c r="A29" s="374" t="s">
        <v>981</v>
      </c>
      <c r="B29" s="568">
        <v>44325</v>
      </c>
      <c r="C29" s="353" t="s">
        <v>448</v>
      </c>
      <c r="D29" s="556" t="str">
        <f>_xlfn.IFERROR(VLOOKUP(C29,'Base de Monedas'!A:B,2,0),"")</f>
        <v>Guaraní</v>
      </c>
      <c r="E29" s="507">
        <f>640000</f>
        <v>640000</v>
      </c>
      <c r="F29" s="556" t="s">
        <v>978</v>
      </c>
      <c r="H29" s="568">
        <v>44345</v>
      </c>
      <c r="I29" s="353" t="s">
        <v>992</v>
      </c>
      <c r="J29" s="556" t="s">
        <v>993</v>
      </c>
      <c r="K29" s="507">
        <f>400000</f>
        <v>400000</v>
      </c>
      <c r="L29" s="556" t="s">
        <v>978</v>
      </c>
    </row>
    <row r="30" spans="1:12" s="556" customFormat="1" ht="15" customHeight="1">
      <c r="A30" s="374" t="s">
        <v>981</v>
      </c>
      <c r="B30" s="568">
        <v>44316</v>
      </c>
      <c r="C30" s="353" t="s">
        <v>448</v>
      </c>
      <c r="D30" s="556" t="str">
        <f>_xlfn.IFERROR(VLOOKUP(C30,'Base de Monedas'!A:B,2,0),"")</f>
        <v>Guaraní</v>
      </c>
      <c r="E30" s="507">
        <f>500000</f>
        <v>500000</v>
      </c>
      <c r="F30" s="556" t="s">
        <v>978</v>
      </c>
      <c r="H30" s="568">
        <v>44325</v>
      </c>
      <c r="I30" s="353" t="s">
        <v>992</v>
      </c>
      <c r="J30" s="556" t="s">
        <v>993</v>
      </c>
      <c r="K30" s="507">
        <f>640000</f>
        <v>640000</v>
      </c>
      <c r="L30" s="556" t="s">
        <v>978</v>
      </c>
    </row>
    <row r="31" spans="1:12" s="556" customFormat="1" ht="15" customHeight="1">
      <c r="A31" s="374" t="s">
        <v>981</v>
      </c>
      <c r="B31" s="568"/>
      <c r="C31" s="353"/>
      <c r="E31" s="507"/>
      <c r="H31" s="568">
        <v>44316</v>
      </c>
      <c r="I31" s="353" t="s">
        <v>992</v>
      </c>
      <c r="J31" s="556" t="s">
        <v>993</v>
      </c>
      <c r="K31" s="507">
        <f>500000</f>
        <v>500000</v>
      </c>
      <c r="L31" s="556" t="s">
        <v>978</v>
      </c>
    </row>
    <row r="32" spans="1:12" s="556" customFormat="1" ht="15" customHeight="1">
      <c r="A32" s="374" t="s">
        <v>982</v>
      </c>
      <c r="B32" s="568">
        <v>44508</v>
      </c>
      <c r="C32" s="353" t="s">
        <v>448</v>
      </c>
      <c r="D32" s="556" t="str">
        <f>_xlfn.IFERROR(VLOOKUP(C32,'Base de Monedas'!A:B,2,0),"")</f>
        <v>Guaraní</v>
      </c>
      <c r="E32" s="507">
        <f>900000</f>
        <v>900000</v>
      </c>
      <c r="F32" s="556" t="s">
        <v>978</v>
      </c>
      <c r="H32" s="568">
        <v>44508</v>
      </c>
      <c r="I32" s="353" t="s">
        <v>992</v>
      </c>
      <c r="J32" s="556" t="s">
        <v>993</v>
      </c>
      <c r="K32" s="507">
        <f>900000</f>
        <v>900000</v>
      </c>
      <c r="L32" s="556" t="s">
        <v>978</v>
      </c>
    </row>
    <row r="33" spans="1:12" s="556" customFormat="1" ht="15" customHeight="1">
      <c r="A33" s="374" t="s">
        <v>982</v>
      </c>
      <c r="B33" s="568">
        <v>44470</v>
      </c>
      <c r="C33" s="353" t="s">
        <v>448</v>
      </c>
      <c r="D33" s="556" t="str">
        <f>_xlfn.IFERROR(VLOOKUP(C33,'Base de Monedas'!A:B,2,0),"")</f>
        <v>Guaraní</v>
      </c>
      <c r="E33" s="507">
        <f>750000</f>
        <v>750000</v>
      </c>
      <c r="F33" s="556" t="s">
        <v>978</v>
      </c>
      <c r="H33" s="568">
        <v>44470</v>
      </c>
      <c r="I33" s="353" t="s">
        <v>992</v>
      </c>
      <c r="J33" s="556" t="s">
        <v>993</v>
      </c>
      <c r="K33" s="507">
        <f>750000</f>
        <v>750000</v>
      </c>
      <c r="L33" s="556" t="s">
        <v>978</v>
      </c>
    </row>
    <row r="34" spans="1:12" s="556" customFormat="1" ht="15" customHeight="1">
      <c r="A34" s="374" t="s">
        <v>982</v>
      </c>
      <c r="B34" s="568">
        <v>44428</v>
      </c>
      <c r="C34" s="353" t="s">
        <v>448</v>
      </c>
      <c r="D34" s="556" t="str">
        <f>_xlfn.IFERROR(VLOOKUP(C34,'Base de Monedas'!A:B,2,0),"")</f>
        <v>Guaraní</v>
      </c>
      <c r="E34" s="507">
        <f>750000</f>
        <v>750000</v>
      </c>
      <c r="F34" s="556" t="s">
        <v>978</v>
      </c>
      <c r="H34" s="568">
        <v>44428</v>
      </c>
      <c r="I34" s="353" t="s">
        <v>992</v>
      </c>
      <c r="J34" s="556" t="s">
        <v>993</v>
      </c>
      <c r="K34" s="507">
        <f>750000</f>
        <v>750000</v>
      </c>
      <c r="L34" s="556" t="s">
        <v>978</v>
      </c>
    </row>
    <row r="35" spans="1:12" s="556" customFormat="1" ht="15" customHeight="1">
      <c r="A35" s="374" t="s">
        <v>982</v>
      </c>
      <c r="B35" s="568"/>
      <c r="C35" s="353"/>
      <c r="E35" s="507"/>
      <c r="H35" s="568">
        <v>44242</v>
      </c>
      <c r="I35" s="353" t="s">
        <v>992</v>
      </c>
      <c r="J35" s="556" t="s">
        <v>993</v>
      </c>
      <c r="K35" s="507">
        <f>750000</f>
        <v>750000</v>
      </c>
      <c r="L35" s="556" t="s">
        <v>978</v>
      </c>
    </row>
    <row r="36" spans="1:12" s="556" customFormat="1" ht="15" customHeight="1">
      <c r="A36" s="374" t="s">
        <v>982</v>
      </c>
      <c r="B36" s="568"/>
      <c r="C36" s="353"/>
      <c r="E36" s="507"/>
      <c r="H36" s="568">
        <v>44225</v>
      </c>
      <c r="I36" s="353" t="s">
        <v>992</v>
      </c>
      <c r="J36" s="556" t="s">
        <v>993</v>
      </c>
      <c r="K36" s="507">
        <f>800000</f>
        <v>800000</v>
      </c>
      <c r="L36" s="556" t="s">
        <v>978</v>
      </c>
    </row>
    <row r="37" spans="1:12" s="556" customFormat="1" ht="15" customHeight="1">
      <c r="A37" s="586" t="s">
        <v>994</v>
      </c>
      <c r="B37" s="575"/>
      <c r="C37" s="377"/>
      <c r="D37" s="376"/>
      <c r="E37" s="569"/>
      <c r="F37" s="376"/>
      <c r="G37" s="376"/>
      <c r="H37" s="575">
        <v>44198</v>
      </c>
      <c r="I37" s="377" t="s">
        <v>992</v>
      </c>
      <c r="J37" s="376" t="s">
        <v>993</v>
      </c>
      <c r="K37" s="569">
        <f>1300000</f>
        <v>1300000</v>
      </c>
      <c r="L37" s="376" t="s">
        <v>978</v>
      </c>
    </row>
    <row r="38" spans="1:11" s="556" customFormat="1" ht="15" customHeight="1">
      <c r="A38" s="374"/>
      <c r="B38" s="568"/>
      <c r="C38" s="353"/>
      <c r="E38" s="587">
        <f>SUM(E13:E37)</f>
        <v>11590000</v>
      </c>
      <c r="H38" s="568"/>
      <c r="I38" s="353"/>
      <c r="K38" s="587">
        <f>SUM(K13:K37)</f>
        <v>15040000</v>
      </c>
    </row>
    <row r="39" spans="1:11" s="556" customFormat="1" ht="15" customHeight="1">
      <c r="A39" s="570" t="s">
        <v>983</v>
      </c>
      <c r="B39" s="568"/>
      <c r="C39" s="353"/>
      <c r="D39" s="556">
        <f>_xlfn.IFERROR(VLOOKUP(C39,'Base de Monedas'!A:B,2,0),"")</f>
      </c>
      <c r="E39" s="507"/>
      <c r="H39" s="568"/>
      <c r="I39" s="353"/>
      <c r="K39" s="507"/>
    </row>
    <row r="40" spans="1:12" s="556" customFormat="1" ht="15" customHeight="1">
      <c r="A40" s="586" t="s">
        <v>984</v>
      </c>
      <c r="B40" s="575">
        <v>44347</v>
      </c>
      <c r="C40" s="377" t="s">
        <v>448</v>
      </c>
      <c r="D40" s="376" t="str">
        <f>_xlfn.IFERROR(VLOOKUP(C40,'Base de Monedas'!A:B,2,0),"")</f>
        <v>Guaraní</v>
      </c>
      <c r="E40" s="569">
        <v>0</v>
      </c>
      <c r="F40" s="376" t="s">
        <v>978</v>
      </c>
      <c r="G40" s="376"/>
      <c r="H40" s="575"/>
      <c r="I40" s="377" t="s">
        <v>992</v>
      </c>
      <c r="J40" s="376" t="s">
        <v>993</v>
      </c>
      <c r="K40" s="569">
        <v>0</v>
      </c>
      <c r="L40" s="376" t="s">
        <v>978</v>
      </c>
    </row>
    <row r="41" spans="1:11" s="556" customFormat="1" ht="15" customHeight="1">
      <c r="A41" s="374"/>
      <c r="B41" s="568"/>
      <c r="C41" s="353"/>
      <c r="E41" s="507">
        <f>+E40</f>
        <v>0</v>
      </c>
      <c r="H41" s="568"/>
      <c r="I41" s="353"/>
      <c r="K41" s="587">
        <v>0</v>
      </c>
    </row>
    <row r="42" spans="1:11" s="556" customFormat="1" ht="15" customHeight="1">
      <c r="A42" s="374" t="s">
        <v>120</v>
      </c>
      <c r="C42" s="353"/>
      <c r="E42" s="507"/>
      <c r="H42" s="568"/>
      <c r="I42" s="353"/>
      <c r="K42" s="507"/>
    </row>
    <row r="43" spans="1:11" s="556" customFormat="1" ht="15" customHeight="1">
      <c r="A43" s="573"/>
      <c r="C43" s="353"/>
      <c r="E43" s="507"/>
      <c r="H43" s="573"/>
      <c r="I43" s="353"/>
      <c r="K43" s="507"/>
    </row>
    <row r="44" spans="1:12" s="556" customFormat="1" ht="15" customHeight="1">
      <c r="A44" s="565" t="s">
        <v>985</v>
      </c>
      <c r="C44" s="353"/>
      <c r="E44" s="507"/>
      <c r="H44" s="573"/>
      <c r="I44" s="353"/>
      <c r="J44" s="566"/>
      <c r="K44" s="507"/>
      <c r="L44" s="566"/>
    </row>
    <row r="45" spans="1:12" s="556" customFormat="1" ht="15" customHeight="1">
      <c r="A45" s="573" t="s">
        <v>986</v>
      </c>
      <c r="B45" s="568"/>
      <c r="C45" s="353"/>
      <c r="D45" s="556">
        <f>_xlfn.IFERROR(VLOOKUP(C45,'Base de Monedas'!A:B,2,0),"")</f>
      </c>
      <c r="E45" s="507"/>
      <c r="H45" s="573" t="s">
        <v>986</v>
      </c>
      <c r="I45" s="353"/>
      <c r="J45" s="566"/>
      <c r="K45" s="507"/>
      <c r="L45" s="566"/>
    </row>
    <row r="46" spans="1:12" s="556" customFormat="1" ht="15" customHeight="1">
      <c r="A46" s="574" t="s">
        <v>988</v>
      </c>
      <c r="B46" s="568">
        <v>44306</v>
      </c>
      <c r="C46" s="353" t="s">
        <v>448</v>
      </c>
      <c r="D46" s="577" t="str">
        <f>_xlfn.IFERROR(VLOOKUP(C46,'Base de Monedas'!A:B,2,0),"")</f>
        <v>Guaraní</v>
      </c>
      <c r="E46" s="507">
        <v>0</v>
      </c>
      <c r="F46" s="577"/>
      <c r="H46" s="568">
        <v>44215</v>
      </c>
      <c r="I46" s="353" t="s">
        <v>992</v>
      </c>
      <c r="J46" s="577" t="s">
        <v>993</v>
      </c>
      <c r="K46" s="507">
        <v>0</v>
      </c>
      <c r="L46" s="577" t="s">
        <v>978</v>
      </c>
    </row>
    <row r="47" spans="1:12" s="556" customFormat="1" ht="15" customHeight="1">
      <c r="A47" s="574" t="s">
        <v>988</v>
      </c>
      <c r="B47" s="568">
        <v>44397</v>
      </c>
      <c r="C47" s="353" t="s">
        <v>448</v>
      </c>
      <c r="D47" s="577" t="str">
        <f>_xlfn.IFERROR(VLOOKUP(C47,'Base de Monedas'!A:B,2,0),"")</f>
        <v>Guaraní</v>
      </c>
      <c r="E47" s="507">
        <v>0</v>
      </c>
      <c r="F47" s="577"/>
      <c r="H47" s="568">
        <v>44306</v>
      </c>
      <c r="I47" s="353" t="s">
        <v>992</v>
      </c>
      <c r="J47" s="577" t="s">
        <v>993</v>
      </c>
      <c r="K47" s="507">
        <v>0</v>
      </c>
      <c r="L47" s="577" t="s">
        <v>978</v>
      </c>
    </row>
    <row r="48" spans="1:12" s="556" customFormat="1" ht="15" customHeight="1">
      <c r="A48" s="574" t="s">
        <v>988</v>
      </c>
      <c r="B48" s="568">
        <v>44488</v>
      </c>
      <c r="C48" s="353" t="s">
        <v>448</v>
      </c>
      <c r="D48" s="577" t="str">
        <f>_xlfn.IFERROR(VLOOKUP(C48,'Base de Monedas'!A:B,2,0),"")</f>
        <v>Guaraní</v>
      </c>
      <c r="E48" s="507">
        <f>1400000</f>
        <v>1400000</v>
      </c>
      <c r="F48" s="577" t="s">
        <v>978</v>
      </c>
      <c r="H48" s="568">
        <v>44397</v>
      </c>
      <c r="I48" s="353" t="s">
        <v>992</v>
      </c>
      <c r="J48" s="577" t="s">
        <v>993</v>
      </c>
      <c r="K48" s="507">
        <v>0</v>
      </c>
      <c r="L48" s="577" t="s">
        <v>978</v>
      </c>
    </row>
    <row r="49" spans="1:12" s="556" customFormat="1" ht="15" customHeight="1">
      <c r="A49" s="574" t="s">
        <v>988</v>
      </c>
      <c r="B49" s="568"/>
      <c r="C49" s="353"/>
      <c r="E49" s="507"/>
      <c r="H49" s="568">
        <v>44488</v>
      </c>
      <c r="I49" s="353" t="s">
        <v>992</v>
      </c>
      <c r="J49" s="577" t="s">
        <v>993</v>
      </c>
      <c r="K49" s="507">
        <f>1400000</f>
        <v>1400000</v>
      </c>
      <c r="L49" s="577" t="s">
        <v>978</v>
      </c>
    </row>
    <row r="50" spans="1:12" s="556" customFormat="1" ht="15" customHeight="1">
      <c r="A50" s="573"/>
      <c r="B50" s="568"/>
      <c r="C50" s="353"/>
      <c r="E50" s="507"/>
      <c r="H50" s="568"/>
      <c r="I50" s="353"/>
      <c r="J50" s="566"/>
      <c r="K50" s="507"/>
      <c r="L50" s="566"/>
    </row>
    <row r="51" spans="1:12" s="556" customFormat="1" ht="15" customHeight="1">
      <c r="A51" s="573" t="s">
        <v>987</v>
      </c>
      <c r="B51" s="568">
        <v>44369</v>
      </c>
      <c r="C51" s="353" t="s">
        <v>448</v>
      </c>
      <c r="D51" s="556" t="str">
        <f>_xlfn.IFERROR(VLOOKUP(C51,'Base de Monedas'!A:B,2,0),"")</f>
        <v>Guaraní</v>
      </c>
      <c r="E51" s="507">
        <v>0</v>
      </c>
      <c r="H51" s="568"/>
      <c r="I51" s="353"/>
      <c r="J51" s="566"/>
      <c r="K51" s="507"/>
      <c r="L51" s="566"/>
    </row>
    <row r="52" spans="1:12" s="556" customFormat="1" ht="15" customHeight="1">
      <c r="A52" s="567" t="s">
        <v>989</v>
      </c>
      <c r="B52" s="568">
        <v>44460</v>
      </c>
      <c r="C52" s="353" t="s">
        <v>448</v>
      </c>
      <c r="D52" s="556" t="str">
        <f>_xlfn.IFERROR(VLOOKUP(C52,'Base de Monedas'!A:B,2,0),"")</f>
        <v>Guaraní</v>
      </c>
      <c r="E52" s="507">
        <v>0</v>
      </c>
      <c r="H52" s="568"/>
      <c r="I52" s="353"/>
      <c r="J52" s="566"/>
      <c r="K52" s="507"/>
      <c r="L52" s="566"/>
    </row>
    <row r="53" spans="1:12" s="556" customFormat="1" ht="15" customHeight="1">
      <c r="A53" s="567" t="s">
        <v>989</v>
      </c>
      <c r="B53" s="568">
        <v>44551</v>
      </c>
      <c r="C53" s="353" t="s">
        <v>448</v>
      </c>
      <c r="D53" s="556" t="str">
        <f>_xlfn.IFERROR(VLOOKUP(C53,'Base de Monedas'!A:B,2,0),"")</f>
        <v>Guaraní</v>
      </c>
      <c r="E53" s="507">
        <v>0</v>
      </c>
      <c r="H53" s="573" t="s">
        <v>987</v>
      </c>
      <c r="I53" s="353"/>
      <c r="J53" s="566"/>
      <c r="K53" s="507"/>
      <c r="L53" s="566"/>
    </row>
    <row r="54" spans="1:12" s="556" customFormat="1" ht="15" customHeight="1">
      <c r="A54" s="567" t="s">
        <v>989</v>
      </c>
      <c r="B54" s="568"/>
      <c r="C54" s="353"/>
      <c r="E54" s="507"/>
      <c r="H54" s="568">
        <v>44278</v>
      </c>
      <c r="I54" s="353" t="s">
        <v>992</v>
      </c>
      <c r="J54" s="566" t="s">
        <v>993</v>
      </c>
      <c r="K54" s="507">
        <v>0</v>
      </c>
      <c r="L54" s="566" t="s">
        <v>978</v>
      </c>
    </row>
    <row r="55" spans="1:12" s="556" customFormat="1" ht="15" customHeight="1">
      <c r="A55" s="590" t="s">
        <v>989</v>
      </c>
      <c r="B55" s="588"/>
      <c r="C55" s="581"/>
      <c r="D55" s="162"/>
      <c r="E55" s="562"/>
      <c r="F55" s="162"/>
      <c r="H55" s="568">
        <v>44369</v>
      </c>
      <c r="I55" s="353" t="s">
        <v>448</v>
      </c>
      <c r="J55" s="566" t="s">
        <v>993</v>
      </c>
      <c r="K55" s="507">
        <v>0</v>
      </c>
      <c r="L55" s="566" t="s">
        <v>978</v>
      </c>
    </row>
    <row r="56" spans="1:12" s="556" customFormat="1" ht="15" customHeight="1">
      <c r="A56" s="591"/>
      <c r="B56" s="575"/>
      <c r="C56" s="377"/>
      <c r="D56" s="376"/>
      <c r="E56" s="592"/>
      <c r="F56" s="376"/>
      <c r="G56" s="376"/>
      <c r="H56" s="575">
        <v>44460</v>
      </c>
      <c r="I56" s="377" t="s">
        <v>448</v>
      </c>
      <c r="J56" s="376" t="s">
        <v>993</v>
      </c>
      <c r="K56" s="569">
        <v>0</v>
      </c>
      <c r="L56" s="376" t="s">
        <v>978</v>
      </c>
    </row>
    <row r="57" spans="1:11" ht="15" customHeight="1">
      <c r="A57" s="374"/>
      <c r="C57" s="353"/>
      <c r="D57" s="339">
        <f>_xlfn.IFERROR(VLOOKUP(C57,'Base de Monedas'!A:B,2,0),"")</f>
      </c>
      <c r="E57" s="587">
        <f>SUM(E45:E55)</f>
        <v>1400000</v>
      </c>
      <c r="H57" s="568"/>
      <c r="I57" s="353"/>
      <c r="J57" s="339">
        <f>_xlfn.IFERROR(VLOOKUP(I57,'Base de Monedas'!A:B,2,0),"")</f>
      </c>
      <c r="K57" s="587">
        <f>+K49</f>
        <v>1400000</v>
      </c>
    </row>
    <row r="58" spans="1:11" ht="15" customHeight="1">
      <c r="A58" s="163" t="s">
        <v>858</v>
      </c>
      <c r="C58" s="353"/>
      <c r="D58" s="339">
        <f>_xlfn.IFERROR(VLOOKUP(C58,'Base de Monedas'!A:B,2,0),"")</f>
      </c>
      <c r="E58" s="507"/>
      <c r="H58" s="568"/>
      <c r="I58" s="353"/>
      <c r="J58" s="339">
        <f>_xlfn.IFERROR(VLOOKUP(I58,'Base de Monedas'!A:B,2,0),"")</f>
      </c>
      <c r="K58" s="507"/>
    </row>
    <row r="59" spans="1:11" ht="15" customHeight="1">
      <c r="A59" s="339" t="s">
        <v>856</v>
      </c>
      <c r="C59" s="353"/>
      <c r="D59" s="339">
        <f>_xlfn.IFERROR(VLOOKUP(C59,'Base de Monedas'!A:B,2,0),"")</f>
      </c>
      <c r="E59" s="507"/>
      <c r="H59" s="568"/>
      <c r="I59" s="353"/>
      <c r="J59" s="339">
        <f>_xlfn.IFERROR(VLOOKUP(I59,'Base de Monedas'!A:B,2,0),"")</f>
      </c>
      <c r="K59" s="507"/>
    </row>
    <row r="60" spans="1:11" ht="15" customHeight="1">
      <c r="A60" s="339" t="s">
        <v>856</v>
      </c>
      <c r="C60" s="353"/>
      <c r="D60" s="339">
        <f>_xlfn.IFERROR(VLOOKUP(C60,'Base de Monedas'!A:B,2,0),"")</f>
      </c>
      <c r="E60" s="507"/>
      <c r="H60" s="568"/>
      <c r="I60" s="353"/>
      <c r="J60" s="339">
        <f>_xlfn.IFERROR(VLOOKUP(I60,'Base de Monedas'!A:B,2,0),"")</f>
      </c>
      <c r="K60" s="507"/>
    </row>
    <row r="61" spans="1:11" ht="15" customHeight="1">
      <c r="A61" s="374" t="s">
        <v>120</v>
      </c>
      <c r="C61" s="353"/>
      <c r="D61" s="339">
        <f>_xlfn.IFERROR(VLOOKUP(C61,'Base de Monedas'!A:B,2,0),"")</f>
      </c>
      <c r="E61" s="507"/>
      <c r="H61" s="568"/>
      <c r="I61" s="353"/>
      <c r="J61" s="339">
        <f>_xlfn.IFERROR(VLOOKUP(I61,'Base de Monedas'!A:B,2,0),"")</f>
      </c>
      <c r="K61" s="507"/>
    </row>
    <row r="62" spans="1:11" ht="15" customHeight="1">
      <c r="A62" t="s">
        <v>261</v>
      </c>
      <c r="C62" s="353"/>
      <c r="D62" s="339">
        <f>_xlfn.IFERROR(VLOOKUP(C62,'Base de Monedas'!A:B,2,0),"")</f>
      </c>
      <c r="E62" s="507"/>
      <c r="H62" s="568"/>
      <c r="I62" s="353"/>
      <c r="J62" s="339">
        <f>_xlfn.IFERROR(VLOOKUP(I62,'Base de Monedas'!A:B,2,0),"")</f>
      </c>
      <c r="K62" s="507"/>
    </row>
    <row r="63" spans="1:11" ht="15" customHeight="1">
      <c r="A63" s="374" t="s">
        <v>121</v>
      </c>
      <c r="C63" s="353"/>
      <c r="D63" s="339">
        <f>_xlfn.IFERROR(VLOOKUP(C63,'Base de Monedas'!A:B,2,0),"")</f>
      </c>
      <c r="E63" s="507"/>
      <c r="H63" s="568"/>
      <c r="I63" s="353"/>
      <c r="J63" s="339">
        <f>_xlfn.IFERROR(VLOOKUP(I63,'Base de Monedas'!A:B,2,0),"")</f>
      </c>
      <c r="K63" s="507"/>
    </row>
    <row r="64" spans="1:11" s="556" customFormat="1" ht="15" customHeight="1">
      <c r="A64" s="374"/>
      <c r="C64" s="353"/>
      <c r="E64" s="507"/>
      <c r="H64" s="568"/>
      <c r="I64" s="353"/>
      <c r="K64" s="507"/>
    </row>
    <row r="65" spans="1:11" ht="15" customHeight="1">
      <c r="A65" s="128" t="s">
        <v>860</v>
      </c>
      <c r="C65" s="353"/>
      <c r="D65" s="339">
        <f>_xlfn.IFERROR(VLOOKUP(C65,'Base de Monedas'!A:B,2,0),"")</f>
      </c>
      <c r="E65" s="507"/>
      <c r="H65" s="568"/>
      <c r="I65" s="353"/>
      <c r="J65" s="339">
        <f>_xlfn.IFERROR(VLOOKUP(I65,'Base de Monedas'!A:B,2,0),"")</f>
      </c>
      <c r="K65" s="507"/>
    </row>
    <row r="66" spans="1:11" ht="15" customHeight="1">
      <c r="A66" s="128" t="s">
        <v>1005</v>
      </c>
      <c r="C66" s="353"/>
      <c r="D66" s="339">
        <f>_xlfn.IFERROR(VLOOKUP(C66,'Base de Monedas'!A:B,2,0),"")</f>
      </c>
      <c r="E66" s="507"/>
      <c r="H66" s="568"/>
      <c r="I66" s="353"/>
      <c r="J66" s="339">
        <f>_xlfn.IFERROR(VLOOKUP(I66,'Base de Monedas'!A:B,2,0),"")</f>
      </c>
      <c r="K66" s="507"/>
    </row>
    <row r="67" spans="1:12" s="556" customFormat="1" ht="15" customHeight="1">
      <c r="A67" s="556" t="s">
        <v>995</v>
      </c>
      <c r="B67" s="568">
        <v>44311</v>
      </c>
      <c r="C67" s="353" t="s">
        <v>448</v>
      </c>
      <c r="D67" s="556" t="str">
        <f>_xlfn.IFERROR(VLOOKUP(C67,'Base de Monedas'!A:B,2,0),"")</f>
        <v>Guaraní</v>
      </c>
      <c r="E67" s="507">
        <v>5877</v>
      </c>
      <c r="F67" s="566" t="s">
        <v>978</v>
      </c>
      <c r="H67" s="568">
        <v>44221</v>
      </c>
      <c r="I67" s="353" t="s">
        <v>992</v>
      </c>
      <c r="J67" s="566" t="s">
        <v>993</v>
      </c>
      <c r="K67" s="507">
        <v>17630</v>
      </c>
      <c r="L67" s="566" t="s">
        <v>978</v>
      </c>
    </row>
    <row r="68" spans="1:12" s="556" customFormat="1" ht="15" customHeight="1">
      <c r="A68" s="556" t="s">
        <v>995</v>
      </c>
      <c r="B68" s="568">
        <v>44358</v>
      </c>
      <c r="C68" s="353" t="s">
        <v>448</v>
      </c>
      <c r="D68" s="556" t="str">
        <f>_xlfn.IFERROR(VLOOKUP(C68,'Base de Monedas'!A:B,2,0),"")</f>
        <v>Guaraní</v>
      </c>
      <c r="E68" s="507">
        <v>16274</v>
      </c>
      <c r="F68" s="566" t="s">
        <v>978</v>
      </c>
      <c r="H68" s="568">
        <v>44251</v>
      </c>
      <c r="I68" s="353" t="s">
        <v>992</v>
      </c>
      <c r="J68" s="566" t="s">
        <v>993</v>
      </c>
      <c r="K68" s="507">
        <f>5877</f>
        <v>5877</v>
      </c>
      <c r="L68" s="566" t="s">
        <v>978</v>
      </c>
    </row>
    <row r="69" spans="1:12" s="556" customFormat="1" ht="15" customHeight="1">
      <c r="A69" s="556" t="s">
        <v>995</v>
      </c>
      <c r="B69" s="568">
        <v>44448</v>
      </c>
      <c r="C69" s="353" t="s">
        <v>448</v>
      </c>
      <c r="D69" s="556" t="str">
        <f>_xlfn.IFERROR(VLOOKUP(C69,'Base de Monedas'!A:B,2,0),"")</f>
        <v>Guaraní</v>
      </c>
      <c r="E69" s="507">
        <v>16274</v>
      </c>
      <c r="F69" s="566" t="s">
        <v>978</v>
      </c>
      <c r="H69" s="568">
        <v>44311</v>
      </c>
      <c r="I69" s="353" t="s">
        <v>992</v>
      </c>
      <c r="J69" s="566" t="s">
        <v>993</v>
      </c>
      <c r="K69" s="507">
        <f>5877</f>
        <v>5877</v>
      </c>
      <c r="L69" s="566" t="s">
        <v>978</v>
      </c>
    </row>
    <row r="70" spans="1:12" s="556" customFormat="1" ht="15" customHeight="1">
      <c r="A70" s="556" t="s">
        <v>995</v>
      </c>
      <c r="B70" s="568">
        <v>44317</v>
      </c>
      <c r="C70" s="353" t="s">
        <v>448</v>
      </c>
      <c r="D70" s="556" t="str">
        <f>_xlfn.IFERROR(VLOOKUP(C70,'Base de Monedas'!A:B,2,0),"")</f>
        <v>Guaraní</v>
      </c>
      <c r="E70" s="507">
        <v>34582</v>
      </c>
      <c r="F70" s="566" t="s">
        <v>978</v>
      </c>
      <c r="H70" s="568">
        <v>44268</v>
      </c>
      <c r="I70" s="353" t="s">
        <v>992</v>
      </c>
      <c r="J70" s="566" t="s">
        <v>993</v>
      </c>
      <c r="K70" s="507">
        <v>16274</v>
      </c>
      <c r="L70" s="566" t="s">
        <v>978</v>
      </c>
    </row>
    <row r="71" spans="1:12" s="556" customFormat="1" ht="15" customHeight="1">
      <c r="A71" s="556" t="s">
        <v>995</v>
      </c>
      <c r="B71" s="568">
        <v>44407</v>
      </c>
      <c r="C71" s="353" t="s">
        <v>448</v>
      </c>
      <c r="D71" s="556" t="str">
        <f>_xlfn.IFERROR(VLOOKUP(C71,'Base de Monedas'!A:B,2,0),"")</f>
        <v>Guaraní</v>
      </c>
      <c r="E71" s="507">
        <v>34582</v>
      </c>
      <c r="F71" s="566" t="s">
        <v>978</v>
      </c>
      <c r="H71" s="568">
        <v>44358</v>
      </c>
      <c r="I71" s="353" t="s">
        <v>992</v>
      </c>
      <c r="J71" s="566" t="s">
        <v>993</v>
      </c>
      <c r="K71" s="507">
        <v>16274</v>
      </c>
      <c r="L71" s="566" t="s">
        <v>978</v>
      </c>
    </row>
    <row r="72" spans="1:12" s="556" customFormat="1" ht="15" customHeight="1">
      <c r="A72" s="556" t="s">
        <v>995</v>
      </c>
      <c r="B72" s="568">
        <v>44371</v>
      </c>
      <c r="C72" s="353" t="s">
        <v>448</v>
      </c>
      <c r="D72" s="556" t="str">
        <f>_xlfn.IFERROR(VLOOKUP(C72,'Base de Monedas'!A:B,2,0),"")</f>
        <v>Guaraní</v>
      </c>
      <c r="E72" s="507">
        <v>22808</v>
      </c>
      <c r="F72" s="566" t="s">
        <v>978</v>
      </c>
      <c r="H72" s="568">
        <v>44448</v>
      </c>
      <c r="I72" s="353" t="s">
        <v>992</v>
      </c>
      <c r="J72" s="566" t="s">
        <v>993</v>
      </c>
      <c r="K72" s="507">
        <f>16274</f>
        <v>16274</v>
      </c>
      <c r="L72" s="566" t="s">
        <v>978</v>
      </c>
    </row>
    <row r="73" spans="1:12" s="566" customFormat="1" ht="15" customHeight="1">
      <c r="A73" s="566" t="s">
        <v>995</v>
      </c>
      <c r="B73" s="568"/>
      <c r="C73" s="353"/>
      <c r="E73" s="507"/>
      <c r="H73" s="568">
        <v>44227</v>
      </c>
      <c r="I73" s="353" t="s">
        <v>992</v>
      </c>
      <c r="J73" s="566" t="s">
        <v>993</v>
      </c>
      <c r="K73" s="507">
        <v>34582</v>
      </c>
      <c r="L73" s="566" t="s">
        <v>978</v>
      </c>
    </row>
    <row r="74" spans="1:12" s="566" customFormat="1" ht="15" customHeight="1">
      <c r="A74" s="566" t="s">
        <v>995</v>
      </c>
      <c r="B74" s="568"/>
      <c r="C74" s="353"/>
      <c r="E74" s="507"/>
      <c r="H74" s="568">
        <v>44317</v>
      </c>
      <c r="I74" s="353" t="s">
        <v>992</v>
      </c>
      <c r="J74" s="566" t="s">
        <v>993</v>
      </c>
      <c r="K74" s="507">
        <v>34582</v>
      </c>
      <c r="L74" s="566" t="s">
        <v>978</v>
      </c>
    </row>
    <row r="75" spans="1:12" s="566" customFormat="1" ht="15" customHeight="1">
      <c r="A75" s="566" t="s">
        <v>995</v>
      </c>
      <c r="B75" s="568"/>
      <c r="C75" s="353"/>
      <c r="E75" s="507"/>
      <c r="H75" s="568">
        <v>44407</v>
      </c>
      <c r="I75" s="353" t="s">
        <v>992</v>
      </c>
      <c r="J75" s="566" t="s">
        <v>993</v>
      </c>
      <c r="K75" s="507">
        <v>34582</v>
      </c>
      <c r="L75" s="566" t="s">
        <v>978</v>
      </c>
    </row>
    <row r="76" spans="1:12" s="566" customFormat="1" ht="15" customHeight="1">
      <c r="A76" s="566" t="s">
        <v>995</v>
      </c>
      <c r="B76" s="568"/>
      <c r="C76" s="353"/>
      <c r="E76" s="507"/>
      <c r="H76" s="568">
        <v>44281</v>
      </c>
      <c r="I76" s="353" t="s">
        <v>992</v>
      </c>
      <c r="J76" s="566" t="s">
        <v>993</v>
      </c>
      <c r="K76" s="507">
        <v>22808</v>
      </c>
      <c r="L76" s="566" t="s">
        <v>978</v>
      </c>
    </row>
    <row r="77" spans="1:12" s="566" customFormat="1" ht="15" customHeight="1">
      <c r="A77" s="566" t="s">
        <v>995</v>
      </c>
      <c r="B77" s="568"/>
      <c r="C77" s="353"/>
      <c r="E77" s="507"/>
      <c r="H77" s="568">
        <v>44371</v>
      </c>
      <c r="I77" s="353" t="s">
        <v>992</v>
      </c>
      <c r="J77" s="566" t="s">
        <v>993</v>
      </c>
      <c r="K77" s="507">
        <v>22808</v>
      </c>
      <c r="L77" s="566" t="s">
        <v>978</v>
      </c>
    </row>
    <row r="78" spans="2:11" s="566" customFormat="1" ht="15" customHeight="1">
      <c r="B78" s="568"/>
      <c r="C78" s="353"/>
      <c r="E78" s="507"/>
      <c r="H78" s="568"/>
      <c r="I78" s="353"/>
      <c r="K78" s="507"/>
    </row>
    <row r="79" spans="1:12" s="556" customFormat="1" ht="15" customHeight="1">
      <c r="A79" s="556" t="s">
        <v>980</v>
      </c>
      <c r="B79" s="568">
        <v>44459</v>
      </c>
      <c r="C79" s="353" t="s">
        <v>448</v>
      </c>
      <c r="D79" s="556" t="str">
        <f>_xlfn.IFERROR(VLOOKUP(C79,'Base de Monedas'!A:B,2,0),"")</f>
        <v>Guaraní</v>
      </c>
      <c r="E79" s="507">
        <v>47466</v>
      </c>
      <c r="F79" s="556" t="s">
        <v>978</v>
      </c>
      <c r="H79" s="568">
        <v>44459</v>
      </c>
      <c r="I79" s="353" t="s">
        <v>992</v>
      </c>
      <c r="J79" s="566" t="s">
        <v>993</v>
      </c>
      <c r="K79" s="507">
        <f>47466</f>
        <v>47466</v>
      </c>
      <c r="L79" s="566" t="s">
        <v>978</v>
      </c>
    </row>
    <row r="80" spans="1:12" s="556" customFormat="1" ht="15" customHeight="1">
      <c r="A80" s="374" t="s">
        <v>980</v>
      </c>
      <c r="B80" s="568">
        <v>44331</v>
      </c>
      <c r="C80" s="353" t="s">
        <v>448</v>
      </c>
      <c r="D80" s="556" t="str">
        <f>_xlfn.IFERROR(VLOOKUP(C80,'Base de Monedas'!A:B,2,0),"")</f>
        <v>Guaraní</v>
      </c>
      <c r="E80" s="507">
        <v>40685</v>
      </c>
      <c r="F80" s="556" t="s">
        <v>978</v>
      </c>
      <c r="H80" s="568">
        <v>44331</v>
      </c>
      <c r="I80" s="353" t="s">
        <v>992</v>
      </c>
      <c r="J80" s="566" t="s">
        <v>993</v>
      </c>
      <c r="K80" s="507">
        <f>40685</f>
        <v>40685</v>
      </c>
      <c r="L80" s="566" t="s">
        <v>978</v>
      </c>
    </row>
    <row r="81" spans="1:12" s="556" customFormat="1" ht="15" customHeight="1">
      <c r="A81" s="374" t="s">
        <v>980</v>
      </c>
      <c r="B81" s="568">
        <v>44392</v>
      </c>
      <c r="C81" s="353" t="s">
        <v>448</v>
      </c>
      <c r="D81" s="556" t="str">
        <f>_xlfn.IFERROR(VLOOKUP(C81,'Base de Monedas'!A:B,2,0),"")</f>
        <v>Guaraní</v>
      </c>
      <c r="E81" s="507">
        <v>54247</v>
      </c>
      <c r="F81" s="556" t="s">
        <v>978</v>
      </c>
      <c r="H81" s="568">
        <v>44392</v>
      </c>
      <c r="I81" s="353" t="s">
        <v>992</v>
      </c>
      <c r="J81" s="566" t="s">
        <v>993</v>
      </c>
      <c r="K81" s="507">
        <f>54247</f>
        <v>54247</v>
      </c>
      <c r="L81" s="566" t="s">
        <v>978</v>
      </c>
    </row>
    <row r="82" spans="1:12" s="556" customFormat="1" ht="15" customHeight="1">
      <c r="A82" s="374" t="s">
        <v>981</v>
      </c>
      <c r="B82" s="568">
        <v>44469</v>
      </c>
      <c r="C82" s="353" t="s">
        <v>448</v>
      </c>
      <c r="D82" s="556" t="str">
        <f>_xlfn.IFERROR(VLOOKUP(C82,'Base de Monedas'!A:B,2,0),"")</f>
        <v>Guaraní</v>
      </c>
      <c r="E82" s="507">
        <f>45616</f>
        <v>45616</v>
      </c>
      <c r="F82" s="556" t="s">
        <v>978</v>
      </c>
      <c r="H82" s="568">
        <v>44284</v>
      </c>
      <c r="I82" s="353" t="s">
        <v>992</v>
      </c>
      <c r="J82" s="566" t="s">
        <v>993</v>
      </c>
      <c r="K82" s="507">
        <f>49315</f>
        <v>49315</v>
      </c>
      <c r="L82" s="566" t="s">
        <v>978</v>
      </c>
    </row>
    <row r="83" spans="1:12" s="556" customFormat="1" ht="15" customHeight="1">
      <c r="A83" s="374" t="s">
        <v>981</v>
      </c>
      <c r="B83" s="568">
        <v>44345</v>
      </c>
      <c r="C83" s="353" t="s">
        <v>448</v>
      </c>
      <c r="D83" s="556" t="str">
        <f>_xlfn.IFERROR(VLOOKUP(C83,'Base de Monedas'!A:B,2,0),"")</f>
        <v>Guaraní</v>
      </c>
      <c r="E83" s="507">
        <f>20318</f>
        <v>20318</v>
      </c>
      <c r="F83" s="556" t="s">
        <v>978</v>
      </c>
      <c r="H83" s="568">
        <v>44469</v>
      </c>
      <c r="I83" s="353" t="s">
        <v>992</v>
      </c>
      <c r="J83" s="566" t="s">
        <v>993</v>
      </c>
      <c r="K83" s="507">
        <f>45616</f>
        <v>45616</v>
      </c>
      <c r="L83" s="566" t="s">
        <v>978</v>
      </c>
    </row>
    <row r="84" spans="1:12" s="556" customFormat="1" ht="15" customHeight="1">
      <c r="A84" s="374" t="s">
        <v>981</v>
      </c>
      <c r="B84" s="568">
        <v>44325</v>
      </c>
      <c r="C84" s="353" t="s">
        <v>448</v>
      </c>
      <c r="D84" s="556" t="str">
        <f>_xlfn.IFERROR(VLOOKUP(C84,'Base de Monedas'!A:B,2,0),"")</f>
        <v>Guaraní</v>
      </c>
      <c r="E84" s="507">
        <f>35958</f>
        <v>35958</v>
      </c>
      <c r="F84" s="556" t="s">
        <v>978</v>
      </c>
      <c r="H84" s="568">
        <v>44345</v>
      </c>
      <c r="I84" s="353" t="s">
        <v>992</v>
      </c>
      <c r="J84" s="566" t="s">
        <v>993</v>
      </c>
      <c r="K84" s="507">
        <f>20318</f>
        <v>20318</v>
      </c>
      <c r="L84" s="566" t="s">
        <v>978</v>
      </c>
    </row>
    <row r="85" spans="1:12" s="556" customFormat="1" ht="15" customHeight="1">
      <c r="A85" s="374" t="s">
        <v>981</v>
      </c>
      <c r="B85" s="568">
        <v>44316</v>
      </c>
      <c r="C85" s="353" t="s">
        <v>448</v>
      </c>
      <c r="D85" s="556" t="str">
        <f>_xlfn.IFERROR(VLOOKUP(C85,'Base de Monedas'!A:B,2,0),"")</f>
        <v>Guaraní</v>
      </c>
      <c r="E85" s="507">
        <f>24592</f>
        <v>24592</v>
      </c>
      <c r="F85" s="556" t="s">
        <v>978</v>
      </c>
      <c r="H85" s="568">
        <v>44325</v>
      </c>
      <c r="I85" s="353" t="s">
        <v>992</v>
      </c>
      <c r="J85" s="566" t="s">
        <v>993</v>
      </c>
      <c r="K85" s="507">
        <f>35958</f>
        <v>35958</v>
      </c>
      <c r="L85" s="566" t="s">
        <v>978</v>
      </c>
    </row>
    <row r="86" spans="1:12" s="566" customFormat="1" ht="15" customHeight="1">
      <c r="A86" s="374" t="s">
        <v>981</v>
      </c>
      <c r="B86" s="568"/>
      <c r="C86" s="353"/>
      <c r="E86" s="507"/>
      <c r="H86" s="568">
        <v>44316</v>
      </c>
      <c r="I86" s="353" t="s">
        <v>992</v>
      </c>
      <c r="J86" s="566" t="s">
        <v>993</v>
      </c>
      <c r="K86" s="507">
        <f>24592</f>
        <v>24592</v>
      </c>
      <c r="L86" s="566" t="s">
        <v>978</v>
      </c>
    </row>
    <row r="87" spans="1:12" s="556" customFormat="1" ht="15" customHeight="1">
      <c r="A87" s="374" t="s">
        <v>982</v>
      </c>
      <c r="B87" s="568">
        <v>44508</v>
      </c>
      <c r="C87" s="353" t="s">
        <v>448</v>
      </c>
      <c r="D87" s="556" t="str">
        <f>_xlfn.IFERROR(VLOOKUP(C87,'Base de Monedas'!A:B,2,0),"")</f>
        <v>Guaraní</v>
      </c>
      <c r="E87" s="507">
        <f>95203</f>
        <v>95203</v>
      </c>
      <c r="F87" s="556" t="s">
        <v>978</v>
      </c>
      <c r="H87" s="568">
        <v>44508</v>
      </c>
      <c r="I87" s="353" t="s">
        <v>992</v>
      </c>
      <c r="J87" s="566" t="s">
        <v>993</v>
      </c>
      <c r="K87" s="507">
        <f>95203</f>
        <v>95203</v>
      </c>
      <c r="L87" s="566" t="s">
        <v>978</v>
      </c>
    </row>
    <row r="88" spans="1:12" s="556" customFormat="1" ht="15" customHeight="1">
      <c r="A88" s="374" t="s">
        <v>982</v>
      </c>
      <c r="B88" s="568">
        <v>44470</v>
      </c>
      <c r="C88" s="353" t="s">
        <v>448</v>
      </c>
      <c r="D88" s="556" t="str">
        <f>_xlfn.IFERROR(VLOOKUP(C88,'Base de Monedas'!A:B,2,0),"")</f>
        <v>Guaraní</v>
      </c>
      <c r="E88" s="507">
        <f>81370</f>
        <v>81370</v>
      </c>
      <c r="F88" s="556" t="s">
        <v>978</v>
      </c>
      <c r="H88" s="568">
        <v>44470</v>
      </c>
      <c r="I88" s="353" t="s">
        <v>992</v>
      </c>
      <c r="J88" s="566" t="s">
        <v>993</v>
      </c>
      <c r="K88" s="507">
        <f>81370</f>
        <v>81370</v>
      </c>
      <c r="L88" s="566" t="s">
        <v>978</v>
      </c>
    </row>
    <row r="89" spans="1:12" s="556" customFormat="1" ht="15" customHeight="1">
      <c r="A89" s="374" t="s">
        <v>982</v>
      </c>
      <c r="B89" s="568">
        <v>44428</v>
      </c>
      <c r="C89" s="353" t="s">
        <v>448</v>
      </c>
      <c r="D89" s="556" t="str">
        <f>_xlfn.IFERROR(VLOOKUP(C89,'Base de Monedas'!A:B,2,0),"")</f>
        <v>Guaraní</v>
      </c>
      <c r="E89" s="507">
        <f>84218</f>
        <v>84218</v>
      </c>
      <c r="F89" s="556" t="s">
        <v>978</v>
      </c>
      <c r="H89" s="568">
        <v>44428</v>
      </c>
      <c r="I89" s="353" t="s">
        <v>992</v>
      </c>
      <c r="J89" s="566" t="s">
        <v>993</v>
      </c>
      <c r="K89" s="507">
        <f>84218</f>
        <v>84218</v>
      </c>
      <c r="L89" s="566" t="s">
        <v>978</v>
      </c>
    </row>
    <row r="90" spans="1:12" s="566" customFormat="1" ht="15" customHeight="1">
      <c r="A90" s="374" t="s">
        <v>982</v>
      </c>
      <c r="B90" s="568"/>
      <c r="C90" s="353"/>
      <c r="E90" s="507"/>
      <c r="H90" s="568">
        <v>44242</v>
      </c>
      <c r="I90" s="353" t="s">
        <v>992</v>
      </c>
      <c r="J90" s="566" t="s">
        <v>993</v>
      </c>
      <c r="K90" s="507">
        <f>86659</f>
        <v>86659</v>
      </c>
      <c r="L90" s="566" t="s">
        <v>978</v>
      </c>
    </row>
    <row r="91" spans="1:12" s="566" customFormat="1" ht="15" customHeight="1">
      <c r="A91" s="374" t="s">
        <v>982</v>
      </c>
      <c r="B91" s="568"/>
      <c r="C91" s="353"/>
      <c r="E91" s="507"/>
      <c r="H91" s="568">
        <v>44225</v>
      </c>
      <c r="I91" s="353" t="s">
        <v>992</v>
      </c>
      <c r="J91" s="566" t="s">
        <v>993</v>
      </c>
      <c r="K91" s="507">
        <f>92179</f>
        <v>92179</v>
      </c>
      <c r="L91" s="566" t="s">
        <v>978</v>
      </c>
    </row>
    <row r="92" spans="1:12" s="566" customFormat="1" ht="15" customHeight="1">
      <c r="A92" s="586" t="s">
        <v>994</v>
      </c>
      <c r="B92" s="575"/>
      <c r="C92" s="377"/>
      <c r="D92" s="376"/>
      <c r="E92" s="569"/>
      <c r="F92" s="376"/>
      <c r="H92" s="575">
        <v>44198</v>
      </c>
      <c r="I92" s="377" t="s">
        <v>992</v>
      </c>
      <c r="J92" s="376" t="s">
        <v>993</v>
      </c>
      <c r="K92" s="569">
        <f>63468</f>
        <v>63468</v>
      </c>
      <c r="L92" s="376" t="s">
        <v>978</v>
      </c>
    </row>
    <row r="93" spans="1:11" s="566" customFormat="1" ht="15" customHeight="1">
      <c r="A93" s="374"/>
      <c r="B93" s="568"/>
      <c r="C93" s="353"/>
      <c r="E93" s="587">
        <f>SUM(E67:E92)-1</f>
        <v>660069</v>
      </c>
      <c r="H93" s="568"/>
      <c r="I93" s="353"/>
      <c r="K93" s="587">
        <f>SUM(K67:K92)</f>
        <v>1048862</v>
      </c>
    </row>
    <row r="94" spans="1:11" s="566" customFormat="1" ht="15" customHeight="1">
      <c r="A94" s="128" t="s">
        <v>996</v>
      </c>
      <c r="B94" s="568"/>
      <c r="C94" s="353"/>
      <c r="E94" s="507"/>
      <c r="H94" s="568"/>
      <c r="I94" s="353"/>
      <c r="K94" s="507"/>
    </row>
    <row r="95" spans="1:11" s="566" customFormat="1" ht="15" customHeight="1">
      <c r="A95" s="586" t="s">
        <v>984</v>
      </c>
      <c r="B95" s="575">
        <v>44563</v>
      </c>
      <c r="C95" s="377" t="s">
        <v>448</v>
      </c>
      <c r="D95" s="376" t="str">
        <f>_xlfn.IFERROR(VLOOKUP(C95,'Base de Monedas'!A:B,2,0),"")</f>
        <v>Guaraní</v>
      </c>
      <c r="E95" s="569">
        <v>78000</v>
      </c>
      <c r="F95" s="376" t="s">
        <v>978</v>
      </c>
      <c r="H95" s="568"/>
      <c r="I95" s="353"/>
      <c r="K95" s="507">
        <v>0</v>
      </c>
    </row>
    <row r="96" spans="1:11" s="566" customFormat="1" ht="15" customHeight="1">
      <c r="A96" s="374"/>
      <c r="B96" s="568"/>
      <c r="C96" s="353"/>
      <c r="E96" s="587">
        <f>+E95</f>
        <v>78000</v>
      </c>
      <c r="H96" s="568"/>
      <c r="I96" s="353"/>
      <c r="K96" s="507"/>
    </row>
    <row r="97" spans="1:11" s="566" customFormat="1" ht="15" customHeight="1">
      <c r="A97" s="128" t="s">
        <v>997</v>
      </c>
      <c r="B97" s="568"/>
      <c r="C97" s="353"/>
      <c r="E97" s="507"/>
      <c r="H97" s="568"/>
      <c r="I97" s="353"/>
      <c r="K97" s="507"/>
    </row>
    <row r="98" spans="1:12" s="566" customFormat="1" ht="15" customHeight="1">
      <c r="A98" s="573" t="s">
        <v>986</v>
      </c>
      <c r="B98" s="162"/>
      <c r="C98" s="581"/>
      <c r="D98" s="162"/>
      <c r="E98" s="562"/>
      <c r="F98" s="162"/>
      <c r="H98" s="573" t="s">
        <v>986</v>
      </c>
      <c r="I98" s="353"/>
      <c r="J98" s="577"/>
      <c r="K98" s="507"/>
      <c r="L98" s="577"/>
    </row>
    <row r="99" spans="1:12" s="566" customFormat="1" ht="15" customHeight="1">
      <c r="A99" s="574" t="s">
        <v>988</v>
      </c>
      <c r="B99" s="568">
        <v>44306</v>
      </c>
      <c r="C99" s="353" t="s">
        <v>448</v>
      </c>
      <c r="D99" s="566" t="str">
        <f>_xlfn.IFERROR(VLOOKUP(C99,'Base de Monedas'!A:B,2,0),"")</f>
        <v>Guaraní</v>
      </c>
      <c r="E99" s="507">
        <v>45375</v>
      </c>
      <c r="F99" s="566" t="s">
        <v>978</v>
      </c>
      <c r="H99" s="568">
        <v>44215</v>
      </c>
      <c r="I99" s="353" t="s">
        <v>992</v>
      </c>
      <c r="J99" s="577" t="s">
        <v>993</v>
      </c>
      <c r="K99" s="507">
        <v>45375</v>
      </c>
      <c r="L99" s="577" t="s">
        <v>978</v>
      </c>
    </row>
    <row r="100" spans="1:12" s="566" customFormat="1" ht="15" customHeight="1">
      <c r="A100" s="574" t="s">
        <v>988</v>
      </c>
      <c r="B100" s="568">
        <v>44397</v>
      </c>
      <c r="C100" s="353" t="s">
        <v>448</v>
      </c>
      <c r="D100" s="566" t="str">
        <f>_xlfn.IFERROR(VLOOKUP(C100,'Base de Monedas'!A:B,2,0),"")</f>
        <v>Guaraní</v>
      </c>
      <c r="E100" s="507">
        <v>45375</v>
      </c>
      <c r="F100" s="566" t="s">
        <v>978</v>
      </c>
      <c r="H100" s="568">
        <v>44306</v>
      </c>
      <c r="I100" s="353" t="s">
        <v>992</v>
      </c>
      <c r="J100" s="577" t="s">
        <v>993</v>
      </c>
      <c r="K100" s="507">
        <v>45375</v>
      </c>
      <c r="L100" s="577" t="s">
        <v>978</v>
      </c>
    </row>
    <row r="101" spans="1:12" s="566" customFormat="1" ht="15" customHeight="1">
      <c r="A101" s="574" t="s">
        <v>988</v>
      </c>
      <c r="B101" s="568">
        <v>44488</v>
      </c>
      <c r="C101" s="353" t="s">
        <v>448</v>
      </c>
      <c r="D101" s="566" t="str">
        <f>_xlfn.IFERROR(VLOOKUP(C101,'Base de Monedas'!A:B,2,0),"")</f>
        <v>Guaraní</v>
      </c>
      <c r="E101" s="507">
        <f>45375</f>
        <v>45375</v>
      </c>
      <c r="F101" s="566" t="s">
        <v>978</v>
      </c>
      <c r="H101" s="568">
        <v>44397</v>
      </c>
      <c r="I101" s="353" t="s">
        <v>992</v>
      </c>
      <c r="J101" s="577" t="s">
        <v>993</v>
      </c>
      <c r="K101" s="507">
        <v>45375</v>
      </c>
      <c r="L101" s="577" t="s">
        <v>978</v>
      </c>
    </row>
    <row r="102" spans="1:12" s="566" customFormat="1" ht="15" customHeight="1">
      <c r="A102" s="579" t="s">
        <v>988</v>
      </c>
      <c r="B102" s="568"/>
      <c r="C102" s="353"/>
      <c r="E102" s="507"/>
      <c r="H102" s="568">
        <v>44488</v>
      </c>
      <c r="I102" s="353" t="s">
        <v>992</v>
      </c>
      <c r="J102" s="577" t="s">
        <v>993</v>
      </c>
      <c r="K102" s="507">
        <f>45375</f>
        <v>45375</v>
      </c>
      <c r="L102" s="577" t="s">
        <v>978</v>
      </c>
    </row>
    <row r="103" spans="1:12" s="566" customFormat="1" ht="15" customHeight="1">
      <c r="A103" s="128"/>
      <c r="B103" s="568"/>
      <c r="C103" s="353"/>
      <c r="E103" s="507"/>
      <c r="H103" s="568"/>
      <c r="I103" s="353"/>
      <c r="J103" s="577"/>
      <c r="K103" s="507"/>
      <c r="L103" s="577"/>
    </row>
    <row r="104" spans="1:12" s="566" customFormat="1" ht="15" customHeight="1">
      <c r="A104" s="573" t="s">
        <v>987</v>
      </c>
      <c r="B104" s="568"/>
      <c r="C104" s="353"/>
      <c r="E104" s="507"/>
      <c r="H104" s="573" t="s">
        <v>987</v>
      </c>
      <c r="I104" s="353"/>
      <c r="J104" s="577"/>
      <c r="K104" s="507"/>
      <c r="L104" s="577"/>
    </row>
    <row r="105" spans="1:12" s="566" customFormat="1" ht="15" customHeight="1">
      <c r="A105" s="567" t="s">
        <v>989</v>
      </c>
      <c r="B105" s="568">
        <v>44369</v>
      </c>
      <c r="C105" s="353" t="s">
        <v>448</v>
      </c>
      <c r="D105" s="566" t="str">
        <f>_xlfn.IFERROR(VLOOKUP(C105,'Base de Monedas'!A:B,2,0),"")</f>
        <v>Guaraní</v>
      </c>
      <c r="E105" s="507">
        <f>48267+50461+59237</f>
        <v>157965</v>
      </c>
      <c r="F105" s="566" t="s">
        <v>978</v>
      </c>
      <c r="H105" s="568">
        <v>44278</v>
      </c>
      <c r="I105" s="353" t="s">
        <v>992</v>
      </c>
      <c r="J105" s="577" t="s">
        <v>993</v>
      </c>
      <c r="K105" s="507">
        <f>48267+50461+59237</f>
        <v>157965</v>
      </c>
      <c r="L105" s="577" t="s">
        <v>978</v>
      </c>
    </row>
    <row r="106" spans="1:12" s="566" customFormat="1" ht="15" customHeight="1">
      <c r="A106" s="567" t="s">
        <v>989</v>
      </c>
      <c r="B106" s="568">
        <v>44460</v>
      </c>
      <c r="C106" s="353" t="s">
        <v>448</v>
      </c>
      <c r="D106" s="566" t="str">
        <f>_xlfn.IFERROR(VLOOKUP(C106,'Base de Monedas'!A:B,2,0),"")</f>
        <v>Guaraní</v>
      </c>
      <c r="E106" s="507">
        <f>48267+50461+59237</f>
        <v>157965</v>
      </c>
      <c r="F106" s="566" t="s">
        <v>978</v>
      </c>
      <c r="H106" s="568">
        <v>44369</v>
      </c>
      <c r="I106" s="353" t="s">
        <v>448</v>
      </c>
      <c r="J106" s="577" t="s">
        <v>993</v>
      </c>
      <c r="K106" s="507">
        <f>48267+50461+59237</f>
        <v>157965</v>
      </c>
      <c r="L106" s="577" t="s">
        <v>978</v>
      </c>
    </row>
    <row r="107" spans="1:12" s="566" customFormat="1" ht="15" customHeight="1">
      <c r="A107" s="590" t="s">
        <v>989</v>
      </c>
      <c r="B107" s="588">
        <v>44551</v>
      </c>
      <c r="C107" s="581" t="s">
        <v>448</v>
      </c>
      <c r="D107" s="162" t="str">
        <f>_xlfn.IFERROR(VLOOKUP(C107,'Base de Monedas'!A:B,2,0),"")</f>
        <v>Guaraní</v>
      </c>
      <c r="E107" s="562">
        <f>48267+50461+59237</f>
        <v>157965</v>
      </c>
      <c r="F107" s="162" t="s">
        <v>978</v>
      </c>
      <c r="G107" s="162"/>
      <c r="H107" s="588">
        <v>44460</v>
      </c>
      <c r="I107" s="581" t="s">
        <v>448</v>
      </c>
      <c r="J107" s="162" t="s">
        <v>993</v>
      </c>
      <c r="K107" s="562">
        <f>48267+50461+59237</f>
        <v>157965</v>
      </c>
      <c r="L107" s="162" t="s">
        <v>978</v>
      </c>
    </row>
    <row r="108" spans="1:12" s="577" customFormat="1" ht="15" customHeight="1">
      <c r="A108" s="585" t="s">
        <v>989</v>
      </c>
      <c r="B108" s="575"/>
      <c r="C108" s="377"/>
      <c r="D108" s="376"/>
      <c r="E108" s="569">
        <v>0</v>
      </c>
      <c r="F108" s="376"/>
      <c r="G108" s="376"/>
      <c r="H108" s="575">
        <v>44551</v>
      </c>
      <c r="I108" s="377" t="s">
        <v>448</v>
      </c>
      <c r="J108" s="376" t="s">
        <v>993</v>
      </c>
      <c r="K108" s="569">
        <f>48267+50461+59237</f>
        <v>157965</v>
      </c>
      <c r="L108" s="376" t="s">
        <v>978</v>
      </c>
    </row>
    <row r="109" spans="1:12" s="566" customFormat="1" ht="15" customHeight="1">
      <c r="A109" s="374"/>
      <c r="B109" s="568"/>
      <c r="C109" s="353"/>
      <c r="E109" s="587">
        <f>SUM(E99:E107)+4</f>
        <v>610024</v>
      </c>
      <c r="H109" s="588"/>
      <c r="I109" s="581"/>
      <c r="J109" s="162"/>
      <c r="K109" s="593">
        <f>SUM(K99:K108)</f>
        <v>813360</v>
      </c>
      <c r="L109" s="162"/>
    </row>
    <row r="110" spans="3:11" s="556" customFormat="1" ht="15" customHeight="1">
      <c r="C110" s="353"/>
      <c r="E110" s="507"/>
      <c r="H110" s="568"/>
      <c r="I110" s="353"/>
      <c r="K110" s="587"/>
    </row>
    <row r="111" spans="1:11" s="339" customFormat="1" ht="15" customHeight="1">
      <c r="A111" s="128" t="s">
        <v>1003</v>
      </c>
      <c r="C111" s="353"/>
      <c r="E111" s="507"/>
      <c r="H111" s="568"/>
      <c r="I111" s="353"/>
      <c r="K111" s="507"/>
    </row>
    <row r="112" spans="1:12" s="556" customFormat="1" ht="15" customHeight="1">
      <c r="A112" s="566" t="s">
        <v>995</v>
      </c>
      <c r="B112" s="568">
        <v>44311</v>
      </c>
      <c r="C112" s="353" t="s">
        <v>448</v>
      </c>
      <c r="D112" s="566" t="str">
        <f>_xlfn.IFERROR(VLOOKUP(C112,'Base de Monedas'!A:B,2,0),"")</f>
        <v>Guaraní</v>
      </c>
      <c r="E112" s="507">
        <v>-4897</v>
      </c>
      <c r="F112" s="566" t="s">
        <v>978</v>
      </c>
      <c r="H112" s="568">
        <v>44221</v>
      </c>
      <c r="I112" s="353" t="s">
        <v>992</v>
      </c>
      <c r="J112" s="566" t="s">
        <v>993</v>
      </c>
      <c r="K112" s="507">
        <v>-4897</v>
      </c>
      <c r="L112" s="566" t="s">
        <v>978</v>
      </c>
    </row>
    <row r="113" spans="1:12" s="556" customFormat="1" ht="15" customHeight="1">
      <c r="A113" s="566" t="s">
        <v>995</v>
      </c>
      <c r="B113" s="568">
        <v>44358</v>
      </c>
      <c r="C113" s="353" t="s">
        <v>448</v>
      </c>
      <c r="D113" s="566" t="str">
        <f>_xlfn.IFERROR(VLOOKUP(C113,'Base de Monedas'!A:B,2,0),"")</f>
        <v>Guaraní</v>
      </c>
      <c r="E113" s="507">
        <v>-16274</v>
      </c>
      <c r="F113" s="566" t="s">
        <v>978</v>
      </c>
      <c r="H113" s="568">
        <v>44251</v>
      </c>
      <c r="I113" s="353" t="s">
        <v>992</v>
      </c>
      <c r="J113" s="566" t="s">
        <v>993</v>
      </c>
      <c r="K113" s="507">
        <v>-4897</v>
      </c>
      <c r="L113" s="566" t="s">
        <v>978</v>
      </c>
    </row>
    <row r="114" spans="1:12" s="556" customFormat="1" ht="15" customHeight="1">
      <c r="A114" s="566" t="s">
        <v>995</v>
      </c>
      <c r="B114" s="568">
        <v>44448</v>
      </c>
      <c r="C114" s="353" t="s">
        <v>448</v>
      </c>
      <c r="D114" s="566" t="str">
        <f>_xlfn.IFERROR(VLOOKUP(C114,'Base de Monedas'!A:B,2,0),"")</f>
        <v>Guaraní</v>
      </c>
      <c r="E114" s="507">
        <v>-16274</v>
      </c>
      <c r="F114" s="566" t="s">
        <v>978</v>
      </c>
      <c r="H114" s="568">
        <v>44311</v>
      </c>
      <c r="I114" s="353" t="s">
        <v>992</v>
      </c>
      <c r="J114" s="566" t="s">
        <v>993</v>
      </c>
      <c r="K114" s="507">
        <v>-9795</v>
      </c>
      <c r="L114" s="566" t="s">
        <v>978</v>
      </c>
    </row>
    <row r="115" spans="1:12" s="556" customFormat="1" ht="15" customHeight="1">
      <c r="A115" s="566" t="s">
        <v>995</v>
      </c>
      <c r="B115" s="568">
        <v>44317</v>
      </c>
      <c r="C115" s="353" t="s">
        <v>448</v>
      </c>
      <c r="D115" s="566" t="str">
        <f>_xlfn.IFERROR(VLOOKUP(C115,'Base de Monedas'!A:B,2,0),"")</f>
        <v>Guaraní</v>
      </c>
      <c r="E115" s="507">
        <v>-20959</v>
      </c>
      <c r="F115" s="566" t="s">
        <v>978</v>
      </c>
      <c r="H115" s="568">
        <v>44268</v>
      </c>
      <c r="I115" s="353" t="s">
        <v>992</v>
      </c>
      <c r="J115" s="566" t="s">
        <v>993</v>
      </c>
      <c r="K115" s="507">
        <v>-16274</v>
      </c>
      <c r="L115" s="566" t="s">
        <v>978</v>
      </c>
    </row>
    <row r="116" spans="1:12" s="556" customFormat="1" ht="15" customHeight="1">
      <c r="A116" s="566" t="s">
        <v>995</v>
      </c>
      <c r="B116" s="568">
        <v>44407</v>
      </c>
      <c r="C116" s="353" t="s">
        <v>448</v>
      </c>
      <c r="D116" s="566" t="str">
        <f>_xlfn.IFERROR(VLOOKUP(C116,'Base de Monedas'!A:B,2,0),"")</f>
        <v>Guaraní</v>
      </c>
      <c r="E116" s="507">
        <v>-20959</v>
      </c>
      <c r="F116" s="566" t="s">
        <v>978</v>
      </c>
      <c r="H116" s="568">
        <v>44358</v>
      </c>
      <c r="I116" s="353" t="s">
        <v>992</v>
      </c>
      <c r="J116" s="566" t="s">
        <v>993</v>
      </c>
      <c r="K116" s="507">
        <v>-16274</v>
      </c>
      <c r="L116" s="566" t="s">
        <v>978</v>
      </c>
    </row>
    <row r="117" spans="1:12" s="556" customFormat="1" ht="15" customHeight="1">
      <c r="A117" s="566" t="s">
        <v>995</v>
      </c>
      <c r="B117" s="568">
        <v>44371</v>
      </c>
      <c r="C117" s="353" t="s">
        <v>448</v>
      </c>
      <c r="D117" s="566" t="str">
        <f>_xlfn.IFERROR(VLOOKUP(C117,'Base de Monedas'!A:B,2,0),"")</f>
        <v>Guaraní</v>
      </c>
      <c r="E117" s="507">
        <v>-22808</v>
      </c>
      <c r="F117" s="566" t="s">
        <v>978</v>
      </c>
      <c r="H117" s="568">
        <v>44448</v>
      </c>
      <c r="I117" s="353" t="s">
        <v>992</v>
      </c>
      <c r="J117" s="566" t="s">
        <v>993</v>
      </c>
      <c r="K117" s="507">
        <v>-16274</v>
      </c>
      <c r="L117" s="566" t="s">
        <v>978</v>
      </c>
    </row>
    <row r="118" spans="1:12" s="566" customFormat="1" ht="15" customHeight="1">
      <c r="A118" s="566" t="s">
        <v>995</v>
      </c>
      <c r="B118" s="568"/>
      <c r="C118" s="353"/>
      <c r="E118" s="507"/>
      <c r="H118" s="568">
        <v>44227</v>
      </c>
      <c r="I118" s="353" t="s">
        <v>992</v>
      </c>
      <c r="J118" s="566" t="s">
        <v>993</v>
      </c>
      <c r="K118" s="507">
        <v>-10479</v>
      </c>
      <c r="L118" s="566" t="s">
        <v>978</v>
      </c>
    </row>
    <row r="119" spans="1:12" s="566" customFormat="1" ht="15" customHeight="1">
      <c r="A119" s="566" t="s">
        <v>995</v>
      </c>
      <c r="B119" s="568"/>
      <c r="C119" s="353"/>
      <c r="E119" s="507"/>
      <c r="H119" s="568">
        <v>44317</v>
      </c>
      <c r="I119" s="353" t="s">
        <v>992</v>
      </c>
      <c r="J119" s="566" t="s">
        <v>993</v>
      </c>
      <c r="K119" s="507">
        <v>-41918</v>
      </c>
      <c r="L119" s="566" t="s">
        <v>978</v>
      </c>
    </row>
    <row r="120" spans="1:12" s="566" customFormat="1" ht="15" customHeight="1">
      <c r="A120" s="566" t="s">
        <v>995</v>
      </c>
      <c r="B120" s="568"/>
      <c r="C120" s="353"/>
      <c r="E120" s="507"/>
      <c r="H120" s="568">
        <v>44407</v>
      </c>
      <c r="I120" s="353" t="s">
        <v>992</v>
      </c>
      <c r="J120" s="566" t="s">
        <v>993</v>
      </c>
      <c r="K120" s="507">
        <v>-20959</v>
      </c>
      <c r="L120" s="566" t="s">
        <v>978</v>
      </c>
    </row>
    <row r="121" spans="1:12" s="566" customFormat="1" ht="15" customHeight="1">
      <c r="A121" s="566" t="s">
        <v>995</v>
      </c>
      <c r="B121" s="568"/>
      <c r="C121" s="353"/>
      <c r="E121" s="507"/>
      <c r="H121" s="568">
        <v>44281</v>
      </c>
      <c r="I121" s="353" t="s">
        <v>992</v>
      </c>
      <c r="J121" s="566" t="s">
        <v>993</v>
      </c>
      <c r="K121" s="507">
        <v>-22808</v>
      </c>
      <c r="L121" s="566" t="s">
        <v>978</v>
      </c>
    </row>
    <row r="122" spans="1:12" s="566" customFormat="1" ht="15" customHeight="1">
      <c r="A122" s="566" t="s">
        <v>995</v>
      </c>
      <c r="B122" s="568"/>
      <c r="C122" s="353"/>
      <c r="E122" s="507"/>
      <c r="H122" s="568">
        <v>44371</v>
      </c>
      <c r="I122" s="353" t="s">
        <v>992</v>
      </c>
      <c r="J122" s="566" t="s">
        <v>993</v>
      </c>
      <c r="K122" s="507">
        <v>-22808</v>
      </c>
      <c r="L122" s="566" t="s">
        <v>978</v>
      </c>
    </row>
    <row r="123" spans="2:11" s="566" customFormat="1" ht="15" customHeight="1">
      <c r="B123" s="568"/>
      <c r="C123" s="353"/>
      <c r="E123" s="507"/>
      <c r="H123" s="568"/>
      <c r="I123" s="353"/>
      <c r="K123" s="507"/>
    </row>
    <row r="124" spans="1:12" s="556" customFormat="1" ht="15" customHeight="1">
      <c r="A124" s="566" t="s">
        <v>980</v>
      </c>
      <c r="B124" s="568">
        <v>44459</v>
      </c>
      <c r="C124" s="353" t="s">
        <v>448</v>
      </c>
      <c r="D124" s="566" t="str">
        <f>_xlfn.IFERROR(VLOOKUP(C124,'Base de Monedas'!A:B,2,0),"")</f>
        <v>Guaraní</v>
      </c>
      <c r="E124" s="507">
        <v>-40685</v>
      </c>
      <c r="F124" s="566" t="s">
        <v>978</v>
      </c>
      <c r="H124" s="568">
        <v>44459</v>
      </c>
      <c r="I124" s="353" t="s">
        <v>992</v>
      </c>
      <c r="J124" s="566" t="s">
        <v>993</v>
      </c>
      <c r="K124" s="507">
        <v>-40685</v>
      </c>
      <c r="L124" s="566" t="s">
        <v>978</v>
      </c>
    </row>
    <row r="125" spans="1:12" s="556" customFormat="1" ht="15" customHeight="1">
      <c r="A125" s="374" t="s">
        <v>980</v>
      </c>
      <c r="B125" s="568">
        <v>44331</v>
      </c>
      <c r="C125" s="353" t="s">
        <v>448</v>
      </c>
      <c r="D125" s="566" t="str">
        <f>_xlfn.IFERROR(VLOOKUP(C125,'Base de Monedas'!A:B,2,0),"")</f>
        <v>Guaraní</v>
      </c>
      <c r="E125" s="507">
        <v>-13562</v>
      </c>
      <c r="F125" s="566" t="s">
        <v>978</v>
      </c>
      <c r="H125" s="568">
        <v>44331</v>
      </c>
      <c r="I125" s="353" t="s">
        <v>992</v>
      </c>
      <c r="J125" s="566" t="s">
        <v>993</v>
      </c>
      <c r="K125" s="507">
        <v>-13562</v>
      </c>
      <c r="L125" s="566" t="s">
        <v>978</v>
      </c>
    </row>
    <row r="126" spans="1:12" s="556" customFormat="1" ht="15" customHeight="1">
      <c r="A126" s="374" t="s">
        <v>980</v>
      </c>
      <c r="B126" s="568">
        <v>44392</v>
      </c>
      <c r="C126" s="353" t="s">
        <v>448</v>
      </c>
      <c r="D126" s="566" t="str">
        <f>_xlfn.IFERROR(VLOOKUP(C126,'Base de Monedas'!A:B,2,0),"")</f>
        <v>Guaraní</v>
      </c>
      <c r="E126" s="507">
        <v>-27123</v>
      </c>
      <c r="F126" s="566" t="s">
        <v>978</v>
      </c>
      <c r="H126" s="568">
        <v>44392</v>
      </c>
      <c r="I126" s="353" t="s">
        <v>992</v>
      </c>
      <c r="J126" s="566" t="s">
        <v>993</v>
      </c>
      <c r="K126" s="507">
        <v>-27123</v>
      </c>
      <c r="L126" s="566" t="s">
        <v>978</v>
      </c>
    </row>
    <row r="127" spans="1:12" s="556" customFormat="1" ht="15" customHeight="1">
      <c r="A127" s="374" t="s">
        <v>981</v>
      </c>
      <c r="B127" s="568">
        <v>44469</v>
      </c>
      <c r="C127" s="353" t="s">
        <v>448</v>
      </c>
      <c r="D127" s="566" t="str">
        <f>_xlfn.IFERROR(VLOOKUP(C127,'Base de Monedas'!A:B,2,0),"")</f>
        <v>Guaraní</v>
      </c>
      <c r="E127" s="507">
        <v>-47466</v>
      </c>
      <c r="F127" s="566" t="s">
        <v>978</v>
      </c>
      <c r="H127" s="568">
        <v>44284</v>
      </c>
      <c r="I127" s="353" t="s">
        <v>992</v>
      </c>
      <c r="J127" s="566" t="s">
        <v>993</v>
      </c>
      <c r="K127" s="507">
        <v>-23733</v>
      </c>
      <c r="L127" s="566" t="s">
        <v>978</v>
      </c>
    </row>
    <row r="128" spans="1:12" s="556" customFormat="1" ht="15" customHeight="1">
      <c r="A128" s="374" t="s">
        <v>981</v>
      </c>
      <c r="B128" s="568">
        <v>44345</v>
      </c>
      <c r="C128" s="353" t="s">
        <v>448</v>
      </c>
      <c r="D128" s="566" t="str">
        <f>_xlfn.IFERROR(VLOOKUP(C128,'Base de Monedas'!A:B,2,0),"")</f>
        <v>Guaraní</v>
      </c>
      <c r="E128" s="507">
        <v>-7619</v>
      </c>
      <c r="F128" s="566" t="s">
        <v>978</v>
      </c>
      <c r="H128" s="568">
        <v>44469</v>
      </c>
      <c r="I128" s="353" t="s">
        <v>992</v>
      </c>
      <c r="J128" s="566" t="s">
        <v>993</v>
      </c>
      <c r="K128" s="507">
        <v>-47466</v>
      </c>
      <c r="L128" s="566" t="s">
        <v>978</v>
      </c>
    </row>
    <row r="129" spans="1:12" s="556" customFormat="1" ht="15" customHeight="1">
      <c r="A129" s="374" t="s">
        <v>981</v>
      </c>
      <c r="B129" s="568">
        <v>44325</v>
      </c>
      <c r="C129" s="353" t="s">
        <v>448</v>
      </c>
      <c r="D129" s="566" t="str">
        <f>_xlfn.IFERROR(VLOOKUP(C129,'Base de Monedas'!A:B,2,0),"")</f>
        <v>Guaraní</v>
      </c>
      <c r="E129" s="507">
        <v>-13443</v>
      </c>
      <c r="F129" s="566" t="s">
        <v>978</v>
      </c>
      <c r="H129" s="568">
        <v>44345</v>
      </c>
      <c r="I129" s="353" t="s">
        <v>992</v>
      </c>
      <c r="J129" s="566" t="s">
        <v>993</v>
      </c>
      <c r="K129" s="507">
        <v>-19048</v>
      </c>
      <c r="L129" s="566" t="s">
        <v>978</v>
      </c>
    </row>
    <row r="130" spans="1:12" s="556" customFormat="1" ht="15" customHeight="1">
      <c r="A130" s="374" t="s">
        <v>981</v>
      </c>
      <c r="B130" s="568">
        <v>44316</v>
      </c>
      <c r="C130" s="353" t="s">
        <v>448</v>
      </c>
      <c r="D130" s="566" t="str">
        <f>_xlfn.IFERROR(VLOOKUP(C130,'Base de Monedas'!A:B,2,0),"")</f>
        <v>Guaraní</v>
      </c>
      <c r="E130" s="507">
        <v>-6334</v>
      </c>
      <c r="F130" s="566" t="s">
        <v>978</v>
      </c>
      <c r="H130" s="568">
        <v>44325</v>
      </c>
      <c r="I130" s="353" t="s">
        <v>992</v>
      </c>
      <c r="J130" s="566" t="s">
        <v>993</v>
      </c>
      <c r="K130" s="507">
        <v>-33607</v>
      </c>
      <c r="L130" s="566" t="s">
        <v>978</v>
      </c>
    </row>
    <row r="131" spans="1:12" s="566" customFormat="1" ht="15" customHeight="1">
      <c r="A131" s="374" t="s">
        <v>981</v>
      </c>
      <c r="B131" s="568"/>
      <c r="C131" s="353"/>
      <c r="E131" s="507"/>
      <c r="H131" s="568">
        <v>44316</v>
      </c>
      <c r="I131" s="353" t="s">
        <v>992</v>
      </c>
      <c r="J131" s="566" t="s">
        <v>993</v>
      </c>
      <c r="K131" s="507">
        <v>-25337</v>
      </c>
      <c r="L131" s="566" t="s">
        <v>978</v>
      </c>
    </row>
    <row r="132" spans="1:12" s="566" customFormat="1" ht="15" customHeight="1">
      <c r="A132" s="374" t="s">
        <v>982</v>
      </c>
      <c r="B132" s="568">
        <v>44603</v>
      </c>
      <c r="C132" s="353" t="s">
        <v>448</v>
      </c>
      <c r="D132" s="566" t="str">
        <f>_xlfn.IFERROR(VLOOKUP(C132,'Base de Monedas'!A:B,2,0),"")</f>
        <v>Guaraní</v>
      </c>
      <c r="E132" s="507">
        <v>-77087</v>
      </c>
      <c r="F132" s="566" t="s">
        <v>978</v>
      </c>
      <c r="H132" s="568">
        <v>44508</v>
      </c>
      <c r="I132" s="353" t="s">
        <v>992</v>
      </c>
      <c r="J132" s="566" t="s">
        <v>993</v>
      </c>
      <c r="K132" s="594">
        <v>-87269</v>
      </c>
      <c r="L132" s="566" t="s">
        <v>978</v>
      </c>
    </row>
    <row r="133" spans="1:12" s="556" customFormat="1" ht="15" customHeight="1">
      <c r="A133" s="374" t="s">
        <v>982</v>
      </c>
      <c r="B133" s="568">
        <v>44508</v>
      </c>
      <c r="C133" s="353" t="s">
        <v>448</v>
      </c>
      <c r="D133" s="566" t="str">
        <f>_xlfn.IFERROR(VLOOKUP(C133,'Base de Monedas'!A:B,2,0),"")</f>
        <v>Guaraní</v>
      </c>
      <c r="E133" s="507">
        <v>-63468</v>
      </c>
      <c r="F133" s="566" t="s">
        <v>978</v>
      </c>
      <c r="H133" s="568">
        <v>44470</v>
      </c>
      <c r="I133" s="353" t="s">
        <v>992</v>
      </c>
      <c r="J133" s="566" t="s">
        <v>993</v>
      </c>
      <c r="K133" s="594">
        <v>-81370</v>
      </c>
      <c r="L133" s="566" t="s">
        <v>978</v>
      </c>
    </row>
    <row r="134" spans="1:12" s="556" customFormat="1" ht="15" customHeight="1">
      <c r="A134" s="374" t="s">
        <v>982</v>
      </c>
      <c r="B134" s="568">
        <v>44470</v>
      </c>
      <c r="C134" s="353" t="s">
        <v>448</v>
      </c>
      <c r="D134" s="566" t="str">
        <f>_xlfn.IFERROR(VLOOKUP(C134,'Base de Monedas'!A:B,2,0),"")</f>
        <v>Guaraní</v>
      </c>
      <c r="E134" s="507">
        <v>-47466</v>
      </c>
      <c r="F134" s="566" t="s">
        <v>978</v>
      </c>
      <c r="H134" s="568">
        <v>44428</v>
      </c>
      <c r="I134" s="353" t="s">
        <v>992</v>
      </c>
      <c r="J134" s="566" t="s">
        <v>993</v>
      </c>
      <c r="K134" s="594">
        <v>-56145</v>
      </c>
      <c r="L134" s="566" t="s">
        <v>978</v>
      </c>
    </row>
    <row r="135" spans="1:12" s="556" customFormat="1" ht="15" customHeight="1">
      <c r="A135" s="374" t="s">
        <v>982</v>
      </c>
      <c r="B135" s="568">
        <v>44428</v>
      </c>
      <c r="C135" s="353" t="s">
        <v>448</v>
      </c>
      <c r="D135" s="566" t="str">
        <f>_xlfn.IFERROR(VLOOKUP(C135,'Base de Monedas'!A:B,2,0),"")</f>
        <v>Guaraní</v>
      </c>
      <c r="E135" s="507">
        <v>-35091</v>
      </c>
      <c r="F135" s="566" t="s">
        <v>978</v>
      </c>
      <c r="H135" s="568">
        <v>44242</v>
      </c>
      <c r="I135" s="353" t="s">
        <v>992</v>
      </c>
      <c r="J135" s="577" t="s">
        <v>993</v>
      </c>
      <c r="K135" s="594">
        <v>-14443</v>
      </c>
      <c r="L135" s="577" t="s">
        <v>978</v>
      </c>
    </row>
    <row r="136" spans="1:12" s="566" customFormat="1" ht="15" customHeight="1">
      <c r="A136" s="374" t="s">
        <v>982</v>
      </c>
      <c r="B136" s="568"/>
      <c r="C136" s="353"/>
      <c r="E136" s="507"/>
      <c r="H136" s="568">
        <v>44225</v>
      </c>
      <c r="I136" s="353" t="s">
        <v>992</v>
      </c>
      <c r="J136" s="577" t="s">
        <v>993</v>
      </c>
      <c r="K136" s="594">
        <v>-7682</v>
      </c>
      <c r="L136" s="577" t="s">
        <v>978</v>
      </c>
    </row>
    <row r="137" spans="1:12" s="566" customFormat="1" ht="15" customHeight="1">
      <c r="A137" s="586" t="s">
        <v>994</v>
      </c>
      <c r="B137" s="575"/>
      <c r="C137" s="377"/>
      <c r="D137" s="376"/>
      <c r="E137" s="569"/>
      <c r="F137" s="376"/>
      <c r="H137" s="575">
        <v>44198</v>
      </c>
      <c r="I137" s="377" t="s">
        <v>992</v>
      </c>
      <c r="J137" s="376" t="s">
        <v>993</v>
      </c>
      <c r="K137" s="595">
        <v>-10578</v>
      </c>
      <c r="L137" s="376" t="s">
        <v>978</v>
      </c>
    </row>
    <row r="138" spans="1:11" s="566" customFormat="1" ht="15" customHeight="1">
      <c r="A138" s="374"/>
      <c r="B138" s="568"/>
      <c r="C138" s="353"/>
      <c r="E138" s="587">
        <f>SUM(E112:E137)</f>
        <v>-481515</v>
      </c>
      <c r="H138" s="568"/>
      <c r="I138" s="353"/>
      <c r="K138" s="587">
        <f>SUM(K112:K137)</f>
        <v>-675431</v>
      </c>
    </row>
    <row r="139" spans="3:11" s="556" customFormat="1" ht="15" customHeight="1">
      <c r="C139" s="353"/>
      <c r="E139" s="507"/>
      <c r="H139" s="568"/>
      <c r="I139" s="353"/>
      <c r="K139" s="507"/>
    </row>
    <row r="140" spans="1:11" s="556" customFormat="1" ht="15" customHeight="1">
      <c r="A140" s="128" t="s">
        <v>998</v>
      </c>
      <c r="C140" s="353"/>
      <c r="E140" s="507"/>
      <c r="H140" s="568"/>
      <c r="I140" s="353"/>
      <c r="K140" s="507">
        <v>0</v>
      </c>
    </row>
    <row r="141" spans="1:11" s="566" customFormat="1" ht="15" customHeight="1">
      <c r="A141" s="585" t="s">
        <v>999</v>
      </c>
      <c r="B141" s="575">
        <v>44563</v>
      </c>
      <c r="C141" s="377" t="s">
        <v>448</v>
      </c>
      <c r="D141" s="376" t="str">
        <f>_xlfn.IFERROR(VLOOKUP(C141,'Base de Monedas'!A:B,2,0),"")</f>
        <v>Guaraní</v>
      </c>
      <c r="E141" s="569">
        <v>-58500</v>
      </c>
      <c r="F141" s="376" t="s">
        <v>978</v>
      </c>
      <c r="H141" s="568"/>
      <c r="I141" s="353"/>
      <c r="K141" s="507"/>
    </row>
    <row r="142" spans="1:11" s="566" customFormat="1" ht="15" customHeight="1">
      <c r="A142" s="567"/>
      <c r="C142" s="353"/>
      <c r="E142" s="587">
        <f>+E141</f>
        <v>-58500</v>
      </c>
      <c r="H142" s="568"/>
      <c r="I142" s="353"/>
      <c r="K142" s="507"/>
    </row>
    <row r="143" spans="1:11" s="556" customFormat="1" ht="15" customHeight="1">
      <c r="A143" s="582" t="s">
        <v>1000</v>
      </c>
      <c r="C143" s="353"/>
      <c r="E143" s="507"/>
      <c r="H143" s="568"/>
      <c r="I143" s="353"/>
      <c r="K143" s="507"/>
    </row>
    <row r="144" spans="1:11" s="566" customFormat="1" ht="15" customHeight="1">
      <c r="A144" s="162"/>
      <c r="C144" s="353"/>
      <c r="E144" s="507"/>
      <c r="H144" s="568"/>
      <c r="I144" s="353"/>
      <c r="K144" s="507"/>
    </row>
    <row r="145" spans="1:12" s="566" customFormat="1" ht="15" customHeight="1">
      <c r="A145" s="573" t="s">
        <v>986</v>
      </c>
      <c r="B145" s="162"/>
      <c r="C145" s="581"/>
      <c r="D145" s="162"/>
      <c r="E145" s="507"/>
      <c r="H145" s="573" t="s">
        <v>986</v>
      </c>
      <c r="I145" s="353"/>
      <c r="J145" s="577"/>
      <c r="K145" s="507"/>
      <c r="L145" s="577"/>
    </row>
    <row r="146" spans="1:12" s="566" customFormat="1" ht="15" customHeight="1">
      <c r="A146" s="574" t="s">
        <v>988</v>
      </c>
      <c r="B146" s="568">
        <v>44306</v>
      </c>
      <c r="C146" s="353" t="s">
        <v>448</v>
      </c>
      <c r="D146" s="566" t="str">
        <f>_xlfn.IFERROR(VLOOKUP(C146,'Base de Monedas'!A:B,2,0),"")</f>
        <v>Guaraní</v>
      </c>
      <c r="E146" s="507">
        <v>-14969</v>
      </c>
      <c r="F146" s="566" t="s">
        <v>978</v>
      </c>
      <c r="H146" s="568">
        <v>44215</v>
      </c>
      <c r="I146" s="353" t="s">
        <v>992</v>
      </c>
      <c r="J146" s="577" t="s">
        <v>993</v>
      </c>
      <c r="K146" s="507">
        <v>-14959</v>
      </c>
      <c r="L146" s="577" t="s">
        <v>978</v>
      </c>
    </row>
    <row r="147" spans="1:12" s="566" customFormat="1" ht="15" customHeight="1">
      <c r="A147" s="574" t="s">
        <v>988</v>
      </c>
      <c r="B147" s="568">
        <v>44397</v>
      </c>
      <c r="C147" s="353" t="s">
        <v>448</v>
      </c>
      <c r="D147" s="566" t="str">
        <f>_xlfn.IFERROR(VLOOKUP(C147,'Base de Monedas'!A:B,2,0),"")</f>
        <v>Guaraní</v>
      </c>
      <c r="E147" s="507">
        <v>-44877</v>
      </c>
      <c r="F147" s="566" t="s">
        <v>978</v>
      </c>
      <c r="H147" s="568">
        <v>44306</v>
      </c>
      <c r="I147" s="353" t="s">
        <v>992</v>
      </c>
      <c r="J147" s="577" t="s">
        <v>993</v>
      </c>
      <c r="K147" s="507">
        <v>-44877</v>
      </c>
      <c r="L147" s="577" t="s">
        <v>978</v>
      </c>
    </row>
    <row r="148" spans="1:12" s="566" customFormat="1" ht="15" customHeight="1">
      <c r="A148" s="574" t="s">
        <v>988</v>
      </c>
      <c r="B148" s="568">
        <v>44488</v>
      </c>
      <c r="C148" s="353" t="s">
        <v>448</v>
      </c>
      <c r="D148" s="566" t="str">
        <f>_xlfn.IFERROR(VLOOKUP(C148,'Base de Monedas'!A:B,2,0),"")</f>
        <v>Guaraní</v>
      </c>
      <c r="E148" s="507">
        <v>-52855</v>
      </c>
      <c r="F148" s="566" t="s">
        <v>978</v>
      </c>
      <c r="H148" s="568">
        <v>44397</v>
      </c>
      <c r="I148" s="353" t="s">
        <v>992</v>
      </c>
      <c r="J148" s="577" t="s">
        <v>993</v>
      </c>
      <c r="K148" s="507">
        <v>-44877</v>
      </c>
      <c r="L148" s="577" t="s">
        <v>978</v>
      </c>
    </row>
    <row r="149" spans="1:12" s="566" customFormat="1" ht="15" customHeight="1">
      <c r="A149" s="579" t="s">
        <v>988</v>
      </c>
      <c r="B149" s="568"/>
      <c r="C149" s="353"/>
      <c r="E149" s="507"/>
      <c r="H149" s="568">
        <v>44488</v>
      </c>
      <c r="I149" s="353" t="s">
        <v>992</v>
      </c>
      <c r="J149" s="577" t="s">
        <v>993</v>
      </c>
      <c r="K149" s="507">
        <v>-52855</v>
      </c>
      <c r="L149" s="577" t="s">
        <v>978</v>
      </c>
    </row>
    <row r="150" spans="1:12" s="566" customFormat="1" ht="15" customHeight="1">
      <c r="A150" s="580"/>
      <c r="B150" s="568"/>
      <c r="C150" s="353"/>
      <c r="E150" s="507"/>
      <c r="H150" s="568"/>
      <c r="I150" s="353"/>
      <c r="J150" s="577"/>
      <c r="K150" s="507"/>
      <c r="L150" s="577"/>
    </row>
    <row r="151" spans="1:12" s="566" customFormat="1" ht="15" customHeight="1">
      <c r="A151" s="573" t="s">
        <v>987</v>
      </c>
      <c r="B151" s="568"/>
      <c r="C151" s="353"/>
      <c r="E151" s="507"/>
      <c r="H151" s="573" t="s">
        <v>987</v>
      </c>
      <c r="I151" s="353"/>
      <c r="J151" s="577"/>
      <c r="K151" s="507"/>
      <c r="L151" s="577"/>
    </row>
    <row r="152" spans="1:12" s="566" customFormat="1" ht="15" customHeight="1">
      <c r="A152" s="567" t="s">
        <v>989</v>
      </c>
      <c r="B152" s="568">
        <v>44369</v>
      </c>
      <c r="C152" s="353" t="s">
        <v>448</v>
      </c>
      <c r="D152" s="566" t="str">
        <f>_xlfn.IFERROR(VLOOKUP(C152,'Base de Monedas'!A:B,2,0),"")</f>
        <v>Guaraní</v>
      </c>
      <c r="E152" s="507">
        <v>-158272</v>
      </c>
      <c r="F152" s="566" t="s">
        <v>978</v>
      </c>
      <c r="H152" s="568">
        <v>44278</v>
      </c>
      <c r="I152" s="353" t="s">
        <v>992</v>
      </c>
      <c r="J152" s="577" t="s">
        <v>993</v>
      </c>
      <c r="K152" s="507">
        <f>-59319-50554-48400</f>
        <v>-158273</v>
      </c>
      <c r="L152" s="577" t="s">
        <v>978</v>
      </c>
    </row>
    <row r="153" spans="1:12" s="566" customFormat="1" ht="15" customHeight="1">
      <c r="A153" s="567" t="s">
        <v>989</v>
      </c>
      <c r="B153" s="568">
        <v>44460</v>
      </c>
      <c r="C153" s="353" t="s">
        <v>448</v>
      </c>
      <c r="D153" s="566" t="str">
        <f>_xlfn.IFERROR(VLOOKUP(C153,'Base de Monedas'!A:B,2,0),"")</f>
        <v>Guaraní</v>
      </c>
      <c r="E153" s="507">
        <v>-158272</v>
      </c>
      <c r="F153" s="566" t="s">
        <v>978</v>
      </c>
      <c r="H153" s="568">
        <v>44369</v>
      </c>
      <c r="I153" s="353" t="s">
        <v>448</v>
      </c>
      <c r="J153" s="577" t="s">
        <v>993</v>
      </c>
      <c r="K153" s="507">
        <v>-158272</v>
      </c>
      <c r="L153" s="577" t="s">
        <v>978</v>
      </c>
    </row>
    <row r="154" spans="1:12" s="566" customFormat="1" ht="15" customHeight="1">
      <c r="A154" s="567" t="s">
        <v>989</v>
      </c>
      <c r="B154" s="568">
        <v>44551</v>
      </c>
      <c r="C154" s="353" t="s">
        <v>448</v>
      </c>
      <c r="D154" s="566" t="str">
        <f>_xlfn.IFERROR(VLOOKUP(C154,'Base de Monedas'!A:B,2,0),"")</f>
        <v>Guaraní</v>
      </c>
      <c r="E154" s="507">
        <v>-158272</v>
      </c>
      <c r="F154" s="566" t="s">
        <v>978</v>
      </c>
      <c r="H154" s="588">
        <v>44460</v>
      </c>
      <c r="I154" s="581" t="s">
        <v>448</v>
      </c>
      <c r="J154" s="162" t="s">
        <v>993</v>
      </c>
      <c r="K154" s="562">
        <v>-158272</v>
      </c>
      <c r="L154" s="162" t="s">
        <v>978</v>
      </c>
    </row>
    <row r="155" spans="1:12" s="577" customFormat="1" ht="15" customHeight="1">
      <c r="A155" s="578" t="s">
        <v>989</v>
      </c>
      <c r="B155" s="568"/>
      <c r="C155" s="353"/>
      <c r="E155" s="507"/>
      <c r="H155" s="575">
        <v>44551</v>
      </c>
      <c r="I155" s="377" t="s">
        <v>448</v>
      </c>
      <c r="J155" s="376">
        <f>_xlfn.IFERROR(VLOOKUP(I155,'Base de Monedas'!G:H,2,0),"")</f>
      </c>
      <c r="K155" s="569">
        <v>-158272</v>
      </c>
      <c r="L155" s="376" t="s">
        <v>978</v>
      </c>
    </row>
    <row r="156" spans="1:11" s="339" customFormat="1" ht="15" customHeight="1">
      <c r="A156" s="128" t="s">
        <v>3</v>
      </c>
      <c r="C156" s="353"/>
      <c r="D156" s="339">
        <f>_xlfn.IFERROR(VLOOKUP(C156,'Base de Monedas'!A:B,2,0),"")</f>
      </c>
      <c r="E156" s="587">
        <f>SUM(E146:E154)+9</f>
        <v>-587508</v>
      </c>
      <c r="H156" s="568"/>
      <c r="I156" s="353"/>
      <c r="J156" s="339">
        <f>_xlfn.IFERROR(VLOOKUP(I156,'Base de Monedas'!A:B,2,0),"")</f>
      </c>
      <c r="K156" s="587">
        <f>SUM(K146:K155)</f>
        <v>-790657</v>
      </c>
    </row>
    <row r="157" spans="1:11" s="556" customFormat="1" ht="15" customHeight="1">
      <c r="A157" s="128" t="s">
        <v>1022</v>
      </c>
      <c r="C157" s="353"/>
      <c r="E157" s="587">
        <f>+E38+E57+E93+E96+E109+E138+E142+E156</f>
        <v>13210570</v>
      </c>
      <c r="H157" s="128"/>
      <c r="I157" s="353"/>
      <c r="K157" s="587">
        <f>+K38+K57+K93+K96+K109+K138+K142+K156+5</f>
        <v>16836139</v>
      </c>
    </row>
    <row r="158" spans="1:11" s="556" customFormat="1" ht="15" customHeight="1">
      <c r="A158"/>
      <c r="B158" s="568"/>
      <c r="C158" s="568"/>
      <c r="D158" s="353"/>
      <c r="F158" s="507"/>
      <c r="H158" s="568"/>
      <c r="I158" s="353"/>
      <c r="K158" s="507"/>
    </row>
    <row r="159" spans="1:11" s="556" customFormat="1" ht="15" customHeight="1">
      <c r="A159" s="128" t="s">
        <v>853</v>
      </c>
      <c r="B159" s="568"/>
      <c r="C159" s="568"/>
      <c r="D159" s="353"/>
      <c r="F159" s="507"/>
      <c r="H159" s="568"/>
      <c r="I159" s="353"/>
      <c r="K159" s="507"/>
    </row>
    <row r="160" spans="1:11" s="556" customFormat="1" ht="15" customHeight="1">
      <c r="A160" s="26"/>
      <c r="B160" s="568"/>
      <c r="C160" s="568"/>
      <c r="D160" s="353"/>
      <c r="F160" s="507"/>
      <c r="H160" s="568"/>
      <c r="I160" s="353"/>
      <c r="K160" s="507"/>
    </row>
    <row r="161" spans="1:11" s="556" customFormat="1" ht="15" customHeight="1">
      <c r="A161" s="163" t="s">
        <v>859</v>
      </c>
      <c r="B161" s="568"/>
      <c r="C161" s="568"/>
      <c r="D161" s="353"/>
      <c r="F161" s="507"/>
      <c r="H161" s="568"/>
      <c r="I161" s="353"/>
      <c r="K161" s="507"/>
    </row>
    <row r="162" spans="1:12" s="556" customFormat="1" ht="15" customHeight="1">
      <c r="A162" s="556" t="s">
        <v>982</v>
      </c>
      <c r="B162" s="568">
        <v>44603</v>
      </c>
      <c r="C162" s="353" t="s">
        <v>448</v>
      </c>
      <c r="D162" s="566" t="str">
        <f>_xlfn.IFERROR(VLOOKUP(C162,'Base de Monedas'!A:B,2,0),"")</f>
        <v>Guaraní</v>
      </c>
      <c r="E162" s="507">
        <v>1000000</v>
      </c>
      <c r="F162" s="566" t="s">
        <v>978</v>
      </c>
      <c r="H162" s="568"/>
      <c r="I162" s="581"/>
      <c r="J162" s="162"/>
      <c r="K162" s="562"/>
      <c r="L162" s="162"/>
    </row>
    <row r="163" spans="1:12" s="556" customFormat="1" ht="15" customHeight="1">
      <c r="A163" s="586" t="s">
        <v>120</v>
      </c>
      <c r="B163" s="575"/>
      <c r="C163" s="575"/>
      <c r="D163" s="377"/>
      <c r="E163" s="569"/>
      <c r="F163" s="569"/>
      <c r="G163" s="376"/>
      <c r="H163" s="575"/>
      <c r="I163" s="377"/>
      <c r="J163" s="376"/>
      <c r="K163" s="569">
        <v>0</v>
      </c>
      <c r="L163" s="376"/>
    </row>
    <row r="164" spans="1:11" s="556" customFormat="1" ht="15" customHeight="1">
      <c r="A164" s="374"/>
      <c r="B164" s="568"/>
      <c r="C164" s="568"/>
      <c r="D164" s="353"/>
      <c r="E164" s="587">
        <f>+E162</f>
        <v>1000000</v>
      </c>
      <c r="F164" s="507"/>
      <c r="H164" s="568"/>
      <c r="I164" s="353"/>
      <c r="K164" s="507">
        <v>0</v>
      </c>
    </row>
    <row r="165" spans="1:11" s="577" customFormat="1" ht="15" customHeight="1">
      <c r="A165" s="374"/>
      <c r="B165" s="568"/>
      <c r="C165" s="568"/>
      <c r="D165" s="353"/>
      <c r="E165" s="507"/>
      <c r="F165" s="507"/>
      <c r="H165" s="568"/>
      <c r="I165" s="353"/>
      <c r="K165" s="507"/>
    </row>
    <row r="166" spans="1:11" s="556" customFormat="1" ht="15" customHeight="1">
      <c r="A166" s="570" t="s">
        <v>983</v>
      </c>
      <c r="B166" s="568"/>
      <c r="C166" s="568"/>
      <c r="D166" s="353"/>
      <c r="E166" s="507"/>
      <c r="F166" s="507"/>
      <c r="H166" s="568"/>
      <c r="I166" s="353"/>
      <c r="K166" s="507"/>
    </row>
    <row r="167" spans="1:12" s="556" customFormat="1" ht="15" customHeight="1">
      <c r="A167" s="586" t="s">
        <v>984</v>
      </c>
      <c r="B167" s="575">
        <v>44563</v>
      </c>
      <c r="C167" s="377" t="s">
        <v>448</v>
      </c>
      <c r="D167" s="376" t="str">
        <f>_xlfn.IFERROR(VLOOKUP(C167,'Base de Monedas'!A:B,2,0),"")</f>
        <v>Guaraní</v>
      </c>
      <c r="E167" s="569">
        <v>650000</v>
      </c>
      <c r="F167" s="376" t="s">
        <v>978</v>
      </c>
      <c r="H167" s="568">
        <v>44563</v>
      </c>
      <c r="I167" s="377" t="s">
        <v>448</v>
      </c>
      <c r="J167" s="376" t="s">
        <v>993</v>
      </c>
      <c r="K167" s="569">
        <v>650000</v>
      </c>
      <c r="L167" s="376" t="s">
        <v>978</v>
      </c>
    </row>
    <row r="168" spans="1:11" s="556" customFormat="1" ht="15" customHeight="1">
      <c r="A168" s="374"/>
      <c r="B168" s="568"/>
      <c r="C168" s="568"/>
      <c r="D168" s="353"/>
      <c r="E168" s="587">
        <f>+E167</f>
        <v>650000</v>
      </c>
      <c r="F168" s="507"/>
      <c r="H168" s="568"/>
      <c r="I168" s="353"/>
      <c r="K168" s="587">
        <f>+K167</f>
        <v>650000</v>
      </c>
    </row>
    <row r="169" spans="1:11" s="577" customFormat="1" ht="15" customHeight="1">
      <c r="A169" s="374"/>
      <c r="B169" s="568"/>
      <c r="C169" s="568"/>
      <c r="D169" s="353"/>
      <c r="E169" s="587"/>
      <c r="F169" s="507"/>
      <c r="H169" s="568"/>
      <c r="I169" s="353"/>
      <c r="K169" s="507"/>
    </row>
    <row r="170" spans="1:11" s="556" customFormat="1" ht="15" customHeight="1">
      <c r="A170" s="555" t="s">
        <v>985</v>
      </c>
      <c r="B170" s="568"/>
      <c r="C170" s="568"/>
      <c r="D170" s="353"/>
      <c r="E170" s="507"/>
      <c r="F170" s="507"/>
      <c r="H170" s="568"/>
      <c r="I170" s="353"/>
      <c r="K170" s="507"/>
    </row>
    <row r="171" spans="1:11" s="577" customFormat="1" ht="15" customHeight="1">
      <c r="A171" s="576"/>
      <c r="B171" s="568"/>
      <c r="C171" s="568"/>
      <c r="D171" s="353"/>
      <c r="E171" s="507"/>
      <c r="F171" s="507"/>
      <c r="H171" s="568"/>
      <c r="I171" s="353"/>
      <c r="K171" s="507"/>
    </row>
    <row r="172" spans="1:11" s="556" customFormat="1" ht="15" customHeight="1">
      <c r="A172" s="128" t="s">
        <v>987</v>
      </c>
      <c r="B172" s="568"/>
      <c r="C172" s="568"/>
      <c r="D172" s="353"/>
      <c r="F172" s="507"/>
      <c r="H172" s="128" t="s">
        <v>987</v>
      </c>
      <c r="I172" s="568"/>
      <c r="J172" s="568"/>
      <c r="K172" s="353"/>
    </row>
    <row r="173" spans="1:12" s="556" customFormat="1" ht="15" customHeight="1">
      <c r="A173" s="557" t="s">
        <v>989</v>
      </c>
      <c r="B173" s="568">
        <v>44643</v>
      </c>
      <c r="C173" s="353" t="s">
        <v>448</v>
      </c>
      <c r="D173" s="566" t="str">
        <f>_xlfn.IFERROR(VLOOKUP(C173,'Base de Monedas'!A:B,2,0),"")</f>
        <v>Guaraní</v>
      </c>
      <c r="E173" s="507"/>
      <c r="F173" s="507"/>
      <c r="H173" s="568">
        <v>44643</v>
      </c>
      <c r="I173" s="353" t="s">
        <v>448</v>
      </c>
      <c r="J173" s="577" t="s">
        <v>993</v>
      </c>
      <c r="K173" s="577">
        <v>0</v>
      </c>
      <c r="L173" s="507" t="s">
        <v>978</v>
      </c>
    </row>
    <row r="174" spans="1:12" s="339" customFormat="1" ht="15" customHeight="1">
      <c r="A174" s="557" t="s">
        <v>989</v>
      </c>
      <c r="B174" s="568">
        <v>44733</v>
      </c>
      <c r="C174" s="353" t="s">
        <v>448</v>
      </c>
      <c r="D174" s="566" t="str">
        <f>_xlfn.IFERROR(VLOOKUP(C174,'Base de Monedas'!A:B,2,0),"")</f>
        <v>Guaraní</v>
      </c>
      <c r="E174" s="507"/>
      <c r="F174" s="507"/>
      <c r="H174" s="568">
        <v>44733</v>
      </c>
      <c r="I174" s="353" t="s">
        <v>448</v>
      </c>
      <c r="J174" s="577" t="s">
        <v>993</v>
      </c>
      <c r="K174" s="577">
        <v>0</v>
      </c>
      <c r="L174" s="507" t="s">
        <v>978</v>
      </c>
    </row>
    <row r="175" spans="1:12" s="339" customFormat="1" ht="15" customHeight="1">
      <c r="A175" s="557" t="s">
        <v>989</v>
      </c>
      <c r="B175" s="568">
        <v>44824</v>
      </c>
      <c r="C175" s="353" t="s">
        <v>448</v>
      </c>
      <c r="D175" s="566" t="str">
        <f>_xlfn.IFERROR(VLOOKUP(C175,'Base de Monedas'!A:B,2,0),"")</f>
        <v>Guaraní</v>
      </c>
      <c r="E175" s="507"/>
      <c r="F175" s="507"/>
      <c r="H175" s="568">
        <v>44824</v>
      </c>
      <c r="I175" s="353" t="s">
        <v>448</v>
      </c>
      <c r="J175" s="577" t="s">
        <v>993</v>
      </c>
      <c r="K175" s="577">
        <v>0</v>
      </c>
      <c r="L175" s="507" t="s">
        <v>978</v>
      </c>
    </row>
    <row r="176" spans="1:12" s="339" customFormat="1" ht="15" customHeight="1">
      <c r="A176" s="557" t="s">
        <v>989</v>
      </c>
      <c r="B176" s="568">
        <v>44917</v>
      </c>
      <c r="C176" s="353" t="s">
        <v>448</v>
      </c>
      <c r="D176" s="566" t="str">
        <f>_xlfn.IFERROR(VLOOKUP(C176,'Base de Monedas'!A:B,2,0),"")</f>
        <v>Guaraní</v>
      </c>
      <c r="E176" s="507">
        <f>1760000</f>
        <v>1760000</v>
      </c>
      <c r="F176" s="507" t="s">
        <v>978</v>
      </c>
      <c r="H176" s="568">
        <v>44917</v>
      </c>
      <c r="I176" s="353" t="s">
        <v>448</v>
      </c>
      <c r="J176" s="577" t="s">
        <v>993</v>
      </c>
      <c r="K176" s="577">
        <v>1760000</v>
      </c>
      <c r="L176" s="507" t="s">
        <v>978</v>
      </c>
    </row>
    <row r="177" spans="1:12" s="339" customFormat="1" ht="15" customHeight="1">
      <c r="A177" s="557" t="s">
        <v>990</v>
      </c>
      <c r="B177" s="568">
        <v>45008</v>
      </c>
      <c r="C177" s="353" t="s">
        <v>448</v>
      </c>
      <c r="D177" s="566" t="str">
        <f>_xlfn.IFERROR(VLOOKUP(C177,'Base de Monedas'!A:B,2,0),"")</f>
        <v>Guaraní</v>
      </c>
      <c r="E177" s="507"/>
      <c r="F177" s="507"/>
      <c r="H177" s="568">
        <v>45008</v>
      </c>
      <c r="I177" s="353" t="s">
        <v>448</v>
      </c>
      <c r="J177" s="577" t="s">
        <v>993</v>
      </c>
      <c r="K177" s="577">
        <v>0</v>
      </c>
      <c r="L177" s="507" t="s">
        <v>978</v>
      </c>
    </row>
    <row r="178" spans="1:12" s="339" customFormat="1" ht="15" customHeight="1">
      <c r="A178" s="557" t="s">
        <v>990</v>
      </c>
      <c r="B178" s="568">
        <v>45099</v>
      </c>
      <c r="C178" s="353" t="s">
        <v>448</v>
      </c>
      <c r="D178" s="566" t="str">
        <f>_xlfn.IFERROR(VLOOKUP(C178,'Base de Monedas'!A:B,2,0),"")</f>
        <v>Guaraní</v>
      </c>
      <c r="E178" s="507"/>
      <c r="F178" s="507"/>
      <c r="H178" s="568">
        <v>45099</v>
      </c>
      <c r="I178" s="353" t="s">
        <v>448</v>
      </c>
      <c r="J178" s="577" t="s">
        <v>993</v>
      </c>
      <c r="K178" s="577">
        <v>0</v>
      </c>
      <c r="L178" s="507" t="s">
        <v>978</v>
      </c>
    </row>
    <row r="179" spans="1:12" s="339" customFormat="1" ht="15" customHeight="1">
      <c r="A179" s="557" t="s">
        <v>990</v>
      </c>
      <c r="B179" s="568">
        <v>45190</v>
      </c>
      <c r="C179" s="353" t="s">
        <v>448</v>
      </c>
      <c r="D179" s="566" t="str">
        <f>_xlfn.IFERROR(VLOOKUP(C179,'Base de Monedas'!A:B,2,0),"")</f>
        <v>Guaraní</v>
      </c>
      <c r="E179" s="507"/>
      <c r="F179" s="507"/>
      <c r="H179" s="568">
        <v>45190</v>
      </c>
      <c r="I179" s="353" t="s">
        <v>448</v>
      </c>
      <c r="J179" s="577" t="s">
        <v>993</v>
      </c>
      <c r="K179" s="577">
        <v>0</v>
      </c>
      <c r="L179" s="507" t="s">
        <v>978</v>
      </c>
    </row>
    <row r="180" spans="1:12" s="339" customFormat="1" ht="15" customHeight="1">
      <c r="A180" s="557" t="s">
        <v>990</v>
      </c>
      <c r="B180" s="568">
        <v>45281</v>
      </c>
      <c r="C180" s="353" t="s">
        <v>448</v>
      </c>
      <c r="D180" s="566" t="str">
        <f>_xlfn.IFERROR(VLOOKUP(C180,'Base de Monedas'!A:B,2,0),"")</f>
        <v>Guaraní</v>
      </c>
      <c r="E180" s="507">
        <f>1760000</f>
        <v>1760000</v>
      </c>
      <c r="F180" s="507" t="s">
        <v>978</v>
      </c>
      <c r="H180" s="568">
        <v>45281</v>
      </c>
      <c r="I180" s="353" t="s">
        <v>448</v>
      </c>
      <c r="J180" s="577" t="s">
        <v>993</v>
      </c>
      <c r="K180" s="577">
        <v>1760000</v>
      </c>
      <c r="L180" s="507" t="s">
        <v>978</v>
      </c>
    </row>
    <row r="181" spans="1:12" s="339" customFormat="1" ht="15" customHeight="1">
      <c r="A181" s="557" t="s">
        <v>991</v>
      </c>
      <c r="B181" s="568">
        <v>45372</v>
      </c>
      <c r="C181" s="353" t="s">
        <v>448</v>
      </c>
      <c r="D181" s="566" t="str">
        <f>_xlfn.IFERROR(VLOOKUP(C181,'Base de Monedas'!A:B,2,0),"")</f>
        <v>Guaraní</v>
      </c>
      <c r="E181" s="507"/>
      <c r="F181" s="507"/>
      <c r="H181" s="568">
        <v>45372</v>
      </c>
      <c r="I181" s="353" t="s">
        <v>448</v>
      </c>
      <c r="J181" s="577" t="s">
        <v>993</v>
      </c>
      <c r="K181" s="577">
        <v>0</v>
      </c>
      <c r="L181" s="507" t="s">
        <v>978</v>
      </c>
    </row>
    <row r="182" spans="1:12" s="339" customFormat="1" ht="15" customHeight="1">
      <c r="A182" s="557" t="s">
        <v>991</v>
      </c>
      <c r="B182" s="568">
        <v>45463</v>
      </c>
      <c r="C182" s="353" t="s">
        <v>448</v>
      </c>
      <c r="D182" s="566" t="str">
        <f>_xlfn.IFERROR(VLOOKUP(C182,'Base de Monedas'!A:B,2,0),"")</f>
        <v>Guaraní</v>
      </c>
      <c r="E182" s="507"/>
      <c r="F182" s="507"/>
      <c r="H182" s="568">
        <v>45463</v>
      </c>
      <c r="I182" s="353" t="s">
        <v>448</v>
      </c>
      <c r="J182" s="577" t="s">
        <v>993</v>
      </c>
      <c r="K182" s="577">
        <v>0</v>
      </c>
      <c r="L182" s="507" t="s">
        <v>978</v>
      </c>
    </row>
    <row r="183" spans="1:12" s="339" customFormat="1" ht="15" customHeight="1">
      <c r="A183" s="557" t="s">
        <v>991</v>
      </c>
      <c r="B183" s="568">
        <v>45554</v>
      </c>
      <c r="C183" s="353" t="s">
        <v>448</v>
      </c>
      <c r="D183" s="566" t="str">
        <f>_xlfn.IFERROR(VLOOKUP(C183,'Base de Monedas'!A:B,2,0),"")</f>
        <v>Guaraní</v>
      </c>
      <c r="E183" s="507"/>
      <c r="F183" s="507"/>
      <c r="H183" s="568">
        <v>45554</v>
      </c>
      <c r="I183" s="353" t="s">
        <v>448</v>
      </c>
      <c r="J183" s="577" t="s">
        <v>993</v>
      </c>
      <c r="K183" s="577">
        <v>0</v>
      </c>
      <c r="L183" s="507" t="s">
        <v>978</v>
      </c>
    </row>
    <row r="184" spans="1:12" s="339" customFormat="1" ht="15" customHeight="1">
      <c r="A184" s="557" t="s">
        <v>991</v>
      </c>
      <c r="B184" s="568">
        <v>45645</v>
      </c>
      <c r="C184" s="353" t="s">
        <v>448</v>
      </c>
      <c r="D184" s="566" t="str">
        <f>_xlfn.IFERROR(VLOOKUP(C184,'Base de Monedas'!A:B,2,0),"")</f>
        <v>Guaraní</v>
      </c>
      <c r="E184" s="507">
        <f>1980000</f>
        <v>1980000</v>
      </c>
      <c r="F184" s="507" t="s">
        <v>978</v>
      </c>
      <c r="H184" s="568">
        <v>45645</v>
      </c>
      <c r="I184" s="353" t="s">
        <v>448</v>
      </c>
      <c r="J184" s="577" t="s">
        <v>993</v>
      </c>
      <c r="K184" s="577">
        <v>1980000</v>
      </c>
      <c r="L184" s="507" t="s">
        <v>978</v>
      </c>
    </row>
    <row r="185" spans="1:11" s="339" customFormat="1" ht="15" customHeight="1">
      <c r="A185" s="556"/>
      <c r="C185" s="353"/>
      <c r="D185" s="339">
        <f>_xlfn.IFERROR(VLOOKUP(C185,'Base de Monedas'!A:B,2,0),"")</f>
      </c>
      <c r="E185" s="507"/>
      <c r="H185" s="568"/>
      <c r="I185" s="353"/>
      <c r="J185" s="339">
        <f>_xlfn.IFERROR(VLOOKUP(I185,'Base de Monedas'!A:B,2,0),"")</f>
      </c>
      <c r="K185" s="507"/>
    </row>
    <row r="186" spans="1:13" s="339" customFormat="1" ht="15" customHeight="1">
      <c r="A186" s="374" t="s">
        <v>121</v>
      </c>
      <c r="B186" s="376"/>
      <c r="C186" s="377"/>
      <c r="D186" s="376">
        <f>_xlfn.IFERROR(VLOOKUP(C186,'Base de Monedas'!A:B,2,0),"")</f>
      </c>
      <c r="E186" s="569"/>
      <c r="F186" s="376"/>
      <c r="G186" s="376"/>
      <c r="H186" s="575"/>
      <c r="I186" s="376"/>
      <c r="J186" s="376"/>
      <c r="K186" s="569"/>
      <c r="L186" s="376"/>
      <c r="M186" s="162"/>
    </row>
    <row r="187" spans="1:13" s="577" customFormat="1" ht="15" customHeight="1">
      <c r="A187" s="374"/>
      <c r="B187" s="162"/>
      <c r="C187" s="581"/>
      <c r="D187" s="162"/>
      <c r="E187" s="587">
        <f>SUM(E176:E186)</f>
        <v>5500000</v>
      </c>
      <c r="F187" s="162"/>
      <c r="G187" s="162"/>
      <c r="H187" s="588"/>
      <c r="I187" s="162"/>
      <c r="J187" s="162"/>
      <c r="K187" s="593">
        <f>SUM(K171:K184)</f>
        <v>5500000</v>
      </c>
      <c r="L187" s="162"/>
      <c r="M187" s="162"/>
    </row>
    <row r="188" spans="1:11" s="339" customFormat="1" ht="15" customHeight="1">
      <c r="A188" s="163" t="s">
        <v>858</v>
      </c>
      <c r="C188" s="353"/>
      <c r="D188" s="339">
        <f>_xlfn.IFERROR(VLOOKUP(C188,'Base de Monedas'!A:B,2,0),"")</f>
      </c>
      <c r="E188" s="587"/>
      <c r="H188" s="568"/>
      <c r="I188" s="353"/>
      <c r="J188" s="339">
        <f>_xlfn.IFERROR(VLOOKUP(I188,'Base de Monedas'!A:B,2,0),"")</f>
      </c>
      <c r="K188" s="507"/>
    </row>
    <row r="189" spans="1:11" ht="15" customHeight="1">
      <c r="A189" s="339" t="s">
        <v>856</v>
      </c>
      <c r="E189" s="507"/>
      <c r="H189" s="568"/>
      <c r="I189" s="353"/>
      <c r="J189" s="339">
        <f>_xlfn.IFERROR(VLOOKUP(I189,'Base de Monedas'!H:I,2,0),"")</f>
      </c>
      <c r="K189" s="507"/>
    </row>
    <row r="190" spans="1:11" ht="15" customHeight="1">
      <c r="A190" s="339" t="s">
        <v>856</v>
      </c>
      <c r="E190" s="507"/>
      <c r="H190" s="568"/>
      <c r="K190" s="507"/>
    </row>
    <row r="191" spans="1:11" ht="15" customHeight="1">
      <c r="A191" s="374" t="s">
        <v>120</v>
      </c>
      <c r="E191" s="507"/>
      <c r="H191" s="568"/>
      <c r="K191" s="507"/>
    </row>
    <row r="192" spans="1:11" ht="15" customHeight="1">
      <c r="A192" s="339" t="s">
        <v>261</v>
      </c>
      <c r="E192" s="507"/>
      <c r="H192" s="568"/>
      <c r="K192" s="507"/>
    </row>
    <row r="193" spans="1:11" ht="15" customHeight="1">
      <c r="A193" s="374" t="s">
        <v>121</v>
      </c>
      <c r="E193" s="507"/>
      <c r="H193" s="568"/>
      <c r="K193" s="507"/>
    </row>
    <row r="194" spans="1:11" s="566" customFormat="1" ht="15" customHeight="1">
      <c r="A194" s="374"/>
      <c r="E194" s="507"/>
      <c r="H194" s="568"/>
      <c r="K194" s="507"/>
    </row>
    <row r="195" spans="1:11" ht="15" customHeight="1">
      <c r="A195" s="128" t="s">
        <v>860</v>
      </c>
      <c r="E195" s="507"/>
      <c r="H195" s="568"/>
      <c r="K195" s="507"/>
    </row>
    <row r="196" spans="1:12" s="566" customFormat="1" ht="15" customHeight="1">
      <c r="A196" s="376" t="s">
        <v>982</v>
      </c>
      <c r="B196" s="575">
        <v>44603</v>
      </c>
      <c r="C196" s="377" t="s">
        <v>448</v>
      </c>
      <c r="D196" s="376" t="str">
        <f>_xlfn.IFERROR(VLOOKUP(C196,'Base de Monedas'!A:B,2,0),"")</f>
        <v>Guaraní</v>
      </c>
      <c r="E196" s="569">
        <v>102782</v>
      </c>
      <c r="F196" s="569" t="s">
        <v>978</v>
      </c>
      <c r="G196" s="376"/>
      <c r="H196" s="575"/>
      <c r="I196" s="376"/>
      <c r="J196" s="376"/>
      <c r="K196" s="569">
        <v>0</v>
      </c>
      <c r="L196" s="376"/>
    </row>
    <row r="197" spans="2:11" s="577" customFormat="1" ht="15" customHeight="1">
      <c r="B197" s="568"/>
      <c r="C197" s="353"/>
      <c r="E197" s="587">
        <f>+E196</f>
        <v>102782</v>
      </c>
      <c r="F197" s="507"/>
      <c r="H197" s="568"/>
      <c r="K197" s="507">
        <v>0</v>
      </c>
    </row>
    <row r="198" spans="1:11" s="566" customFormat="1" ht="15" customHeight="1">
      <c r="A198" s="128"/>
      <c r="E198" s="507"/>
      <c r="H198" s="568"/>
      <c r="K198" s="507"/>
    </row>
    <row r="199" spans="1:11" s="566" customFormat="1" ht="15" customHeight="1">
      <c r="A199" s="128" t="s">
        <v>1001</v>
      </c>
      <c r="E199" s="507"/>
      <c r="H199" s="568"/>
      <c r="K199" s="507"/>
    </row>
    <row r="200" spans="1:12" s="566" customFormat="1" ht="15" customHeight="1">
      <c r="A200" s="589" t="s">
        <v>999</v>
      </c>
      <c r="B200" s="575">
        <v>44563</v>
      </c>
      <c r="C200" s="377" t="s">
        <v>448</v>
      </c>
      <c r="D200" s="376" t="str">
        <f>_xlfn.IFERROR(VLOOKUP(C200,'Base de Monedas'!A:B,2,0),"")</f>
        <v>Guaraní</v>
      </c>
      <c r="E200" s="569">
        <v>78000</v>
      </c>
      <c r="F200" s="569" t="s">
        <v>978</v>
      </c>
      <c r="H200" s="575">
        <v>44563</v>
      </c>
      <c r="I200" s="377" t="s">
        <v>448</v>
      </c>
      <c r="J200" s="376">
        <f>_xlfn.IFERROR(VLOOKUP(I200,'Base de Monedas'!G:H,2,0),"")</f>
      </c>
      <c r="K200" s="569">
        <v>78000</v>
      </c>
      <c r="L200" s="376" t="s">
        <v>978</v>
      </c>
    </row>
    <row r="201" spans="1:11" s="577" customFormat="1" ht="15" customHeight="1">
      <c r="A201" s="583"/>
      <c r="B201" s="568"/>
      <c r="C201" s="353"/>
      <c r="E201" s="587">
        <f>+E200</f>
        <v>78000</v>
      </c>
      <c r="F201" s="507"/>
      <c r="H201" s="568"/>
      <c r="K201" s="587">
        <f>+K200</f>
        <v>78000</v>
      </c>
    </row>
    <row r="202" spans="1:11" s="566" customFormat="1" ht="15" customHeight="1">
      <c r="A202" s="128"/>
      <c r="E202" s="507"/>
      <c r="H202" s="568"/>
      <c r="K202" s="507"/>
    </row>
    <row r="203" spans="1:11" s="566" customFormat="1" ht="15" customHeight="1">
      <c r="A203" s="128" t="s">
        <v>1002</v>
      </c>
      <c r="E203" s="507"/>
      <c r="H203" s="568"/>
      <c r="K203" s="507"/>
    </row>
    <row r="204" spans="1:11" s="577" customFormat="1" ht="15" customHeight="1">
      <c r="A204" s="128"/>
      <c r="E204" s="507"/>
      <c r="H204" s="568"/>
      <c r="K204" s="507"/>
    </row>
    <row r="205" spans="1:11" s="577" customFormat="1" ht="15" customHeight="1">
      <c r="A205" s="573" t="s">
        <v>986</v>
      </c>
      <c r="E205" s="507"/>
      <c r="H205" s="573" t="s">
        <v>986</v>
      </c>
      <c r="I205" s="353"/>
      <c r="K205" s="507"/>
    </row>
    <row r="206" spans="1:12" s="577" customFormat="1" ht="15" customHeight="1">
      <c r="A206" s="574" t="s">
        <v>988</v>
      </c>
      <c r="E206" s="507"/>
      <c r="H206" s="568">
        <v>44215</v>
      </c>
      <c r="I206" s="353" t="s">
        <v>992</v>
      </c>
      <c r="J206" s="577" t="s">
        <v>993</v>
      </c>
      <c r="K206" s="507">
        <v>0</v>
      </c>
      <c r="L206" s="577" t="s">
        <v>978</v>
      </c>
    </row>
    <row r="207" spans="1:12" s="577" customFormat="1" ht="15" customHeight="1">
      <c r="A207" s="574" t="s">
        <v>988</v>
      </c>
      <c r="E207" s="507"/>
      <c r="H207" s="568">
        <v>44306</v>
      </c>
      <c r="I207" s="353" t="s">
        <v>992</v>
      </c>
      <c r="J207" s="577" t="s">
        <v>993</v>
      </c>
      <c r="K207" s="507">
        <v>0</v>
      </c>
      <c r="L207" s="577" t="s">
        <v>978</v>
      </c>
    </row>
    <row r="208" spans="1:12" s="577" customFormat="1" ht="15" customHeight="1">
      <c r="A208" s="574" t="s">
        <v>988</v>
      </c>
      <c r="E208" s="507"/>
      <c r="H208" s="568">
        <v>44397</v>
      </c>
      <c r="I208" s="353" t="s">
        <v>992</v>
      </c>
      <c r="J208" s="577" t="s">
        <v>993</v>
      </c>
      <c r="K208" s="507">
        <v>0</v>
      </c>
      <c r="L208" s="577" t="s">
        <v>978</v>
      </c>
    </row>
    <row r="209" spans="1:12" s="577" customFormat="1" ht="15" customHeight="1">
      <c r="A209" s="579" t="s">
        <v>988</v>
      </c>
      <c r="E209" s="507"/>
      <c r="H209" s="568">
        <v>44488</v>
      </c>
      <c r="I209" s="353" t="s">
        <v>992</v>
      </c>
      <c r="J209" s="577" t="s">
        <v>993</v>
      </c>
      <c r="K209" s="507">
        <v>0</v>
      </c>
      <c r="L209" s="577" t="s">
        <v>978</v>
      </c>
    </row>
    <row r="210" spans="1:11" s="566" customFormat="1" ht="15" customHeight="1">
      <c r="A210" s="128" t="s">
        <v>987</v>
      </c>
      <c r="E210" s="507"/>
      <c r="H210" s="568"/>
      <c r="K210" s="507"/>
    </row>
    <row r="211" spans="1:12" s="566" customFormat="1" ht="15" customHeight="1">
      <c r="A211" s="567" t="s">
        <v>989</v>
      </c>
      <c r="B211" s="568">
        <v>44643</v>
      </c>
      <c r="C211" s="353" t="s">
        <v>448</v>
      </c>
      <c r="D211" s="566" t="str">
        <f>_xlfn.IFERROR(VLOOKUP(C211,'Base de Monedas'!A:B,2,0),"")</f>
        <v>Guaraní</v>
      </c>
      <c r="E211" s="507">
        <f>48267+50461+59237</f>
        <v>157965</v>
      </c>
      <c r="F211" s="507" t="s">
        <v>978</v>
      </c>
      <c r="H211" s="568">
        <v>44643</v>
      </c>
      <c r="I211" s="353" t="s">
        <v>448</v>
      </c>
      <c r="J211" s="577">
        <f>_xlfn.IFERROR(VLOOKUP(I211,'Base de Monedas'!G:H,2,0),"")</f>
      </c>
      <c r="K211" s="507">
        <f>48267+50461+59237</f>
        <v>157965</v>
      </c>
      <c r="L211" s="507" t="s">
        <v>978</v>
      </c>
    </row>
    <row r="212" spans="1:12" s="566" customFormat="1" ht="15" customHeight="1">
      <c r="A212" s="567" t="s">
        <v>989</v>
      </c>
      <c r="B212" s="568">
        <v>44733</v>
      </c>
      <c r="C212" s="353" t="s">
        <v>448</v>
      </c>
      <c r="D212" s="566" t="str">
        <f>_xlfn.IFERROR(VLOOKUP(C212,'Base de Monedas'!A:B,2,0),"")</f>
        <v>Guaraní</v>
      </c>
      <c r="E212" s="507">
        <f>48267+50461+59237</f>
        <v>157965</v>
      </c>
      <c r="F212" s="507" t="s">
        <v>978</v>
      </c>
      <c r="H212" s="568">
        <v>44733</v>
      </c>
      <c r="I212" s="353" t="s">
        <v>448</v>
      </c>
      <c r="J212" s="577">
        <f>_xlfn.IFERROR(VLOOKUP(I212,'Base de Monedas'!G:H,2,0),"")</f>
      </c>
      <c r="K212" s="507">
        <f>48267+50461+59237</f>
        <v>157965</v>
      </c>
      <c r="L212" s="507" t="s">
        <v>978</v>
      </c>
    </row>
    <row r="213" spans="1:12" s="566" customFormat="1" ht="15" customHeight="1">
      <c r="A213" s="567" t="s">
        <v>989</v>
      </c>
      <c r="B213" s="568">
        <v>44824</v>
      </c>
      <c r="C213" s="353" t="s">
        <v>448</v>
      </c>
      <c r="D213" s="566" t="str">
        <f>_xlfn.IFERROR(VLOOKUP(C213,'Base de Monedas'!A:B,2,0),"")</f>
        <v>Guaraní</v>
      </c>
      <c r="E213" s="507">
        <f>48267+50461+59237</f>
        <v>157965</v>
      </c>
      <c r="F213" s="507" t="s">
        <v>978</v>
      </c>
      <c r="H213" s="568">
        <v>44824</v>
      </c>
      <c r="I213" s="353" t="s">
        <v>448</v>
      </c>
      <c r="J213" s="577">
        <f>_xlfn.IFERROR(VLOOKUP(I213,'Base de Monedas'!G:H,2,0),"")</f>
      </c>
      <c r="K213" s="507">
        <f>48267+50461+59237</f>
        <v>157965</v>
      </c>
      <c r="L213" s="507" t="s">
        <v>978</v>
      </c>
    </row>
    <row r="214" spans="1:12" s="566" customFormat="1" ht="15" customHeight="1">
      <c r="A214" s="567" t="s">
        <v>989</v>
      </c>
      <c r="B214" s="568">
        <v>44917</v>
      </c>
      <c r="C214" s="353" t="s">
        <v>448</v>
      </c>
      <c r="D214" s="566" t="str">
        <f>_xlfn.IFERROR(VLOOKUP(C214,'Base de Monedas'!A:B,2,0),"")</f>
        <v>Guaraní</v>
      </c>
      <c r="E214" s="507">
        <f>49328+51571+60539</f>
        <v>161438</v>
      </c>
      <c r="F214" s="507" t="s">
        <v>978</v>
      </c>
      <c r="H214" s="568">
        <v>44917</v>
      </c>
      <c r="I214" s="353" t="s">
        <v>448</v>
      </c>
      <c r="J214" s="577">
        <f>_xlfn.IFERROR(VLOOKUP(I214,'Base de Monedas'!G:H,2,0),"")</f>
      </c>
      <c r="K214" s="507">
        <f>49328+51571+60539</f>
        <v>161438</v>
      </c>
      <c r="L214" s="507" t="s">
        <v>978</v>
      </c>
    </row>
    <row r="215" spans="1:12" s="566" customFormat="1" ht="15" customHeight="1">
      <c r="A215" s="567" t="s">
        <v>990</v>
      </c>
      <c r="B215" s="568">
        <v>45008</v>
      </c>
      <c r="C215" s="353" t="s">
        <v>448</v>
      </c>
      <c r="D215" s="566" t="str">
        <f>_xlfn.IFERROR(VLOOKUP(C215,'Base de Monedas'!A:B,2,0),"")</f>
        <v>Guaraní</v>
      </c>
      <c r="E215" s="507">
        <f>50461+59237</f>
        <v>109698</v>
      </c>
      <c r="F215" s="507" t="s">
        <v>978</v>
      </c>
      <c r="H215" s="568">
        <v>45008</v>
      </c>
      <c r="I215" s="353" t="s">
        <v>448</v>
      </c>
      <c r="J215" s="577">
        <f>_xlfn.IFERROR(VLOOKUP(I215,'Base de Monedas'!G:H,2,0),"")</f>
      </c>
      <c r="K215" s="507">
        <f>50461+59237</f>
        <v>109698</v>
      </c>
      <c r="L215" s="507" t="s">
        <v>978</v>
      </c>
    </row>
    <row r="216" spans="1:12" s="566" customFormat="1" ht="15" customHeight="1">
      <c r="A216" s="567" t="s">
        <v>990</v>
      </c>
      <c r="B216" s="568">
        <v>45099</v>
      </c>
      <c r="C216" s="353" t="s">
        <v>448</v>
      </c>
      <c r="D216" s="566" t="str">
        <f>_xlfn.IFERROR(VLOOKUP(C216,'Base de Monedas'!A:B,2,0),"")</f>
        <v>Guaraní</v>
      </c>
      <c r="E216" s="507">
        <f>59237+50461</f>
        <v>109698</v>
      </c>
      <c r="F216" s="507" t="s">
        <v>978</v>
      </c>
      <c r="H216" s="568">
        <v>45099</v>
      </c>
      <c r="I216" s="353" t="s">
        <v>448</v>
      </c>
      <c r="J216" s="577">
        <f>_xlfn.IFERROR(VLOOKUP(I216,'Base de Monedas'!G:H,2,0),"")</f>
      </c>
      <c r="K216" s="507">
        <f>59237+50461</f>
        <v>109698</v>
      </c>
      <c r="L216" s="507" t="s">
        <v>978</v>
      </c>
    </row>
    <row r="217" spans="1:12" s="566" customFormat="1" ht="15" customHeight="1">
      <c r="A217" s="567" t="s">
        <v>990</v>
      </c>
      <c r="B217" s="568">
        <v>45190</v>
      </c>
      <c r="C217" s="353" t="s">
        <v>448</v>
      </c>
      <c r="D217" s="566" t="str">
        <f>_xlfn.IFERROR(VLOOKUP(C217,'Base de Monedas'!A:B,2,0),"")</f>
        <v>Guaraní</v>
      </c>
      <c r="E217" s="507">
        <f>50461+59237</f>
        <v>109698</v>
      </c>
      <c r="F217" s="507" t="s">
        <v>978</v>
      </c>
      <c r="H217" s="568">
        <v>45190</v>
      </c>
      <c r="I217" s="353" t="s">
        <v>448</v>
      </c>
      <c r="J217" s="577">
        <f>_xlfn.IFERROR(VLOOKUP(I217,'Base de Monedas'!G:H,2,0),"")</f>
      </c>
      <c r="K217" s="507">
        <f>50461+59237</f>
        <v>109698</v>
      </c>
      <c r="L217" s="507" t="s">
        <v>978</v>
      </c>
    </row>
    <row r="218" spans="1:12" s="566" customFormat="1" ht="15" customHeight="1">
      <c r="A218" s="567" t="s">
        <v>990</v>
      </c>
      <c r="B218" s="568">
        <v>45281</v>
      </c>
      <c r="C218" s="353" t="s">
        <v>448</v>
      </c>
      <c r="D218" s="566" t="str">
        <f>_xlfn.IFERROR(VLOOKUP(C218,'Base de Monedas'!A:B,2,0),"")</f>
        <v>Guaraní</v>
      </c>
      <c r="E218" s="507">
        <f>59237+50461</f>
        <v>109698</v>
      </c>
      <c r="F218" s="507" t="s">
        <v>978</v>
      </c>
      <c r="H218" s="568">
        <v>45281</v>
      </c>
      <c r="I218" s="353" t="s">
        <v>448</v>
      </c>
      <c r="J218" s="577">
        <f>_xlfn.IFERROR(VLOOKUP(I218,'Base de Monedas'!G:H,2,0),"")</f>
      </c>
      <c r="K218" s="507">
        <f>59237+50461</f>
        <v>109698</v>
      </c>
      <c r="L218" s="507" t="s">
        <v>978</v>
      </c>
    </row>
    <row r="219" spans="1:12" s="566" customFormat="1" ht="15" customHeight="1">
      <c r="A219" s="567" t="s">
        <v>991</v>
      </c>
      <c r="B219" s="568">
        <v>45372</v>
      </c>
      <c r="C219" s="353" t="s">
        <v>448</v>
      </c>
      <c r="D219" s="566" t="str">
        <f>_xlfn.IFERROR(VLOOKUP(C219,'Base de Monedas'!A:B,2,0),"")</f>
        <v>Guaraní</v>
      </c>
      <c r="E219" s="507">
        <v>59237</v>
      </c>
      <c r="F219" s="507" t="s">
        <v>978</v>
      </c>
      <c r="H219" s="568">
        <v>45372</v>
      </c>
      <c r="I219" s="353" t="s">
        <v>448</v>
      </c>
      <c r="J219" s="577">
        <f>_xlfn.IFERROR(VLOOKUP(I219,'Base de Monedas'!G:H,2,0),"")</f>
      </c>
      <c r="K219" s="507">
        <v>59237</v>
      </c>
      <c r="L219" s="507" t="s">
        <v>978</v>
      </c>
    </row>
    <row r="220" spans="1:12" s="566" customFormat="1" ht="15" customHeight="1">
      <c r="A220" s="567" t="s">
        <v>991</v>
      </c>
      <c r="B220" s="568">
        <v>45463</v>
      </c>
      <c r="C220" s="353" t="s">
        <v>448</v>
      </c>
      <c r="D220" s="566" t="str">
        <f>_xlfn.IFERROR(VLOOKUP(C220,'Base de Monedas'!A:B,2,0),"")</f>
        <v>Guaraní</v>
      </c>
      <c r="E220" s="507">
        <v>59237</v>
      </c>
      <c r="F220" s="507" t="s">
        <v>978</v>
      </c>
      <c r="H220" s="568">
        <v>45463</v>
      </c>
      <c r="I220" s="353" t="s">
        <v>448</v>
      </c>
      <c r="J220" s="577">
        <f>_xlfn.IFERROR(VLOOKUP(I220,'Base de Monedas'!G:H,2,0),"")</f>
      </c>
      <c r="K220" s="507">
        <v>59237</v>
      </c>
      <c r="L220" s="507" t="s">
        <v>978</v>
      </c>
    </row>
    <row r="221" spans="1:12" s="566" customFormat="1" ht="15" customHeight="1">
      <c r="A221" s="567" t="s">
        <v>991</v>
      </c>
      <c r="B221" s="568">
        <v>45554</v>
      </c>
      <c r="C221" s="353" t="s">
        <v>448</v>
      </c>
      <c r="D221" s="566" t="str">
        <f>_xlfn.IFERROR(VLOOKUP(C221,'Base de Monedas'!A:B,2,0),"")</f>
        <v>Guaraní</v>
      </c>
      <c r="E221" s="507">
        <v>59237</v>
      </c>
      <c r="F221" s="507" t="s">
        <v>978</v>
      </c>
      <c r="H221" s="568">
        <v>45554</v>
      </c>
      <c r="I221" s="353" t="s">
        <v>448</v>
      </c>
      <c r="J221" s="577">
        <f>_xlfn.IFERROR(VLOOKUP(I221,'Base de Monedas'!G:H,2,0),"")</f>
      </c>
      <c r="K221" s="507">
        <v>59237</v>
      </c>
      <c r="L221" s="507" t="s">
        <v>978</v>
      </c>
    </row>
    <row r="222" spans="1:12" s="566" customFormat="1" ht="15" customHeight="1">
      <c r="A222" s="585" t="s">
        <v>991</v>
      </c>
      <c r="B222" s="575">
        <v>45645</v>
      </c>
      <c r="C222" s="377" t="s">
        <v>448</v>
      </c>
      <c r="D222" s="376" t="str">
        <f>_xlfn.IFERROR(VLOOKUP(C222,'Base de Monedas'!A:B,2,0),"")</f>
        <v>Guaraní</v>
      </c>
      <c r="E222" s="569">
        <f>59237</f>
        <v>59237</v>
      </c>
      <c r="F222" s="569" t="s">
        <v>978</v>
      </c>
      <c r="H222" s="575">
        <v>45645</v>
      </c>
      <c r="I222" s="377" t="s">
        <v>448</v>
      </c>
      <c r="J222" s="376">
        <f>_xlfn.IFERROR(VLOOKUP(I222,'Base de Monedas'!G:H,2,0),"")</f>
      </c>
      <c r="K222" s="569">
        <f>59237</f>
        <v>59237</v>
      </c>
      <c r="L222" s="569" t="s">
        <v>978</v>
      </c>
    </row>
    <row r="223" spans="1:11" s="566" customFormat="1" ht="15" customHeight="1">
      <c r="A223" s="128"/>
      <c r="E223" s="587">
        <f>SUM(E211:E222)</f>
        <v>1311073</v>
      </c>
      <c r="H223" s="568"/>
      <c r="K223" s="587">
        <f>SUM(K211:K222)</f>
        <v>1311073</v>
      </c>
    </row>
    <row r="224" spans="1:11" s="577" customFormat="1" ht="15" customHeight="1">
      <c r="A224" s="128"/>
      <c r="E224" s="507"/>
      <c r="H224" s="568"/>
      <c r="K224" s="507"/>
    </row>
    <row r="225" spans="1:11" ht="15" customHeight="1">
      <c r="A225" s="128" t="s">
        <v>861</v>
      </c>
      <c r="E225" s="507"/>
      <c r="H225" s="568"/>
      <c r="K225" s="507"/>
    </row>
    <row r="226" spans="1:11" s="566" customFormat="1" ht="15" customHeight="1">
      <c r="A226" s="128" t="s">
        <v>1003</v>
      </c>
      <c r="E226" s="507"/>
      <c r="H226" s="568"/>
      <c r="K226" s="507"/>
    </row>
    <row r="227" spans="1:11" ht="15" customHeight="1">
      <c r="A227" s="376" t="s">
        <v>982</v>
      </c>
      <c r="B227" s="575">
        <v>44603</v>
      </c>
      <c r="C227" s="377" t="s">
        <v>448</v>
      </c>
      <c r="D227" s="376" t="str">
        <f>_xlfn.IFERROR(VLOOKUP(C227,'Base de Monedas'!A:B,2,0),"")</f>
        <v>Guaraní</v>
      </c>
      <c r="E227" s="569">
        <v>-17130</v>
      </c>
      <c r="F227" s="569" t="s">
        <v>978</v>
      </c>
      <c r="H227" s="568"/>
      <c r="K227" s="507"/>
    </row>
    <row r="228" spans="2:11" s="577" customFormat="1" ht="15" customHeight="1">
      <c r="B228" s="568"/>
      <c r="C228" s="353"/>
      <c r="E228" s="587">
        <f>+E227</f>
        <v>-17130</v>
      </c>
      <c r="F228" s="507"/>
      <c r="H228" s="568"/>
      <c r="K228" s="507"/>
    </row>
    <row r="229" spans="2:11" s="566" customFormat="1" ht="15" customHeight="1">
      <c r="B229" s="568"/>
      <c r="C229" s="353"/>
      <c r="E229" s="507"/>
      <c r="H229" s="568"/>
      <c r="K229" s="507"/>
    </row>
    <row r="230" spans="1:11" s="566" customFormat="1" ht="15" customHeight="1">
      <c r="A230" s="128" t="s">
        <v>998</v>
      </c>
      <c r="B230" s="568"/>
      <c r="C230" s="353"/>
      <c r="E230" s="507"/>
      <c r="H230" s="568"/>
      <c r="K230" s="507"/>
    </row>
    <row r="231" spans="1:12" s="566" customFormat="1" ht="15" customHeight="1">
      <c r="A231" s="585" t="s">
        <v>999</v>
      </c>
      <c r="B231" s="575">
        <v>44563</v>
      </c>
      <c r="C231" s="377" t="s">
        <v>448</v>
      </c>
      <c r="D231" s="376" t="str">
        <f>_xlfn.IFERROR(VLOOKUP(C231,'Base de Monedas'!A:B,2,0),"")</f>
        <v>Guaraní</v>
      </c>
      <c r="E231" s="569">
        <v>-6500</v>
      </c>
      <c r="F231" s="569" t="s">
        <v>978</v>
      </c>
      <c r="H231" s="575">
        <v>44563</v>
      </c>
      <c r="I231" s="377" t="s">
        <v>448</v>
      </c>
      <c r="J231" s="376">
        <f>_xlfn.IFERROR(VLOOKUP(I231,'Base de Monedas'!G:H,2,0),"")</f>
      </c>
      <c r="K231" s="569">
        <v>-6500</v>
      </c>
      <c r="L231" s="569" t="s">
        <v>978</v>
      </c>
    </row>
    <row r="232" spans="1:11" s="577" customFormat="1" ht="15" customHeight="1">
      <c r="A232" s="578"/>
      <c r="B232" s="568"/>
      <c r="C232" s="353"/>
      <c r="E232" s="587">
        <f>+E231</f>
        <v>-6500</v>
      </c>
      <c r="F232" s="507"/>
      <c r="H232" s="568"/>
      <c r="K232" s="587">
        <f>+K231</f>
        <v>-6500</v>
      </c>
    </row>
    <row r="233" spans="2:11" s="566" customFormat="1" ht="15" customHeight="1">
      <c r="B233" s="568"/>
      <c r="C233" s="353"/>
      <c r="E233" s="507"/>
      <c r="H233" s="568"/>
      <c r="K233" s="507"/>
    </row>
    <row r="234" spans="1:11" s="566" customFormat="1" ht="15" customHeight="1">
      <c r="A234" s="582" t="s">
        <v>1000</v>
      </c>
      <c r="B234" s="568"/>
      <c r="C234" s="353"/>
      <c r="E234" s="507"/>
      <c r="H234" s="568"/>
      <c r="K234" s="507"/>
    </row>
    <row r="235" spans="2:11" s="566" customFormat="1" ht="15" customHeight="1">
      <c r="B235" s="568"/>
      <c r="C235" s="353"/>
      <c r="E235" s="507"/>
      <c r="H235" s="568"/>
      <c r="K235" s="507"/>
    </row>
    <row r="236" spans="1:13" s="566" customFormat="1" ht="15" customHeight="1">
      <c r="A236" s="128" t="s">
        <v>987</v>
      </c>
      <c r="E236" s="507"/>
      <c r="H236" s="128" t="s">
        <v>987</v>
      </c>
      <c r="I236" s="577"/>
      <c r="J236" s="577"/>
      <c r="K236" s="577"/>
      <c r="L236" s="507"/>
      <c r="M236" s="577"/>
    </row>
    <row r="237" spans="1:13" s="566" customFormat="1" ht="15" customHeight="1">
      <c r="A237" s="567" t="s">
        <v>989</v>
      </c>
      <c r="B237" s="568">
        <v>44643</v>
      </c>
      <c r="C237" s="353" t="s">
        <v>448</v>
      </c>
      <c r="D237" s="566" t="str">
        <f>_xlfn.IFERROR(VLOOKUP(C237,'Base de Monedas'!A:B,2,0),"")</f>
        <v>Guaraní</v>
      </c>
      <c r="E237" s="507">
        <v>-158272</v>
      </c>
      <c r="F237" s="507" t="s">
        <v>978</v>
      </c>
      <c r="H237" s="578" t="s">
        <v>989</v>
      </c>
      <c r="I237" s="568">
        <v>44643</v>
      </c>
      <c r="J237" s="353" t="s">
        <v>448</v>
      </c>
      <c r="K237" s="507">
        <v>-158272</v>
      </c>
      <c r="L237" s="507" t="s">
        <v>978</v>
      </c>
      <c r="M237" s="507"/>
    </row>
    <row r="238" spans="1:13" s="566" customFormat="1" ht="15" customHeight="1">
      <c r="A238" s="567" t="s">
        <v>989</v>
      </c>
      <c r="B238" s="568">
        <v>44733</v>
      </c>
      <c r="C238" s="353" t="s">
        <v>448</v>
      </c>
      <c r="D238" s="566" t="str">
        <f>_xlfn.IFERROR(VLOOKUP(C238,'Base de Monedas'!A:B,2,0),"")</f>
        <v>Guaraní</v>
      </c>
      <c r="E238" s="507">
        <v>-158272</v>
      </c>
      <c r="F238" s="507" t="s">
        <v>978</v>
      </c>
      <c r="H238" s="578" t="s">
        <v>989</v>
      </c>
      <c r="I238" s="568">
        <v>44733</v>
      </c>
      <c r="J238" s="353" t="s">
        <v>448</v>
      </c>
      <c r="K238" s="507">
        <v>-158272</v>
      </c>
      <c r="L238" s="507" t="s">
        <v>978</v>
      </c>
      <c r="M238" s="507"/>
    </row>
    <row r="239" spans="1:13" s="566" customFormat="1" ht="15" customHeight="1">
      <c r="A239" s="567" t="s">
        <v>989</v>
      </c>
      <c r="B239" s="568">
        <v>44824</v>
      </c>
      <c r="C239" s="353" t="s">
        <v>448</v>
      </c>
      <c r="D239" s="566" t="str">
        <f>_xlfn.IFERROR(VLOOKUP(C239,'Base de Monedas'!A:B,2,0),"")</f>
        <v>Guaraní</v>
      </c>
      <c r="E239" s="507">
        <v>-158272</v>
      </c>
      <c r="F239" s="507" t="s">
        <v>978</v>
      </c>
      <c r="H239" s="578" t="s">
        <v>989</v>
      </c>
      <c r="I239" s="568">
        <v>44824</v>
      </c>
      <c r="J239" s="353" t="s">
        <v>448</v>
      </c>
      <c r="K239" s="507">
        <v>-158272</v>
      </c>
      <c r="L239" s="507" t="s">
        <v>978</v>
      </c>
      <c r="M239" s="507"/>
    </row>
    <row r="240" spans="1:13" s="566" customFormat="1" ht="15" customHeight="1">
      <c r="A240" s="567" t="s">
        <v>989</v>
      </c>
      <c r="B240" s="568">
        <v>44917</v>
      </c>
      <c r="C240" s="353" t="s">
        <v>448</v>
      </c>
      <c r="D240" s="566" t="str">
        <f>_xlfn.IFERROR(VLOOKUP(C240,'Base de Monedas'!A:B,2,0),"")</f>
        <v>Guaraní</v>
      </c>
      <c r="E240" s="507">
        <v>-158272</v>
      </c>
      <c r="F240" s="507" t="s">
        <v>978</v>
      </c>
      <c r="H240" s="578" t="s">
        <v>989</v>
      </c>
      <c r="I240" s="568">
        <v>44917</v>
      </c>
      <c r="J240" s="353" t="s">
        <v>448</v>
      </c>
      <c r="K240" s="507">
        <v>-158272</v>
      </c>
      <c r="L240" s="507" t="s">
        <v>978</v>
      </c>
      <c r="M240" s="507"/>
    </row>
    <row r="241" spans="1:13" s="566" customFormat="1" ht="15" customHeight="1">
      <c r="A241" s="567" t="s">
        <v>990</v>
      </c>
      <c r="B241" s="568">
        <v>45008</v>
      </c>
      <c r="C241" s="353" t="s">
        <v>448</v>
      </c>
      <c r="D241" s="566" t="str">
        <f>_xlfn.IFERROR(VLOOKUP(C241,'Base de Monedas'!A:B,2,0),"")</f>
        <v>Guaraní</v>
      </c>
      <c r="E241" s="507">
        <v>-109872</v>
      </c>
      <c r="F241" s="507" t="s">
        <v>978</v>
      </c>
      <c r="H241" s="578" t="s">
        <v>990</v>
      </c>
      <c r="I241" s="568">
        <v>45008</v>
      </c>
      <c r="J241" s="353" t="s">
        <v>448</v>
      </c>
      <c r="K241" s="507">
        <v>-109872</v>
      </c>
      <c r="L241" s="507" t="s">
        <v>978</v>
      </c>
      <c r="M241" s="507"/>
    </row>
    <row r="242" spans="1:13" s="566" customFormat="1" ht="15" customHeight="1">
      <c r="A242" s="567" t="s">
        <v>990</v>
      </c>
      <c r="B242" s="568">
        <v>45099</v>
      </c>
      <c r="C242" s="353" t="s">
        <v>448</v>
      </c>
      <c r="D242" s="566" t="str">
        <f>_xlfn.IFERROR(VLOOKUP(C242,'Base de Monedas'!A:B,2,0),"")</f>
        <v>Guaraní</v>
      </c>
      <c r="E242" s="507">
        <v>-109872</v>
      </c>
      <c r="F242" s="507" t="s">
        <v>978</v>
      </c>
      <c r="H242" s="578" t="s">
        <v>990</v>
      </c>
      <c r="I242" s="568">
        <v>45099</v>
      </c>
      <c r="J242" s="353" t="s">
        <v>448</v>
      </c>
      <c r="K242" s="507">
        <v>-109872</v>
      </c>
      <c r="L242" s="507" t="s">
        <v>978</v>
      </c>
      <c r="M242" s="507"/>
    </row>
    <row r="243" spans="1:13" s="566" customFormat="1" ht="15" customHeight="1">
      <c r="A243" s="567" t="s">
        <v>990</v>
      </c>
      <c r="B243" s="568">
        <v>45190</v>
      </c>
      <c r="C243" s="353" t="s">
        <v>448</v>
      </c>
      <c r="D243" s="566" t="str">
        <f>_xlfn.IFERROR(VLOOKUP(C243,'Base de Monedas'!A:B,2,0),"")</f>
        <v>Guaraní</v>
      </c>
      <c r="E243" s="507">
        <v>-109872</v>
      </c>
      <c r="F243" s="507" t="s">
        <v>978</v>
      </c>
      <c r="H243" s="578" t="s">
        <v>990</v>
      </c>
      <c r="I243" s="568">
        <v>45190</v>
      </c>
      <c r="J243" s="353" t="s">
        <v>448</v>
      </c>
      <c r="K243" s="507">
        <v>-109872</v>
      </c>
      <c r="L243" s="507" t="s">
        <v>978</v>
      </c>
      <c r="M243" s="507"/>
    </row>
    <row r="244" spans="1:13" s="566" customFormat="1" ht="15" customHeight="1">
      <c r="A244" s="567" t="s">
        <v>990</v>
      </c>
      <c r="B244" s="568">
        <v>45281</v>
      </c>
      <c r="C244" s="353" t="s">
        <v>448</v>
      </c>
      <c r="D244" s="566" t="str">
        <f>_xlfn.IFERROR(VLOOKUP(C244,'Base de Monedas'!A:B,2,0),"")</f>
        <v>Guaraní</v>
      </c>
      <c r="E244" s="507">
        <v>-109872</v>
      </c>
      <c r="F244" s="507" t="s">
        <v>978</v>
      </c>
      <c r="H244" s="578" t="s">
        <v>990</v>
      </c>
      <c r="I244" s="568">
        <v>45281</v>
      </c>
      <c r="J244" s="353" t="s">
        <v>448</v>
      </c>
      <c r="K244" s="507">
        <v>-109872</v>
      </c>
      <c r="L244" s="507" t="s">
        <v>978</v>
      </c>
      <c r="M244" s="507"/>
    </row>
    <row r="245" spans="1:13" s="566" customFormat="1" ht="15" customHeight="1">
      <c r="A245" s="567" t="s">
        <v>991</v>
      </c>
      <c r="B245" s="568">
        <v>45372</v>
      </c>
      <c r="C245" s="353" t="s">
        <v>448</v>
      </c>
      <c r="D245" s="566" t="str">
        <f>_xlfn.IFERROR(VLOOKUP(C245,'Base de Monedas'!A:B,2,0),"")</f>
        <v>Guaraní</v>
      </c>
      <c r="E245" s="507">
        <v>-59319</v>
      </c>
      <c r="F245" s="507" t="s">
        <v>978</v>
      </c>
      <c r="H245" s="578" t="s">
        <v>991</v>
      </c>
      <c r="I245" s="568">
        <v>45372</v>
      </c>
      <c r="J245" s="353" t="s">
        <v>448</v>
      </c>
      <c r="K245" s="507">
        <v>-59319</v>
      </c>
      <c r="L245" s="507" t="s">
        <v>978</v>
      </c>
      <c r="M245" s="507"/>
    </row>
    <row r="246" spans="1:13" s="566" customFormat="1" ht="15" customHeight="1">
      <c r="A246" s="567" t="s">
        <v>991</v>
      </c>
      <c r="B246" s="568">
        <v>45463</v>
      </c>
      <c r="C246" s="353" t="s">
        <v>448</v>
      </c>
      <c r="D246" s="566" t="str">
        <f>_xlfn.IFERROR(VLOOKUP(C246,'Base de Monedas'!A:B,2,0),"")</f>
        <v>Guaraní</v>
      </c>
      <c r="E246" s="507">
        <v>-59319</v>
      </c>
      <c r="F246" s="507" t="s">
        <v>978</v>
      </c>
      <c r="H246" s="578" t="s">
        <v>991</v>
      </c>
      <c r="I246" s="568">
        <v>45463</v>
      </c>
      <c r="J246" s="353" t="s">
        <v>448</v>
      </c>
      <c r="K246" s="507">
        <v>-59319</v>
      </c>
      <c r="L246" s="507" t="s">
        <v>978</v>
      </c>
      <c r="M246" s="507"/>
    </row>
    <row r="247" spans="1:13" s="566" customFormat="1" ht="15" customHeight="1">
      <c r="A247" s="567" t="s">
        <v>991</v>
      </c>
      <c r="B247" s="568">
        <v>45554</v>
      </c>
      <c r="C247" s="353" t="s">
        <v>448</v>
      </c>
      <c r="D247" s="566" t="str">
        <f>_xlfn.IFERROR(VLOOKUP(C247,'Base de Monedas'!A:B,2,0),"")</f>
        <v>Guaraní</v>
      </c>
      <c r="E247" s="507">
        <v>-59319</v>
      </c>
      <c r="F247" s="507" t="s">
        <v>978</v>
      </c>
      <c r="H247" s="578" t="s">
        <v>991</v>
      </c>
      <c r="I247" s="568">
        <v>45554</v>
      </c>
      <c r="J247" s="353" t="s">
        <v>448</v>
      </c>
      <c r="K247" s="507">
        <v>-59319</v>
      </c>
      <c r="L247" s="507" t="s">
        <v>978</v>
      </c>
      <c r="M247" s="507"/>
    </row>
    <row r="248" spans="1:13" s="566" customFormat="1" ht="15" customHeight="1">
      <c r="A248" s="585" t="s">
        <v>991</v>
      </c>
      <c r="B248" s="575">
        <v>45645</v>
      </c>
      <c r="C248" s="377" t="s">
        <v>448</v>
      </c>
      <c r="D248" s="376" t="str">
        <f>_xlfn.IFERROR(VLOOKUP(C248,'Base de Monedas'!A:B,2,0),"")</f>
        <v>Guaraní</v>
      </c>
      <c r="E248" s="569">
        <v>-59319</v>
      </c>
      <c r="F248" s="569" t="s">
        <v>978</v>
      </c>
      <c r="H248" s="585" t="s">
        <v>991</v>
      </c>
      <c r="I248" s="575">
        <v>45645</v>
      </c>
      <c r="J248" s="377" t="s">
        <v>448</v>
      </c>
      <c r="K248" s="569">
        <v>-59319</v>
      </c>
      <c r="L248" s="569" t="s">
        <v>978</v>
      </c>
      <c r="M248" s="569"/>
    </row>
    <row r="249" spans="2:13" s="566" customFormat="1" ht="15" customHeight="1">
      <c r="B249" s="568"/>
      <c r="C249" s="353"/>
      <c r="E249" s="587">
        <f>SUM(E237:E248)</f>
        <v>-1309852</v>
      </c>
      <c r="H249" s="577"/>
      <c r="I249" s="568"/>
      <c r="J249" s="353"/>
      <c r="K249" s="587">
        <f>SUM(K237:K248)-2</f>
        <v>-1309854</v>
      </c>
      <c r="L249" s="587"/>
      <c r="M249" s="577"/>
    </row>
    <row r="250" spans="1:12" s="566" customFormat="1" ht="15" customHeight="1">
      <c r="A250" s="633" t="s">
        <v>1023</v>
      </c>
      <c r="B250" s="568"/>
      <c r="C250" s="353"/>
      <c r="E250" s="587">
        <f>+E164+E168+E187+E197+E201+E223+E228+E232+E249+5</f>
        <v>7308378</v>
      </c>
      <c r="H250" s="568"/>
      <c r="K250" s="587">
        <f>+K164+K168+K187+K197+K201+K223+K228+K232+K249+5</f>
        <v>6222724</v>
      </c>
      <c r="L250" s="587"/>
    </row>
    <row r="251" spans="2:11" s="566" customFormat="1" ht="15" customHeight="1">
      <c r="B251" s="568"/>
      <c r="C251" s="353"/>
      <c r="E251" s="507"/>
      <c r="H251" s="568"/>
      <c r="K251" s="507"/>
    </row>
    <row r="252" spans="2:11" s="566" customFormat="1" ht="15" customHeight="1">
      <c r="B252" s="568"/>
      <c r="C252" s="353"/>
      <c r="E252" s="507"/>
      <c r="H252" s="568"/>
      <c r="K252" s="507"/>
    </row>
    <row r="253" spans="2:11" s="566" customFormat="1" ht="15" customHeight="1">
      <c r="B253" s="568"/>
      <c r="C253" s="353"/>
      <c r="E253" s="507"/>
      <c r="H253" s="568"/>
      <c r="K253" s="507"/>
    </row>
    <row r="254" spans="2:11" s="566" customFormat="1" ht="15" customHeight="1">
      <c r="B254" s="568"/>
      <c r="C254" s="353"/>
      <c r="E254" s="507"/>
      <c r="H254" s="568"/>
      <c r="K254" s="507"/>
    </row>
    <row r="255" spans="2:11" s="566" customFormat="1" ht="15" customHeight="1">
      <c r="B255" s="568"/>
      <c r="C255" s="353"/>
      <c r="E255" s="507"/>
      <c r="H255" s="568"/>
      <c r="K255" s="507"/>
    </row>
    <row r="256" spans="2:11" s="566" customFormat="1" ht="15" customHeight="1">
      <c r="B256" s="568"/>
      <c r="C256" s="353"/>
      <c r="E256" s="507"/>
      <c r="H256" s="568"/>
      <c r="K256" s="507"/>
    </row>
    <row r="257" spans="2:11" s="566" customFormat="1" ht="15" customHeight="1">
      <c r="B257" s="568"/>
      <c r="C257" s="353"/>
      <c r="E257" s="507"/>
      <c r="H257" s="568"/>
      <c r="K257" s="507"/>
    </row>
    <row r="258" spans="2:11" s="566" customFormat="1" ht="15" customHeight="1">
      <c r="B258" s="568"/>
      <c r="C258" s="353"/>
      <c r="E258" s="507"/>
      <c r="H258" s="568"/>
      <c r="K258" s="507"/>
    </row>
    <row r="259" spans="2:11" s="566" customFormat="1" ht="15" customHeight="1">
      <c r="B259" s="568"/>
      <c r="C259" s="353"/>
      <c r="E259" s="507"/>
      <c r="H259" s="568"/>
      <c r="K259" s="507"/>
    </row>
    <row r="260" spans="2:11" s="566" customFormat="1" ht="15" customHeight="1">
      <c r="B260" s="568"/>
      <c r="C260" s="353"/>
      <c r="E260" s="507"/>
      <c r="H260" s="568"/>
      <c r="K260" s="507"/>
    </row>
    <row r="261" spans="2:11" s="566" customFormat="1" ht="15" customHeight="1">
      <c r="B261" s="568"/>
      <c r="C261" s="353"/>
      <c r="E261" s="507"/>
      <c r="H261" s="568"/>
      <c r="K261" s="507"/>
    </row>
    <row r="262" spans="2:11" s="566" customFormat="1" ht="15" customHeight="1">
      <c r="B262" s="568"/>
      <c r="C262" s="353"/>
      <c r="E262" s="507"/>
      <c r="H262" s="568"/>
      <c r="K262" s="507"/>
    </row>
    <row r="263" spans="2:11" s="566" customFormat="1" ht="15" customHeight="1">
      <c r="B263" s="568"/>
      <c r="C263" s="353"/>
      <c r="E263" s="507"/>
      <c r="H263" s="568"/>
      <c r="K263" s="507"/>
    </row>
    <row r="264" spans="2:11" s="566" customFormat="1" ht="15" customHeight="1">
      <c r="B264" s="568"/>
      <c r="C264" s="353"/>
      <c r="E264" s="507"/>
      <c r="H264" s="568"/>
      <c r="K264" s="507"/>
    </row>
    <row r="265" spans="1:11" ht="15" customHeight="1">
      <c r="A265" s="162"/>
      <c r="E265" s="507"/>
      <c r="H265" s="568"/>
      <c r="K265" s="507"/>
    </row>
    <row r="266" spans="1:11" ht="15" customHeight="1">
      <c r="A266" s="162"/>
      <c r="E266" s="507"/>
      <c r="H266" s="568"/>
      <c r="K266" s="507"/>
    </row>
    <row r="267" spans="1:11" ht="15" customHeight="1">
      <c r="A267" s="596"/>
      <c r="E267" s="507"/>
      <c r="H267" s="568"/>
      <c r="K267" s="507"/>
    </row>
    <row r="268" spans="5:11" ht="15" customHeight="1">
      <c r="E268" s="507"/>
      <c r="H268" s="568"/>
      <c r="K268" s="507"/>
    </row>
    <row r="269" spans="5:11" ht="15" customHeight="1">
      <c r="E269" s="507"/>
      <c r="H269" s="568"/>
      <c r="K269" s="507"/>
    </row>
    <row r="270" spans="5:11" ht="15" customHeight="1">
      <c r="E270" s="507"/>
      <c r="H270" s="568"/>
      <c r="K270" s="507"/>
    </row>
    <row r="271" spans="8:11" ht="15" customHeight="1">
      <c r="H271" s="568"/>
      <c r="K271" s="507"/>
    </row>
    <row r="272" spans="8:11" ht="15" customHeight="1">
      <c r="H272" s="568"/>
      <c r="K272" s="507"/>
    </row>
    <row r="273" spans="8:11" ht="15" customHeight="1">
      <c r="H273" s="568"/>
      <c r="K273" s="507"/>
    </row>
    <row r="274" spans="8:11" ht="15" customHeight="1">
      <c r="H274" s="568"/>
      <c r="K274" s="507"/>
    </row>
    <row r="275" spans="8:11" ht="15" customHeight="1">
      <c r="H275" s="568"/>
      <c r="K275" s="507"/>
    </row>
    <row r="276" spans="8:11" ht="15" customHeight="1">
      <c r="H276" s="568"/>
      <c r="K276" s="507"/>
    </row>
    <row r="277" spans="8:11" ht="15" customHeight="1">
      <c r="H277" s="568"/>
      <c r="K277" s="507"/>
    </row>
    <row r="278" spans="8:11" ht="15" customHeight="1">
      <c r="H278" s="568"/>
      <c r="K278" s="507"/>
    </row>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sheetData>
  <sheetProtection/>
  <hyperlinks>
    <hyperlink ref="L1" location="BG!A1" display="BG"/>
    <hyperlink ref="E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21.xml><?xml version="1.0" encoding="utf-8"?>
<worksheet xmlns="http://schemas.openxmlformats.org/spreadsheetml/2006/main" xmlns:r="http://schemas.openxmlformats.org/officeDocument/2006/relationships">
  <sheetPr codeName="Hoja20"/>
  <dimension ref="A1:AH19"/>
  <sheetViews>
    <sheetView zoomScalePageLayoutView="0" workbookViewId="0" topLeftCell="A1">
      <selection activeCell="B9" sqref="B9"/>
    </sheetView>
  </sheetViews>
  <sheetFormatPr defaultColWidth="11.421875" defaultRowHeight="15"/>
  <cols>
    <col min="1" max="1" width="44.7109375" style="155" customWidth="1"/>
    <col min="2" max="2" width="18.28125" style="155" customWidth="1"/>
    <col min="3" max="3" width="20.140625" style="155" customWidth="1"/>
    <col min="4" max="34" width="11.421875" style="155" customWidth="1"/>
  </cols>
  <sheetData>
    <row r="1" spans="1:4" ht="15">
      <c r="A1" s="155" t="str">
        <f>Indice!C1</f>
        <v>IMPORT CENTER S.A.</v>
      </c>
      <c r="D1" s="178" t="s">
        <v>130</v>
      </c>
    </row>
    <row r="5" spans="1:34" ht="15">
      <c r="A5" s="354" t="s">
        <v>342</v>
      </c>
      <c r="B5" s="354"/>
      <c r="C5" s="354"/>
      <c r="D5" s="354"/>
      <c r="T5"/>
      <c r="U5"/>
      <c r="V5"/>
      <c r="W5"/>
      <c r="X5"/>
      <c r="Y5"/>
      <c r="Z5"/>
      <c r="AA5"/>
      <c r="AB5"/>
      <c r="AC5"/>
      <c r="AD5"/>
      <c r="AE5"/>
      <c r="AF5"/>
      <c r="AG5"/>
      <c r="AH5"/>
    </row>
    <row r="7" spans="2:3" ht="15">
      <c r="B7" s="736" t="s">
        <v>324</v>
      </c>
      <c r="C7" s="736"/>
    </row>
    <row r="8" spans="1:34" ht="15">
      <c r="A8" s="342" t="s">
        <v>131</v>
      </c>
      <c r="B8" s="341">
        <f>_xlfn.IFERROR(IF(Indice!B6="","2XX2",YEAR(Indice!B6)),"2XX2")</f>
        <v>2021</v>
      </c>
      <c r="C8" s="341">
        <f>_xlfn.IFERROR(YEAR(Indice!B6-365),"2XX1")</f>
        <v>2020</v>
      </c>
      <c r="D8" s="171"/>
      <c r="T8"/>
      <c r="U8"/>
      <c r="V8"/>
      <c r="W8"/>
      <c r="X8"/>
      <c r="Y8"/>
      <c r="Z8"/>
      <c r="AA8"/>
      <c r="AB8"/>
      <c r="AC8"/>
      <c r="AD8"/>
      <c r="AE8"/>
      <c r="AF8"/>
      <c r="AG8"/>
      <c r="AH8"/>
    </row>
    <row r="9" spans="1:34" ht="15">
      <c r="A9" s="172" t="s">
        <v>111</v>
      </c>
      <c r="B9" s="172"/>
      <c r="C9" s="172"/>
      <c r="D9" s="172"/>
      <c r="T9"/>
      <c r="U9"/>
      <c r="V9"/>
      <c r="W9"/>
      <c r="X9"/>
      <c r="Y9"/>
      <c r="Z9"/>
      <c r="AA9"/>
      <c r="AB9"/>
      <c r="AC9"/>
      <c r="AD9"/>
      <c r="AE9"/>
      <c r="AF9"/>
      <c r="AG9"/>
      <c r="AH9"/>
    </row>
    <row r="10" spans="1:34" ht="15">
      <c r="A10" s="173" t="s">
        <v>132</v>
      </c>
      <c r="D10" s="173"/>
      <c r="T10"/>
      <c r="U10"/>
      <c r="V10"/>
      <c r="W10"/>
      <c r="X10"/>
      <c r="Y10"/>
      <c r="Z10"/>
      <c r="AA10"/>
      <c r="AB10"/>
      <c r="AC10"/>
      <c r="AD10"/>
      <c r="AE10"/>
      <c r="AF10"/>
      <c r="AG10"/>
      <c r="AH10"/>
    </row>
    <row r="11" spans="1:34" ht="15">
      <c r="A11" s="173" t="s">
        <v>116</v>
      </c>
      <c r="D11" s="173"/>
      <c r="T11"/>
      <c r="U11"/>
      <c r="V11"/>
      <c r="W11"/>
      <c r="X11"/>
      <c r="Y11"/>
      <c r="Z11"/>
      <c r="AA11"/>
      <c r="AB11"/>
      <c r="AC11"/>
      <c r="AD11"/>
      <c r="AE11"/>
      <c r="AF11"/>
      <c r="AG11"/>
      <c r="AH11"/>
    </row>
    <row r="12" spans="1:34" ht="15">
      <c r="A12" s="173" t="s">
        <v>133</v>
      </c>
      <c r="D12" s="173"/>
      <c r="T12"/>
      <c r="U12"/>
      <c r="V12"/>
      <c r="W12"/>
      <c r="X12"/>
      <c r="Y12"/>
      <c r="Z12"/>
      <c r="AA12"/>
      <c r="AB12"/>
      <c r="AC12"/>
      <c r="AD12"/>
      <c r="AE12"/>
      <c r="AF12"/>
      <c r="AG12"/>
      <c r="AH12"/>
    </row>
    <row r="13" spans="1:34" ht="15">
      <c r="A13" s="173" t="s">
        <v>134</v>
      </c>
      <c r="D13" s="173"/>
      <c r="T13"/>
      <c r="U13"/>
      <c r="V13"/>
      <c r="W13"/>
      <c r="X13"/>
      <c r="Y13"/>
      <c r="Z13"/>
      <c r="AA13"/>
      <c r="AB13"/>
      <c r="AC13"/>
      <c r="AD13"/>
      <c r="AE13"/>
      <c r="AF13"/>
      <c r="AG13"/>
      <c r="AH13"/>
    </row>
    <row r="14" spans="1:34" ht="15">
      <c r="A14" s="375" t="s">
        <v>66</v>
      </c>
      <c r="B14" s="172"/>
      <c r="C14" s="172"/>
      <c r="D14" s="172"/>
      <c r="T14"/>
      <c r="U14"/>
      <c r="V14"/>
      <c r="W14"/>
      <c r="X14"/>
      <c r="Y14"/>
      <c r="Z14"/>
      <c r="AA14"/>
      <c r="AB14"/>
      <c r="AC14"/>
      <c r="AD14"/>
      <c r="AE14"/>
      <c r="AF14"/>
      <c r="AG14"/>
      <c r="AH14"/>
    </row>
    <row r="15" spans="1:34" ht="15">
      <c r="A15" s="160" t="s">
        <v>128</v>
      </c>
      <c r="B15" s="298">
        <f>SUM($B$9:B14)</f>
        <v>0</v>
      </c>
      <c r="C15" s="298">
        <f>SUM($C$9:C14)</f>
        <v>0</v>
      </c>
      <c r="T15"/>
      <c r="U15"/>
      <c r="V15"/>
      <c r="W15"/>
      <c r="X15"/>
      <c r="Y15"/>
      <c r="Z15"/>
      <c r="AA15"/>
      <c r="AB15"/>
      <c r="AC15"/>
      <c r="AD15"/>
      <c r="AE15"/>
      <c r="AF15"/>
      <c r="AG15"/>
      <c r="AH15"/>
    </row>
    <row r="16" spans="1:34" ht="15">
      <c r="A16" s="174"/>
      <c r="D16" s="173"/>
      <c r="T16"/>
      <c r="U16"/>
      <c r="V16"/>
      <c r="W16"/>
      <c r="X16"/>
      <c r="Y16"/>
      <c r="Z16"/>
      <c r="AA16"/>
      <c r="AB16"/>
      <c r="AC16"/>
      <c r="AD16"/>
      <c r="AE16"/>
      <c r="AF16"/>
      <c r="AG16"/>
      <c r="AH16"/>
    </row>
    <row r="17" spans="1:34" ht="15">
      <c r="A17" s="173"/>
      <c r="D17" s="173"/>
      <c r="T17"/>
      <c r="U17"/>
      <c r="V17"/>
      <c r="W17"/>
      <c r="X17"/>
      <c r="Y17"/>
      <c r="Z17"/>
      <c r="AA17"/>
      <c r="AB17"/>
      <c r="AC17"/>
      <c r="AD17"/>
      <c r="AE17"/>
      <c r="AF17"/>
      <c r="AG17"/>
      <c r="AH17"/>
    </row>
    <row r="18" spans="1:34" ht="15">
      <c r="A18" s="174"/>
      <c r="D18" s="173"/>
      <c r="E18" s="172"/>
      <c r="F18" s="172"/>
      <c r="T18"/>
      <c r="U18"/>
      <c r="V18"/>
      <c r="W18"/>
      <c r="X18"/>
      <c r="Y18"/>
      <c r="Z18"/>
      <c r="AA18"/>
      <c r="AB18"/>
      <c r="AC18"/>
      <c r="AD18"/>
      <c r="AE18"/>
      <c r="AF18"/>
      <c r="AG18"/>
      <c r="AH18"/>
    </row>
    <row r="19" spans="20:34" ht="15">
      <c r="T19"/>
      <c r="U19"/>
      <c r="V19"/>
      <c r="W19"/>
      <c r="X19"/>
      <c r="Y19"/>
      <c r="Z19"/>
      <c r="AA19"/>
      <c r="AB19"/>
      <c r="AC19"/>
      <c r="AD19"/>
      <c r="AE19"/>
      <c r="AF19"/>
      <c r="AG19"/>
      <c r="AH19"/>
    </row>
  </sheetData>
  <sheetProtection/>
  <mergeCells count="1">
    <mergeCell ref="B7:C7"/>
  </mergeCells>
  <hyperlinks>
    <hyperlink ref="D1" location="BG!A1" display="BG"/>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Hoja21"/>
  <dimension ref="A1:AG13"/>
  <sheetViews>
    <sheetView zoomScalePageLayoutView="0" workbookViewId="0" topLeftCell="A1">
      <selection activeCell="B8" sqref="B8:C12"/>
    </sheetView>
  </sheetViews>
  <sheetFormatPr defaultColWidth="11.421875" defaultRowHeight="15"/>
  <cols>
    <col min="1" max="1" width="48.421875" style="155" customWidth="1"/>
    <col min="2" max="3" width="22.7109375" style="155" customWidth="1"/>
    <col min="4" max="33" width="11.421875" style="155" customWidth="1"/>
  </cols>
  <sheetData>
    <row r="1" spans="1:6" ht="15">
      <c r="A1" s="155" t="str">
        <f>Indice!C1</f>
        <v>IMPORT CENTER S.A.</v>
      </c>
      <c r="F1" s="178" t="s">
        <v>130</v>
      </c>
    </row>
    <row r="4" spans="1:33" ht="15">
      <c r="A4" s="354" t="s">
        <v>343</v>
      </c>
      <c r="B4" s="354"/>
      <c r="C4" s="354"/>
      <c r="D4" s="354"/>
      <c r="T4"/>
      <c r="U4"/>
      <c r="V4"/>
      <c r="W4"/>
      <c r="X4"/>
      <c r="Y4"/>
      <c r="Z4"/>
      <c r="AA4"/>
      <c r="AB4"/>
      <c r="AC4"/>
      <c r="AD4"/>
      <c r="AE4"/>
      <c r="AF4"/>
      <c r="AG4"/>
    </row>
    <row r="6" spans="2:3" ht="15">
      <c r="B6" s="736" t="s">
        <v>324</v>
      </c>
      <c r="C6" s="736"/>
    </row>
    <row r="7" spans="1:3" ht="15">
      <c r="A7" s="342" t="s">
        <v>67</v>
      </c>
      <c r="B7" s="389">
        <f>_xlfn.IFERROR(IF(Indice!B6="","2XX2",YEAR(Indice!B6)),"2XX2")</f>
        <v>2021</v>
      </c>
      <c r="C7" s="389">
        <f>_xlfn.IFERROR(YEAR(Indice!B6-365),"2XX1")</f>
        <v>2020</v>
      </c>
    </row>
    <row r="8" spans="1:3" ht="15">
      <c r="A8" s="155" t="s">
        <v>135</v>
      </c>
      <c r="B8" s="597">
        <v>5292</v>
      </c>
      <c r="C8" s="597">
        <v>5073</v>
      </c>
    </row>
    <row r="9" spans="1:3" ht="15">
      <c r="A9" s="155" t="s">
        <v>136</v>
      </c>
      <c r="B9" s="597">
        <v>45514</v>
      </c>
      <c r="C9" s="597">
        <v>48539</v>
      </c>
    </row>
    <row r="10" spans="1:3" ht="15">
      <c r="A10" s="155" t="s">
        <v>137</v>
      </c>
      <c r="B10" s="597"/>
      <c r="C10" s="597"/>
    </row>
    <row r="11" spans="1:33" s="577" customFormat="1" ht="15">
      <c r="A11" s="155" t="s">
        <v>1006</v>
      </c>
      <c r="B11" s="597">
        <v>36535</v>
      </c>
      <c r="C11" s="597"/>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row>
    <row r="12" spans="1:3" ht="15">
      <c r="A12" s="155" t="s">
        <v>138</v>
      </c>
      <c r="B12" s="597"/>
      <c r="C12" s="597"/>
    </row>
    <row r="13" spans="1:3" ht="15">
      <c r="A13" s="155" t="s">
        <v>3</v>
      </c>
      <c r="B13" s="298">
        <f>SUM($B$8:B12)</f>
        <v>87341</v>
      </c>
      <c r="C13" s="298">
        <f>SUM($C$8:C12)</f>
        <v>53612</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Hoja22"/>
  <dimension ref="A1:G12"/>
  <sheetViews>
    <sheetView zoomScalePageLayoutView="0" workbookViewId="0" topLeftCell="A1">
      <selection activeCell="B9" sqref="B9:C12"/>
    </sheetView>
  </sheetViews>
  <sheetFormatPr defaultColWidth="11.421875" defaultRowHeight="15"/>
  <cols>
    <col min="1" max="1" width="51.57421875" style="155" customWidth="1"/>
    <col min="2" max="3" width="22.7109375" style="155" customWidth="1"/>
    <col min="4" max="16" width="11.421875" style="155" customWidth="1"/>
  </cols>
  <sheetData>
    <row r="1" spans="1:7" ht="15">
      <c r="A1" s="155" t="str">
        <f>Indice!C1</f>
        <v>IMPORT CENTER S.A.</v>
      </c>
      <c r="G1" s="178" t="s">
        <v>130</v>
      </c>
    </row>
    <row r="5" spans="1:4" ht="15">
      <c r="A5" s="354" t="s">
        <v>359</v>
      </c>
      <c r="B5" s="354"/>
      <c r="C5" s="354"/>
      <c r="D5" s="354"/>
    </row>
    <row r="6" spans="1:4" s="34" customFormat="1" ht="15">
      <c r="A6" s="179"/>
      <c r="B6" s="179"/>
      <c r="C6" s="179"/>
      <c r="D6" s="179"/>
    </row>
    <row r="7" spans="2:3" ht="15">
      <c r="B7" s="736" t="s">
        <v>324</v>
      </c>
      <c r="C7" s="736"/>
    </row>
    <row r="8" spans="1:3" ht="15">
      <c r="A8" s="343" t="s">
        <v>68</v>
      </c>
      <c r="B8" s="389">
        <f>_xlfn.IFERROR(IF(Indice!B6="","2XX2",YEAR(Indice!B6)),"2XX2")</f>
        <v>2021</v>
      </c>
      <c r="C8" s="389">
        <f>_xlfn.IFERROR(YEAR(Indice!B6-365),"2XX1")</f>
        <v>2020</v>
      </c>
    </row>
    <row r="9" spans="1:3" ht="15">
      <c r="A9" s="155" t="s">
        <v>139</v>
      </c>
      <c r="B9" s="597">
        <v>256940</v>
      </c>
      <c r="C9" s="597">
        <v>148686</v>
      </c>
    </row>
    <row r="10" spans="1:3" ht="15">
      <c r="A10" s="155" t="s">
        <v>140</v>
      </c>
      <c r="B10" s="597"/>
      <c r="C10" s="597"/>
    </row>
    <row r="11" spans="1:3" ht="15">
      <c r="A11" s="155" t="s">
        <v>141</v>
      </c>
      <c r="B11" s="597"/>
      <c r="C11" s="597"/>
    </row>
    <row r="12" spans="1:3" ht="15">
      <c r="A12" s="155" t="s">
        <v>3</v>
      </c>
      <c r="B12" s="598">
        <f>SUM($B$9:B11)</f>
        <v>256940</v>
      </c>
      <c r="C12" s="598">
        <f>SUM($C$9:C11)</f>
        <v>148686</v>
      </c>
    </row>
  </sheetData>
  <sheetProtection/>
  <mergeCells count="1">
    <mergeCell ref="B7:C7"/>
  </mergeCells>
  <hyperlinks>
    <hyperlink ref="G1" location="BG!A1" display="BG"/>
  </hyperlink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codeName="Hoja23"/>
  <dimension ref="A1:M13"/>
  <sheetViews>
    <sheetView showGridLines="0" zoomScalePageLayoutView="0" workbookViewId="0" topLeftCell="A1">
      <selection activeCell="A16" sqref="A16"/>
    </sheetView>
  </sheetViews>
  <sheetFormatPr defaultColWidth="11.421875" defaultRowHeight="15"/>
  <cols>
    <col min="1" max="1" width="30.421875" style="155" bestFit="1" customWidth="1"/>
    <col min="2" max="3" width="22.7109375" style="155" customWidth="1"/>
    <col min="4" max="13" width="11.421875" style="155" customWidth="1"/>
  </cols>
  <sheetData>
    <row r="1" spans="1:4" ht="15">
      <c r="A1" s="155" t="str">
        <f>Indice!C1</f>
        <v>IMPORT CENTER S.A.</v>
      </c>
      <c r="D1" s="178" t="s">
        <v>130</v>
      </c>
    </row>
    <row r="4" spans="1:4" ht="15">
      <c r="A4" s="740" t="s">
        <v>345</v>
      </c>
      <c r="B4" s="740"/>
      <c r="C4" s="740"/>
      <c r="D4" s="740"/>
    </row>
    <row r="6" spans="2:3" ht="15">
      <c r="B6" s="736" t="s">
        <v>324</v>
      </c>
      <c r="C6" s="736"/>
    </row>
    <row r="7" spans="1:3" ht="15">
      <c r="A7" s="745" t="s">
        <v>69</v>
      </c>
      <c r="B7" s="389">
        <f>_xlfn.IFERROR(IF(Indice!B6="","2XX2",YEAR(Indice!B6)),"2XX2")</f>
        <v>2021</v>
      </c>
      <c r="C7" s="389">
        <f>_xlfn.IFERROR(YEAR(Indice!B6-365),"2XX1")</f>
        <v>2020</v>
      </c>
    </row>
    <row r="8" spans="1:3" ht="15">
      <c r="A8" s="745"/>
      <c r="B8" s="464"/>
      <c r="C8" s="464"/>
    </row>
    <row r="9" spans="1:13" s="339" customFormat="1" ht="15">
      <c r="A9" s="378" t="s">
        <v>864</v>
      </c>
      <c r="B9" s="155"/>
      <c r="C9" s="155"/>
      <c r="D9" s="155"/>
      <c r="E9" s="155"/>
      <c r="F9" s="155"/>
      <c r="G9" s="155"/>
      <c r="H9" s="155"/>
      <c r="I9" s="155"/>
      <c r="J9" s="155"/>
      <c r="K9" s="155"/>
      <c r="L9" s="155"/>
      <c r="M9" s="155"/>
    </row>
    <row r="10" spans="1:13" s="339" customFormat="1" ht="15">
      <c r="A10" s="378" t="s">
        <v>866</v>
      </c>
      <c r="B10" s="155"/>
      <c r="C10" s="155"/>
      <c r="D10" s="155"/>
      <c r="E10" s="155"/>
      <c r="F10" s="155"/>
      <c r="G10" s="155"/>
      <c r="H10" s="155"/>
      <c r="I10" s="155"/>
      <c r="J10" s="155"/>
      <c r="K10" s="155"/>
      <c r="L10" s="155"/>
      <c r="M10" s="155"/>
    </row>
    <row r="11" spans="1:13" s="339" customFormat="1" ht="15">
      <c r="A11" s="378" t="s">
        <v>865</v>
      </c>
      <c r="B11" s="155"/>
      <c r="C11" s="155"/>
      <c r="D11" s="155"/>
      <c r="E11" s="155"/>
      <c r="F11" s="155"/>
      <c r="G11" s="155"/>
      <c r="H11" s="155"/>
      <c r="I11" s="155"/>
      <c r="J11" s="155"/>
      <c r="K11" s="155"/>
      <c r="L11" s="155"/>
      <c r="M11" s="155"/>
    </row>
    <row r="12" ht="15">
      <c r="A12" s="155" t="s">
        <v>346</v>
      </c>
    </row>
    <row r="13" spans="1:3" ht="15">
      <c r="A13" s="155" t="s">
        <v>3</v>
      </c>
      <c r="B13" s="298">
        <f>SUM($B$9:B12)</f>
        <v>0</v>
      </c>
      <c r="C13" s="298">
        <f>SUM($C$9:C12)</f>
        <v>0</v>
      </c>
    </row>
  </sheetData>
  <sheetProtection/>
  <mergeCells count="3">
    <mergeCell ref="A4:D4"/>
    <mergeCell ref="A7:A8"/>
    <mergeCell ref="B6:C6"/>
  </mergeCells>
  <hyperlinks>
    <hyperlink ref="D1" location="BG!A1" display="BG"/>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Hoja24"/>
  <dimension ref="A1:G18"/>
  <sheetViews>
    <sheetView showGridLines="0" zoomScalePageLayoutView="0" workbookViewId="0" topLeftCell="A1">
      <selection activeCell="A1" sqref="A1"/>
    </sheetView>
  </sheetViews>
  <sheetFormatPr defaultColWidth="11.421875" defaultRowHeight="15"/>
  <cols>
    <col min="1" max="1" width="51.140625" style="0" customWidth="1"/>
    <col min="2" max="2" width="17.8515625" style="0" customWidth="1"/>
    <col min="3" max="3" width="14.8515625" style="0" bestFit="1" customWidth="1"/>
    <col min="4" max="4" width="3.421875" style="0" bestFit="1" customWidth="1"/>
    <col min="5" max="5" width="51.57421875" style="0" bestFit="1" customWidth="1"/>
    <col min="6" max="7" width="17.140625" style="0" customWidth="1"/>
  </cols>
  <sheetData>
    <row r="1" spans="1:4" ht="15">
      <c r="A1" t="str">
        <f>Indice!C1</f>
        <v>IMPORT CENTER S.A.</v>
      </c>
      <c r="D1" s="177" t="s">
        <v>130</v>
      </c>
    </row>
    <row r="3" spans="1:3" ht="15">
      <c r="A3" s="354" t="s">
        <v>347</v>
      </c>
      <c r="B3" s="354"/>
      <c r="C3" s="354"/>
    </row>
    <row r="4" spans="1:2" ht="15">
      <c r="A4" s="746" t="s">
        <v>324</v>
      </c>
      <c r="B4" s="746"/>
    </row>
    <row r="5" spans="1:7" ht="15">
      <c r="A5" s="11"/>
      <c r="E5" s="11"/>
      <c r="F5" s="340"/>
      <c r="G5" s="340"/>
    </row>
    <row r="6" spans="1:7" ht="15">
      <c r="A6" s="31" t="s">
        <v>65</v>
      </c>
      <c r="B6" s="446">
        <f>_xlfn.IFERROR(IF(Indice!B6="","2XX2",YEAR(Indice!B6)),"2XX2")</f>
        <v>2021</v>
      </c>
      <c r="C6" s="446">
        <f>_xlfn.IFERROR(YEAR(Indice!B6-365),"2XX1")</f>
        <v>2020</v>
      </c>
      <c r="E6" s="31" t="s">
        <v>853</v>
      </c>
      <c r="F6" s="446">
        <f>_xlfn.IFERROR(IF(Indice!B6="","2XX2",YEAR(Indice!B6)),"2XX2")</f>
        <v>2021</v>
      </c>
      <c r="G6" s="446">
        <f>_xlfn.IFERROR(YEAR(Indice!B6-365),"2XX1")</f>
        <v>2020</v>
      </c>
    </row>
    <row r="7" spans="1:7" ht="15">
      <c r="A7" s="11" t="s">
        <v>142</v>
      </c>
      <c r="B7" s="22">
        <v>4508</v>
      </c>
      <c r="C7" s="22">
        <v>8623</v>
      </c>
      <c r="E7" s="11" t="s">
        <v>142</v>
      </c>
      <c r="F7" s="11"/>
      <c r="G7" s="11"/>
    </row>
    <row r="8" spans="1:7" ht="15">
      <c r="A8" s="32" t="s">
        <v>20</v>
      </c>
      <c r="B8" s="599">
        <v>0</v>
      </c>
      <c r="C8" s="600"/>
      <c r="E8" s="32" t="s">
        <v>20</v>
      </c>
      <c r="F8" s="9"/>
      <c r="G8" s="27"/>
    </row>
    <row r="9" spans="1:7" ht="15">
      <c r="A9" s="32" t="s">
        <v>21</v>
      </c>
      <c r="B9" s="599">
        <v>0</v>
      </c>
      <c r="C9" s="600"/>
      <c r="E9" s="32" t="s">
        <v>21</v>
      </c>
      <c r="F9" s="9"/>
      <c r="G9" s="27"/>
    </row>
    <row r="10" spans="1:7" ht="15">
      <c r="A10" s="32" t="s">
        <v>144</v>
      </c>
      <c r="B10" s="599">
        <v>0</v>
      </c>
      <c r="C10" s="600"/>
      <c r="E10" s="32" t="s">
        <v>145</v>
      </c>
      <c r="F10" s="9"/>
      <c r="G10" s="27"/>
    </row>
    <row r="11" spans="1:7" ht="15">
      <c r="A11" s="11" t="s">
        <v>862</v>
      </c>
      <c r="B11" s="599"/>
      <c r="C11" s="600"/>
      <c r="E11" s="11" t="s">
        <v>862</v>
      </c>
      <c r="F11" s="9"/>
      <c r="G11" s="27"/>
    </row>
    <row r="12" spans="1:7" ht="15">
      <c r="A12" s="11" t="s">
        <v>143</v>
      </c>
      <c r="B12" s="599"/>
      <c r="C12" s="600"/>
      <c r="E12" s="11" t="s">
        <v>143</v>
      </c>
      <c r="F12" s="9"/>
      <c r="G12" s="27"/>
    </row>
    <row r="13" spans="1:7" s="577" customFormat="1" ht="15">
      <c r="A13" s="11" t="s">
        <v>1007</v>
      </c>
      <c r="B13" s="599">
        <v>193932</v>
      </c>
      <c r="C13" s="600">
        <v>167447</v>
      </c>
      <c r="E13" s="11"/>
      <c r="F13" s="9"/>
      <c r="G13" s="27"/>
    </row>
    <row r="14" spans="1:7" s="584" customFormat="1" ht="15">
      <c r="A14" s="11" t="s">
        <v>1024</v>
      </c>
      <c r="B14" s="599">
        <v>150000</v>
      </c>
      <c r="C14" s="600"/>
      <c r="E14" s="11"/>
      <c r="F14" s="9"/>
      <c r="G14" s="27"/>
    </row>
    <row r="15" spans="1:7" ht="15">
      <c r="A15" s="357" t="s">
        <v>66</v>
      </c>
      <c r="B15" s="599"/>
      <c r="C15" s="600"/>
      <c r="E15" s="357" t="s">
        <v>66</v>
      </c>
      <c r="F15" s="339"/>
      <c r="G15" s="339"/>
    </row>
    <row r="16" spans="1:7" s="34" customFormat="1" ht="15.75" thickBot="1">
      <c r="A16" s="33" t="s">
        <v>18</v>
      </c>
      <c r="B16" s="601">
        <f>SUM(B7:B15)</f>
        <v>348440</v>
      </c>
      <c r="C16" s="601">
        <f>SUM(C7:C15)</f>
        <v>176070</v>
      </c>
      <c r="E16" s="33" t="s">
        <v>18</v>
      </c>
      <c r="F16" s="30">
        <f>SUM(F8:F15)</f>
        <v>0</v>
      </c>
      <c r="G16" s="98">
        <f>SUM(G8:G15)</f>
        <v>0</v>
      </c>
    </row>
    <row r="17" spans="1:3" s="34" customFormat="1" ht="15.75" thickTop="1">
      <c r="A17" s="33"/>
      <c r="B17" s="99"/>
      <c r="C17" s="100"/>
    </row>
    <row r="18" spans="5:7" ht="15">
      <c r="E18" s="33"/>
      <c r="F18" s="11"/>
      <c r="G18" s="19"/>
    </row>
  </sheetData>
  <sheetProtection/>
  <mergeCells count="1">
    <mergeCell ref="A4:B4"/>
  </mergeCells>
  <hyperlinks>
    <hyperlink ref="D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26.xml><?xml version="1.0" encoding="utf-8"?>
<worksheet xmlns="http://schemas.openxmlformats.org/spreadsheetml/2006/main" xmlns:r="http://schemas.openxmlformats.org/officeDocument/2006/relationships">
  <sheetPr codeName="Hoja25"/>
  <dimension ref="A1:L11"/>
  <sheetViews>
    <sheetView showGridLines="0" zoomScalePageLayoutView="0" workbookViewId="0" topLeftCell="A1">
      <selection activeCell="C9" sqref="C9"/>
    </sheetView>
  </sheetViews>
  <sheetFormatPr defaultColWidth="11.421875" defaultRowHeight="15"/>
  <cols>
    <col min="1" max="1" width="38.28125" style="0" customWidth="1"/>
    <col min="2" max="2" width="19.57421875" style="0" customWidth="1"/>
    <col min="3" max="3" width="17.8515625" style="0" customWidth="1"/>
    <col min="4" max="4" width="15.421875" style="0" customWidth="1"/>
    <col min="5" max="5" width="10.7109375" style="0" customWidth="1"/>
    <col min="6" max="6" width="33.57421875" style="0" customWidth="1"/>
    <col min="7" max="7" width="1.1484375" style="0" customWidth="1"/>
    <col min="9" max="9" width="1.1484375" style="0" customWidth="1"/>
    <col min="10" max="10" width="18.140625" style="0" customWidth="1"/>
    <col min="11" max="11" width="1.1484375" style="0" customWidth="1"/>
    <col min="12" max="12" width="13.140625" style="0" customWidth="1"/>
  </cols>
  <sheetData>
    <row r="1" spans="1:4" ht="15">
      <c r="A1" t="str">
        <f>Indice!C1</f>
        <v>IMPORT CENTER S.A.</v>
      </c>
      <c r="D1" s="177" t="s">
        <v>130</v>
      </c>
    </row>
    <row r="4" spans="1:12" ht="15">
      <c r="A4" s="747" t="s">
        <v>349</v>
      </c>
      <c r="B4" s="747"/>
      <c r="C4" s="747"/>
      <c r="D4" s="747"/>
      <c r="E4" s="295"/>
      <c r="F4" s="295"/>
      <c r="G4" s="295"/>
      <c r="H4" s="295"/>
      <c r="I4" s="295"/>
      <c r="J4" s="295"/>
      <c r="K4" s="295"/>
      <c r="L4" s="295"/>
    </row>
    <row r="5" spans="5:12" ht="15">
      <c r="E5" s="67"/>
      <c r="F5" s="67"/>
      <c r="G5" s="67"/>
      <c r="H5" s="67"/>
      <c r="I5" s="67"/>
      <c r="J5" s="67"/>
      <c r="K5" s="67"/>
      <c r="L5" s="67"/>
    </row>
    <row r="6" spans="1:12" s="339" customFormat="1" ht="15">
      <c r="A6" s="339" t="s">
        <v>867</v>
      </c>
      <c r="B6" s="446">
        <f>_xlfn.IFERROR(IF(Indice!B6="","2XX2",YEAR(Indice!B6)),"2XX2")</f>
        <v>2021</v>
      </c>
      <c r="C6" s="446">
        <f>_xlfn.IFERROR(YEAR(Indice!B6-365),"2XX1")</f>
        <v>2020</v>
      </c>
      <c r="E6" s="67"/>
      <c r="F6" s="67"/>
      <c r="G6" s="67"/>
      <c r="H6" s="67"/>
      <c r="I6" s="67"/>
      <c r="J6" s="67"/>
      <c r="K6" s="67"/>
      <c r="L6" s="67"/>
    </row>
    <row r="7" spans="1:12" s="339" customFormat="1" ht="15">
      <c r="A7" s="339" t="s">
        <v>868</v>
      </c>
      <c r="B7" s="507">
        <v>20000000</v>
      </c>
      <c r="C7" s="507">
        <v>20000000</v>
      </c>
      <c r="E7" s="67"/>
      <c r="F7" s="67"/>
      <c r="G7" s="67"/>
      <c r="H7" s="67"/>
      <c r="I7" s="67"/>
      <c r="J7" s="67"/>
      <c r="K7" s="67"/>
      <c r="L7" s="67"/>
    </row>
    <row r="8" spans="1:12" s="339" customFormat="1" ht="15">
      <c r="A8" s="339" t="s">
        <v>871</v>
      </c>
      <c r="B8" s="507">
        <v>20000000</v>
      </c>
      <c r="C8" s="507">
        <v>20000000</v>
      </c>
      <c r="E8" s="67"/>
      <c r="F8" s="67"/>
      <c r="G8" s="67"/>
      <c r="H8" s="67"/>
      <c r="I8" s="67"/>
      <c r="J8" s="67"/>
      <c r="K8" s="67"/>
      <c r="L8" s="67"/>
    </row>
    <row r="9" spans="1:12" s="339" customFormat="1" ht="15">
      <c r="A9" s="339" t="s">
        <v>870</v>
      </c>
      <c r="B9" s="507">
        <v>20000</v>
      </c>
      <c r="C9" s="507">
        <v>20000</v>
      </c>
      <c r="E9" s="67"/>
      <c r="F9" s="67"/>
      <c r="G9" s="67"/>
      <c r="H9" s="67"/>
      <c r="I9" s="67"/>
      <c r="J9" s="67"/>
      <c r="K9" s="67"/>
      <c r="L9" s="67"/>
    </row>
    <row r="10" spans="1:12" s="339" customFormat="1" ht="15">
      <c r="A10" s="376" t="s">
        <v>869</v>
      </c>
      <c r="B10" s="569">
        <v>1000000</v>
      </c>
      <c r="C10" s="569">
        <v>1000000</v>
      </c>
      <c r="E10" s="67"/>
      <c r="F10" s="67"/>
      <c r="G10" s="67"/>
      <c r="H10" s="67"/>
      <c r="I10" s="67"/>
      <c r="J10" s="67"/>
      <c r="K10" s="67"/>
      <c r="L10" s="67"/>
    </row>
    <row r="11" spans="1:3" ht="15">
      <c r="A11" t="s">
        <v>3</v>
      </c>
      <c r="B11" s="507">
        <f>+B8</f>
        <v>20000000</v>
      </c>
      <c r="C11" s="507">
        <f>+C8</f>
        <v>20000000</v>
      </c>
    </row>
  </sheetData>
  <sheetProtection/>
  <mergeCells count="1">
    <mergeCell ref="A4:D4"/>
  </mergeCells>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codeName="Hoja26"/>
  <dimension ref="A1:O22"/>
  <sheetViews>
    <sheetView zoomScalePageLayoutView="0" workbookViewId="0" topLeftCell="A1">
      <selection activeCell="B29" sqref="B29"/>
    </sheetView>
  </sheetViews>
  <sheetFormatPr defaultColWidth="11.421875" defaultRowHeight="15"/>
  <cols>
    <col min="1" max="1" width="24.8515625" style="155" customWidth="1"/>
    <col min="2" max="2" width="18.57421875" style="155" customWidth="1"/>
    <col min="3" max="3" width="16.7109375" style="155" customWidth="1"/>
    <col min="4" max="15" width="11.421875" style="155" customWidth="1"/>
  </cols>
  <sheetData>
    <row r="1" spans="1:6" ht="15">
      <c r="A1" s="155" t="str">
        <f>Indice!C1</f>
        <v>IMPORT CENTER S.A.</v>
      </c>
      <c r="F1" s="178" t="s">
        <v>130</v>
      </c>
    </row>
    <row r="3" spans="10:11" ht="15">
      <c r="J3" s="34"/>
      <c r="K3" s="34"/>
    </row>
    <row r="4" spans="1:13" ht="15">
      <c r="A4" s="740" t="s">
        <v>351</v>
      </c>
      <c r="B4" s="740"/>
      <c r="C4" s="740"/>
      <c r="D4" s="740"/>
      <c r="E4" s="740"/>
      <c r="F4" s="740"/>
      <c r="G4" s="181"/>
      <c r="H4" s="181"/>
      <c r="I4" s="181"/>
      <c r="J4" s="34"/>
      <c r="K4" s="34"/>
      <c r="L4" s="181"/>
      <c r="M4" s="181"/>
    </row>
    <row r="5" spans="10:11" ht="15">
      <c r="J5" s="34"/>
      <c r="K5" s="34"/>
    </row>
    <row r="6" spans="2:3" ht="15">
      <c r="B6" s="736" t="s">
        <v>324</v>
      </c>
      <c r="C6" s="736"/>
    </row>
    <row r="7" spans="2:3" ht="15">
      <c r="B7" s="446">
        <f>_xlfn.IFERROR(IF(Indice!B6="","2XX2",YEAR(Indice!B6)),"2XX2")</f>
        <v>2021</v>
      </c>
      <c r="C7" s="446">
        <f>_xlfn.IFERROR(YEAR(Indice!B6-365),"2XX1")</f>
        <v>2020</v>
      </c>
    </row>
    <row r="8" spans="1:3" ht="15">
      <c r="A8" s="380" t="s">
        <v>147</v>
      </c>
      <c r="B8" s="602">
        <v>6300015</v>
      </c>
      <c r="C8" s="602">
        <v>6300015</v>
      </c>
    </row>
    <row r="9" spans="1:15" s="339" customFormat="1" ht="15">
      <c r="A9" s="160"/>
      <c r="B9" s="155"/>
      <c r="C9" s="155"/>
      <c r="D9" s="155"/>
      <c r="E9" s="155"/>
      <c r="F9" s="155"/>
      <c r="G9" s="155"/>
      <c r="H9" s="155"/>
      <c r="I9" s="155"/>
      <c r="J9" s="155"/>
      <c r="K9" s="155"/>
      <c r="L9" s="155"/>
      <c r="M9" s="155"/>
      <c r="N9" s="155"/>
      <c r="O9" s="155"/>
    </row>
    <row r="10" spans="1:15" s="339" customFormat="1" ht="15">
      <c r="A10" s="160"/>
      <c r="B10" s="155"/>
      <c r="C10" s="155"/>
      <c r="D10" s="155"/>
      <c r="E10" s="155"/>
      <c r="F10" s="155"/>
      <c r="G10" s="155"/>
      <c r="H10" s="155"/>
      <c r="I10" s="155"/>
      <c r="J10" s="155"/>
      <c r="K10" s="155"/>
      <c r="L10" s="155"/>
      <c r="M10" s="155"/>
      <c r="N10" s="155"/>
      <c r="O10" s="155"/>
    </row>
    <row r="11" spans="1:15" s="339" customFormat="1" ht="15">
      <c r="A11" s="160"/>
      <c r="B11" s="155"/>
      <c r="C11" s="155"/>
      <c r="D11" s="155"/>
      <c r="E11" s="155"/>
      <c r="F11" s="155"/>
      <c r="G11" s="155"/>
      <c r="H11" s="155"/>
      <c r="I11" s="155"/>
      <c r="J11" s="155"/>
      <c r="K11" s="155"/>
      <c r="L11" s="155"/>
      <c r="M11" s="155"/>
      <c r="N11" s="155"/>
      <c r="O11" s="155"/>
    </row>
    <row r="12" spans="1:3" ht="15">
      <c r="A12" s="380" t="s">
        <v>148</v>
      </c>
      <c r="B12" s="603">
        <v>1524514</v>
      </c>
      <c r="C12" s="603">
        <v>1524514</v>
      </c>
    </row>
    <row r="13" spans="1:15" s="339" customFormat="1" ht="15">
      <c r="A13" s="160"/>
      <c r="B13" s="155"/>
      <c r="C13" s="155"/>
      <c r="D13" s="155"/>
      <c r="E13" s="155"/>
      <c r="F13" s="155"/>
      <c r="G13" s="155"/>
      <c r="H13" s="155"/>
      <c r="I13" s="155"/>
      <c r="J13" s="155"/>
      <c r="K13" s="155"/>
      <c r="L13" s="155"/>
      <c r="M13" s="155"/>
      <c r="N13" s="155"/>
      <c r="O13" s="155"/>
    </row>
    <row r="14" spans="1:15" s="339" customFormat="1" ht="15">
      <c r="A14" s="160"/>
      <c r="B14" s="155"/>
      <c r="C14" s="155"/>
      <c r="D14" s="155"/>
      <c r="E14" s="155"/>
      <c r="F14" s="155"/>
      <c r="G14" s="155"/>
      <c r="H14" s="155"/>
      <c r="I14" s="155"/>
      <c r="J14" s="155"/>
      <c r="K14" s="155"/>
      <c r="L14" s="155"/>
      <c r="M14" s="155"/>
      <c r="N14" s="155"/>
      <c r="O14" s="155"/>
    </row>
    <row r="15" spans="1:15" s="339" customFormat="1" ht="15">
      <c r="A15" s="160"/>
      <c r="B15" s="155"/>
      <c r="C15" s="155"/>
      <c r="D15" s="155"/>
      <c r="E15" s="155"/>
      <c r="F15" s="155"/>
      <c r="G15" s="155"/>
      <c r="H15" s="155"/>
      <c r="I15" s="155"/>
      <c r="J15" s="155"/>
      <c r="K15" s="155"/>
      <c r="L15" s="155"/>
      <c r="M15" s="155"/>
      <c r="N15" s="155"/>
      <c r="O15" s="155"/>
    </row>
    <row r="16" spans="1:3" ht="15">
      <c r="A16" s="380" t="s">
        <v>149</v>
      </c>
      <c r="B16" s="158">
        <v>0</v>
      </c>
      <c r="C16" s="158">
        <v>0</v>
      </c>
    </row>
    <row r="17" spans="1:15" s="339" customFormat="1" ht="15">
      <c r="A17" s="160"/>
      <c r="B17" s="155"/>
      <c r="C17" s="155"/>
      <c r="D17" s="155"/>
      <c r="E17" s="155"/>
      <c r="F17" s="155"/>
      <c r="G17" s="155"/>
      <c r="H17" s="155"/>
      <c r="I17" s="155"/>
      <c r="J17" s="155"/>
      <c r="K17" s="155"/>
      <c r="L17" s="155"/>
      <c r="M17" s="155"/>
      <c r="N17" s="155"/>
      <c r="O17" s="155"/>
    </row>
    <row r="18" spans="1:15" s="339" customFormat="1" ht="15">
      <c r="A18" s="160"/>
      <c r="B18" s="155"/>
      <c r="C18" s="155"/>
      <c r="D18" s="155"/>
      <c r="E18" s="155"/>
      <c r="F18" s="155"/>
      <c r="G18" s="155"/>
      <c r="H18" s="155"/>
      <c r="I18" s="155"/>
      <c r="J18" s="155"/>
      <c r="K18" s="155"/>
      <c r="L18" s="155"/>
      <c r="M18" s="155"/>
      <c r="N18" s="155"/>
      <c r="O18" s="155"/>
    </row>
    <row r="19" spans="1:15" s="339" customFormat="1" ht="15">
      <c r="A19" s="160"/>
      <c r="B19" s="155"/>
      <c r="C19" s="155"/>
      <c r="D19" s="155"/>
      <c r="E19" s="155"/>
      <c r="F19" s="155"/>
      <c r="G19" s="155"/>
      <c r="H19" s="155"/>
      <c r="I19" s="155"/>
      <c r="J19" s="155"/>
      <c r="K19" s="155"/>
      <c r="L19" s="155"/>
      <c r="M19" s="155"/>
      <c r="N19" s="155"/>
      <c r="O19" s="155"/>
    </row>
    <row r="20" spans="1:3" ht="15">
      <c r="A20" s="380" t="s">
        <v>150</v>
      </c>
      <c r="B20" s="603">
        <v>1882449</v>
      </c>
      <c r="C20" s="158">
        <f>+SUM($C$21:C26)</f>
        <v>0</v>
      </c>
    </row>
    <row r="21" ht="15">
      <c r="A21" s="379" t="s">
        <v>872</v>
      </c>
    </row>
    <row r="22" ht="15">
      <c r="A22" s="155" t="s">
        <v>873</v>
      </c>
    </row>
  </sheetData>
  <sheetProtection/>
  <mergeCells count="2">
    <mergeCell ref="A4:F4"/>
    <mergeCell ref="B6:C6"/>
  </mergeCells>
  <hyperlinks>
    <hyperlink ref="F1" location="BG!A1" display="BG"/>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codeName="Hoja27"/>
  <dimension ref="A1:F8"/>
  <sheetViews>
    <sheetView zoomScalePageLayoutView="0" workbookViewId="0" topLeftCell="A1">
      <selection activeCell="B8" sqref="B8"/>
    </sheetView>
  </sheetViews>
  <sheetFormatPr defaultColWidth="11.421875" defaultRowHeight="15"/>
  <cols>
    <col min="1" max="1" width="34.421875" style="34" customWidth="1"/>
    <col min="2" max="3" width="19.00390625" style="34" customWidth="1"/>
    <col min="4" max="25" width="11.421875" style="34" customWidth="1"/>
  </cols>
  <sheetData>
    <row r="1" spans="1:6" ht="15">
      <c r="A1" s="34" t="str">
        <f>Indice!C1</f>
        <v>IMPORT CENTER S.A.</v>
      </c>
      <c r="F1" s="182" t="s">
        <v>130</v>
      </c>
    </row>
    <row r="4" spans="1:6" ht="15">
      <c r="A4" s="354" t="s">
        <v>350</v>
      </c>
      <c r="B4" s="354"/>
      <c r="C4" s="354"/>
      <c r="D4" s="354"/>
      <c r="E4" s="295"/>
      <c r="F4" s="296"/>
    </row>
    <row r="6" spans="2:3" ht="15">
      <c r="B6" s="736" t="s">
        <v>324</v>
      </c>
      <c r="C6" s="736"/>
    </row>
    <row r="7" spans="2:3" ht="15">
      <c r="B7" s="446">
        <f>_xlfn.IFERROR(IF(Indice!B6="","2XX2",YEAR(Indice!B6)),"2XX2")</f>
        <v>2021</v>
      </c>
      <c r="C7" s="446">
        <f>+_xlfn.IFERROR(YEAR(Indice!B6-365),"2XX1")</f>
        <v>2020</v>
      </c>
    </row>
    <row r="8" ht="15">
      <c r="A8" s="183" t="s">
        <v>70</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Hoja28"/>
  <dimension ref="A1:F10"/>
  <sheetViews>
    <sheetView zoomScalePageLayoutView="0" workbookViewId="0" topLeftCell="A1">
      <selection activeCell="B8" sqref="B8:C9"/>
    </sheetView>
  </sheetViews>
  <sheetFormatPr defaultColWidth="11.421875" defaultRowHeight="15"/>
  <cols>
    <col min="1" max="1" width="40.7109375" style="34" customWidth="1"/>
    <col min="2" max="3" width="19.00390625" style="34" customWidth="1"/>
    <col min="4" max="32" width="11.421875" style="34" customWidth="1"/>
  </cols>
  <sheetData>
    <row r="1" spans="1:6" ht="15">
      <c r="A1" s="34" t="str">
        <f>Indice!C1</f>
        <v>IMPORT CENTER S.A.</v>
      </c>
      <c r="F1" s="182" t="s">
        <v>130</v>
      </c>
    </row>
    <row r="4" spans="1:6" ht="15">
      <c r="A4" s="354" t="s">
        <v>352</v>
      </c>
      <c r="B4" s="354"/>
      <c r="C4" s="354"/>
      <c r="D4" s="354"/>
      <c r="E4" s="354"/>
      <c r="F4" s="354"/>
    </row>
    <row r="6" spans="2:3" ht="15">
      <c r="B6" s="736" t="s">
        <v>324</v>
      </c>
      <c r="C6" s="736"/>
    </row>
    <row r="7" spans="1:3" ht="15">
      <c r="A7" s="183"/>
      <c r="B7" s="446">
        <f>_xlfn.IFERROR(IF(Indice!B6="","2XX2",YEAR(Indice!B6)),"2XX2")</f>
        <v>2021</v>
      </c>
      <c r="C7" s="446">
        <f>+_xlfn.IFERROR(YEAR(Indice!B6-365),"2XX1")</f>
        <v>2020</v>
      </c>
    </row>
    <row r="8" spans="1:3" ht="15">
      <c r="A8" s="34" t="s">
        <v>151</v>
      </c>
      <c r="B8" s="604">
        <v>4376192</v>
      </c>
      <c r="C8" s="604">
        <v>4376192</v>
      </c>
    </row>
    <row r="9" spans="1:3" ht="15">
      <c r="A9" s="34" t="s">
        <v>153</v>
      </c>
      <c r="B9" s="604">
        <v>675407</v>
      </c>
      <c r="C9" s="604">
        <v>2032449</v>
      </c>
    </row>
    <row r="10" spans="1:3" ht="15">
      <c r="A10" s="34" t="s">
        <v>328</v>
      </c>
      <c r="B10" s="297">
        <f>SUM($B$8:B9)</f>
        <v>5051599</v>
      </c>
      <c r="C10" s="297">
        <f>SUM($C$8:C9)</f>
        <v>6408641</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dimension ref="A1:G83"/>
  <sheetViews>
    <sheetView showGridLines="0" zoomScalePageLayoutView="0" workbookViewId="0" topLeftCell="A1">
      <selection activeCell="D1" sqref="D1"/>
    </sheetView>
  </sheetViews>
  <sheetFormatPr defaultColWidth="11.421875" defaultRowHeight="15"/>
  <cols>
    <col min="1" max="1" width="2.140625" style="59" customWidth="1"/>
    <col min="2" max="2" width="2.00390625" style="59" customWidth="1"/>
    <col min="3" max="3" width="2.28125" style="59" customWidth="1"/>
    <col min="4" max="4" width="51.8515625" style="59" customWidth="1"/>
    <col min="5" max="5" width="10.28125" style="102" customWidth="1"/>
    <col min="6" max="7" width="21.7109375" style="59" bestFit="1" customWidth="1"/>
    <col min="8" max="16384" width="11.421875" style="59" customWidth="1"/>
  </cols>
  <sheetData>
    <row r="1" spans="4:5" ht="15">
      <c r="D1" s="636" t="str">
        <f>Indice!C1</f>
        <v>IMPORT CENTER S.A.</v>
      </c>
      <c r="E1" s="239" t="s">
        <v>402</v>
      </c>
    </row>
    <row r="3" ht="11.25">
      <c r="F3" s="145"/>
    </row>
    <row r="6" ht="11.25">
      <c r="G6" s="64"/>
    </row>
    <row r="7" spans="1:7" ht="12.75">
      <c r="A7" s="663" t="s">
        <v>311</v>
      </c>
      <c r="B7" s="663"/>
      <c r="C7" s="663"/>
      <c r="D7" s="663"/>
      <c r="E7" s="663"/>
      <c r="F7" s="663"/>
      <c r="G7" s="663"/>
    </row>
    <row r="8" spans="1:7" ht="15" customHeight="1">
      <c r="A8" s="663" t="str">
        <f>_xlfn.IFERROR(IF(Indice!B6="","Al dia... de mes… de año 2XX2…","Al "&amp;DAY(Indice!B6)&amp;" de "&amp;VLOOKUP(MONTH(Indice!B6),Indice!S:T,2,0)&amp;" de "&amp;YEAR(Indice!B6)),"Al dia... de mes… de año 2XX2…")</f>
        <v>Al 31 de Marzo de 2021</v>
      </c>
      <c r="B8" s="663"/>
      <c r="C8" s="663"/>
      <c r="D8" s="663"/>
      <c r="E8" s="663"/>
      <c r="F8" s="663"/>
      <c r="G8" s="663"/>
    </row>
    <row r="9" spans="1:7" ht="12.75">
      <c r="A9" s="668" t="s">
        <v>282</v>
      </c>
      <c r="B9" s="668"/>
      <c r="C9" s="668"/>
      <c r="D9" s="668"/>
      <c r="E9" s="668"/>
      <c r="F9" s="668"/>
      <c r="G9" s="668"/>
    </row>
    <row r="10" spans="1:7" ht="12">
      <c r="A10" s="72"/>
      <c r="B10" s="72"/>
      <c r="C10" s="72"/>
      <c r="D10" s="72"/>
      <c r="E10" s="5"/>
      <c r="F10" s="72"/>
      <c r="G10" s="72"/>
    </row>
    <row r="11" spans="1:7" ht="15">
      <c r="A11" s="72"/>
      <c r="B11" s="237"/>
      <c r="C11" s="237"/>
      <c r="D11" s="237"/>
      <c r="E11" s="347" t="s">
        <v>227</v>
      </c>
      <c r="F11" s="347">
        <f>_xlfn.IFERROR(IF(Indice!B6="","2XX2",YEAR(Indice!B6)),"2XX2")</f>
        <v>2021</v>
      </c>
      <c r="G11" s="347">
        <f>_xlfn.IFERROR(YEAR(Indice!B6-365),"2XX1")</f>
        <v>2020</v>
      </c>
    </row>
    <row r="12" spans="2:5" ht="15">
      <c r="B12" s="666" t="s">
        <v>228</v>
      </c>
      <c r="C12" s="666"/>
      <c r="D12" s="666"/>
      <c r="E12" s="242"/>
    </row>
    <row r="13" spans="1:7" ht="12.75">
      <c r="A13" s="72"/>
      <c r="B13" s="93" t="s">
        <v>229</v>
      </c>
      <c r="C13" s="48"/>
      <c r="D13" s="48"/>
      <c r="E13" s="238"/>
      <c r="F13" s="48"/>
      <c r="G13" s="94"/>
    </row>
    <row r="14" spans="1:7" ht="15">
      <c r="A14" s="72"/>
      <c r="B14" s="48"/>
      <c r="C14" s="661" t="s">
        <v>230</v>
      </c>
      <c r="D14" s="661"/>
      <c r="E14" s="258">
        <v>3</v>
      </c>
      <c r="F14" s="69">
        <f>'Nota 3'!C20</f>
        <v>5600474</v>
      </c>
      <c r="G14" s="69">
        <f>'Nota 3'!D20</f>
        <v>7283345</v>
      </c>
    </row>
    <row r="15" spans="1:7" ht="15">
      <c r="A15" s="72"/>
      <c r="B15" s="48"/>
      <c r="C15" s="661" t="s">
        <v>110</v>
      </c>
      <c r="D15" s="661"/>
      <c r="E15" s="258">
        <v>4</v>
      </c>
      <c r="F15" s="69">
        <f>'Nota 4'!B18</f>
        <v>0</v>
      </c>
      <c r="G15" s="69">
        <f>'Nota 4'!C18</f>
        <v>0</v>
      </c>
    </row>
    <row r="16" spans="1:7" ht="15">
      <c r="A16" s="72"/>
      <c r="B16" s="48"/>
      <c r="C16" s="661" t="s">
        <v>231</v>
      </c>
      <c r="D16" s="661"/>
      <c r="E16" s="258">
        <v>5</v>
      </c>
      <c r="F16" s="69">
        <f>'Nota 5'!C27</f>
        <v>6939666</v>
      </c>
      <c r="G16" s="69">
        <f>'Nota 5'!D27</f>
        <v>7030723</v>
      </c>
    </row>
    <row r="17" spans="1:7" ht="15">
      <c r="A17" s="90"/>
      <c r="B17" s="48"/>
      <c r="C17" s="661" t="s">
        <v>40</v>
      </c>
      <c r="D17" s="661"/>
      <c r="E17" s="258">
        <v>6</v>
      </c>
      <c r="F17" s="69">
        <f>'Nota 6'!B24</f>
        <v>6898403</v>
      </c>
      <c r="G17" s="69">
        <f>'Nota 6'!C24</f>
        <v>6855892</v>
      </c>
    </row>
    <row r="18" spans="1:7" ht="15">
      <c r="A18" s="72"/>
      <c r="B18" s="48"/>
      <c r="C18" s="661" t="s">
        <v>232</v>
      </c>
      <c r="D18" s="661"/>
      <c r="E18" s="258">
        <v>7</v>
      </c>
      <c r="F18" s="69">
        <f>'Nota 7'!B16</f>
        <v>22159966</v>
      </c>
      <c r="G18" s="69">
        <f>'Nota 7'!C16</f>
        <v>22224404</v>
      </c>
    </row>
    <row r="19" spans="1:7" ht="12.75">
      <c r="A19" s="72"/>
      <c r="B19" s="48"/>
      <c r="C19" s="93" t="s">
        <v>320</v>
      </c>
      <c r="D19" s="48"/>
      <c r="E19" s="238"/>
      <c r="F19" s="106">
        <f>SUM(F14:F18)</f>
        <v>41598509</v>
      </c>
      <c r="G19" s="106">
        <f>SUM(G14:G18)</f>
        <v>43394364</v>
      </c>
    </row>
    <row r="20" spans="1:7" ht="12.75">
      <c r="A20" s="72"/>
      <c r="B20" s="93" t="s">
        <v>233</v>
      </c>
      <c r="C20" s="48"/>
      <c r="D20" s="48"/>
      <c r="E20" s="238"/>
      <c r="F20" s="48"/>
      <c r="G20" s="94"/>
    </row>
    <row r="21" spans="1:7" ht="15">
      <c r="A21" s="72"/>
      <c r="B21" s="48"/>
      <c r="C21" s="661" t="s">
        <v>234</v>
      </c>
      <c r="D21" s="661"/>
      <c r="E21" s="258">
        <v>6</v>
      </c>
      <c r="F21" s="69">
        <f>'Nota 6'!F19</f>
        <v>59092</v>
      </c>
      <c r="G21" s="108">
        <f>'Nota 6'!G19</f>
        <v>59092</v>
      </c>
    </row>
    <row r="22" spans="1:7" ht="15">
      <c r="A22" s="72"/>
      <c r="B22" s="48"/>
      <c r="C22" s="441" t="s">
        <v>231</v>
      </c>
      <c r="D22" s="441"/>
      <c r="E22" s="258">
        <v>5</v>
      </c>
      <c r="F22" s="69">
        <f>'Nota 5'!C54</f>
        <v>780053</v>
      </c>
      <c r="G22" s="108">
        <f>'Nota 5'!D54</f>
        <v>736915</v>
      </c>
    </row>
    <row r="23" spans="1:7" ht="15">
      <c r="A23" s="72"/>
      <c r="B23" s="48"/>
      <c r="C23" s="661" t="s">
        <v>428</v>
      </c>
      <c r="D23" s="661"/>
      <c r="E23" s="258">
        <v>8</v>
      </c>
      <c r="F23" s="69">
        <f>'Nota 8'!B8</f>
        <v>0</v>
      </c>
      <c r="G23" s="94">
        <f>'Nota 8'!C8</f>
        <v>0</v>
      </c>
    </row>
    <row r="24" spans="1:7" ht="15">
      <c r="A24" s="72"/>
      <c r="B24" s="48"/>
      <c r="C24" s="661" t="s">
        <v>429</v>
      </c>
      <c r="D24" s="661"/>
      <c r="E24" s="258">
        <v>9</v>
      </c>
      <c r="F24" s="69">
        <f>'Nota 9'!L27</f>
        <v>13987402</v>
      </c>
      <c r="G24" s="94">
        <f>'Nota 9'!M27</f>
        <v>14025601</v>
      </c>
    </row>
    <row r="25" spans="1:7" ht="15">
      <c r="A25" s="72"/>
      <c r="B25" s="48"/>
      <c r="C25" s="661" t="s">
        <v>252</v>
      </c>
      <c r="D25" s="661"/>
      <c r="E25" s="258">
        <v>10</v>
      </c>
      <c r="F25" s="69">
        <f>'Nota 10'!B19</f>
        <v>0</v>
      </c>
      <c r="G25" s="94">
        <f>'Nota 10'!C19</f>
        <v>0</v>
      </c>
    </row>
    <row r="26" spans="1:7" ht="15">
      <c r="A26" s="72"/>
      <c r="B26" s="48"/>
      <c r="C26" s="661" t="s">
        <v>123</v>
      </c>
      <c r="D26" s="661"/>
      <c r="E26" s="258">
        <v>11</v>
      </c>
      <c r="F26" s="69">
        <f>'Nota 11'!B10</f>
        <v>0</v>
      </c>
      <c r="G26" s="94">
        <f>'Nota 11'!C10</f>
        <v>0</v>
      </c>
    </row>
    <row r="27" spans="1:7" ht="15">
      <c r="A27" s="72"/>
      <c r="B27" s="48"/>
      <c r="C27" s="661" t="s">
        <v>129</v>
      </c>
      <c r="D27" s="661"/>
      <c r="E27" s="258">
        <v>12</v>
      </c>
      <c r="F27" s="69">
        <f>'Nota 12'!B11</f>
        <v>0</v>
      </c>
      <c r="G27" s="94">
        <f>'Nota 12'!C11</f>
        <v>0</v>
      </c>
    </row>
    <row r="28" spans="1:7" ht="12.75">
      <c r="A28" s="72"/>
      <c r="B28" s="48"/>
      <c r="C28" s="670" t="s">
        <v>338</v>
      </c>
      <c r="D28" s="670"/>
      <c r="E28" s="238"/>
      <c r="F28" s="106">
        <f>SUM(F21:F27)</f>
        <v>14826547</v>
      </c>
      <c r="G28" s="106">
        <f>SUM(G21:G27)</f>
        <v>14821608</v>
      </c>
    </row>
    <row r="29" spans="1:7" ht="15">
      <c r="A29" s="72"/>
      <c r="B29" s="659" t="s">
        <v>253</v>
      </c>
      <c r="C29" s="659"/>
      <c r="D29" s="659"/>
      <c r="E29" s="243"/>
      <c r="F29" s="476">
        <f>+F19+F28+1</f>
        <v>56425057</v>
      </c>
      <c r="G29" s="477">
        <f>+G19+G28</f>
        <v>58215972</v>
      </c>
    </row>
    <row r="30" spans="2:7" ht="17.25">
      <c r="B30" s="660" t="s">
        <v>254</v>
      </c>
      <c r="C30" s="660"/>
      <c r="D30" s="660"/>
      <c r="E30" s="245"/>
      <c r="F30" s="256"/>
      <c r="G30" s="257"/>
    </row>
    <row r="31" spans="1:7" ht="12.75">
      <c r="A31" s="72"/>
      <c r="B31" s="93" t="s">
        <v>255</v>
      </c>
      <c r="C31" s="48"/>
      <c r="D31" s="48"/>
      <c r="E31" s="238"/>
      <c r="F31" s="92">
        <v>-1</v>
      </c>
      <c r="G31" s="94"/>
    </row>
    <row r="32" spans="1:7" ht="15">
      <c r="A32" s="72"/>
      <c r="B32" s="48"/>
      <c r="C32" s="661" t="s">
        <v>111</v>
      </c>
      <c r="D32" s="661"/>
      <c r="E32" s="258">
        <v>13</v>
      </c>
      <c r="F32" s="69">
        <f>'Nota 13'!D17</f>
        <v>277965</v>
      </c>
      <c r="G32" s="94">
        <f>'Nota 13'!E17</f>
        <v>340596</v>
      </c>
    </row>
    <row r="33" spans="1:7" ht="15">
      <c r="A33" s="72"/>
      <c r="B33" s="48"/>
      <c r="C33" s="662" t="s">
        <v>257</v>
      </c>
      <c r="D33" s="662"/>
      <c r="E33" s="258">
        <v>14</v>
      </c>
      <c r="F33" s="69">
        <f>'Nota 14'!E157</f>
        <v>13210570</v>
      </c>
      <c r="G33" s="94">
        <f>'Nota 14'!K157</f>
        <v>16836139</v>
      </c>
    </row>
    <row r="34" spans="1:7" ht="15">
      <c r="A34" s="72"/>
      <c r="B34" s="48"/>
      <c r="C34" s="661" t="s">
        <v>131</v>
      </c>
      <c r="D34" s="661"/>
      <c r="E34" s="258">
        <v>15</v>
      </c>
      <c r="F34" s="69">
        <f>'Nota 15'!B15</f>
        <v>0</v>
      </c>
      <c r="G34" s="94">
        <f>'Nota 15'!C15</f>
        <v>0</v>
      </c>
    </row>
    <row r="35" spans="1:7" ht="15">
      <c r="A35" s="72"/>
      <c r="B35" s="48"/>
      <c r="C35" s="661" t="s">
        <v>67</v>
      </c>
      <c r="D35" s="661"/>
      <c r="E35" s="258">
        <v>16</v>
      </c>
      <c r="F35" s="69">
        <f>'Nota 16'!B13</f>
        <v>87341</v>
      </c>
      <c r="G35" s="94">
        <f>'Nota 16'!C13</f>
        <v>53612</v>
      </c>
    </row>
    <row r="36" spans="1:7" ht="15">
      <c r="A36" s="72"/>
      <c r="B36" s="48"/>
      <c r="C36" s="661" t="s">
        <v>68</v>
      </c>
      <c r="D36" s="661"/>
      <c r="E36" s="258">
        <v>17</v>
      </c>
      <c r="F36" s="69">
        <f>'Nota 17'!B12</f>
        <v>256940</v>
      </c>
      <c r="G36" s="94">
        <f>'Nota 17'!C12</f>
        <v>148686</v>
      </c>
    </row>
    <row r="37" spans="1:7" ht="15">
      <c r="A37" s="72"/>
      <c r="B37" s="48"/>
      <c r="C37" s="661" t="s">
        <v>69</v>
      </c>
      <c r="D37" s="661"/>
      <c r="E37" s="258">
        <v>18</v>
      </c>
      <c r="F37" s="69">
        <f>'Nota 18'!B13</f>
        <v>0</v>
      </c>
      <c r="G37" s="94">
        <f>'Nota 18'!C13</f>
        <v>0</v>
      </c>
    </row>
    <row r="38" spans="1:7" ht="15">
      <c r="A38" s="72"/>
      <c r="B38" s="48"/>
      <c r="C38" s="661" t="s">
        <v>258</v>
      </c>
      <c r="D38" s="661"/>
      <c r="E38" s="258">
        <v>19</v>
      </c>
      <c r="F38" s="69">
        <f>'Nota 19'!B16</f>
        <v>348440</v>
      </c>
      <c r="G38" s="94">
        <f>'Nota 19'!C16</f>
        <v>176070</v>
      </c>
    </row>
    <row r="39" spans="1:7" ht="13.5" customHeight="1">
      <c r="A39" s="72"/>
      <c r="B39" s="48"/>
      <c r="C39" s="93" t="s">
        <v>256</v>
      </c>
      <c r="D39" s="48"/>
      <c r="E39" s="238"/>
      <c r="F39" s="106">
        <f>+F32+F33+F34+F35+F36+F38-1</f>
        <v>14181255</v>
      </c>
      <c r="G39" s="106">
        <f>+G32+G33+G34+G35+G36+G38</f>
        <v>17555103</v>
      </c>
    </row>
    <row r="40" spans="1:7" ht="12.75">
      <c r="A40" s="72"/>
      <c r="B40" s="93" t="s">
        <v>259</v>
      </c>
      <c r="C40" s="48"/>
      <c r="D40" s="48"/>
      <c r="E40" s="238"/>
      <c r="F40" s="48"/>
      <c r="G40" s="48"/>
    </row>
    <row r="41" spans="1:7" ht="15">
      <c r="A41" s="72"/>
      <c r="B41" s="93"/>
      <c r="C41" s="661" t="s">
        <v>111</v>
      </c>
      <c r="D41" s="661"/>
      <c r="E41" s="258">
        <v>13</v>
      </c>
      <c r="F41" s="634">
        <f>+'Nota 13'!D26</f>
        <v>176846</v>
      </c>
      <c r="G41" s="634">
        <f>+'Nota 13'!E26</f>
        <v>204973</v>
      </c>
    </row>
    <row r="42" spans="1:7" ht="15">
      <c r="A42" s="72"/>
      <c r="B42" s="48"/>
      <c r="C42" s="661" t="s">
        <v>260</v>
      </c>
      <c r="D42" s="661"/>
      <c r="E42" s="258">
        <v>14</v>
      </c>
      <c r="F42" s="69">
        <f>+'Nota 14'!E250</f>
        <v>7308378</v>
      </c>
      <c r="G42" s="94">
        <f>+'Nota 14'!K250</f>
        <v>6222724</v>
      </c>
    </row>
    <row r="43" spans="1:7" ht="15">
      <c r="A43" s="72"/>
      <c r="B43" s="48"/>
      <c r="C43" s="661" t="s">
        <v>373</v>
      </c>
      <c r="D43" s="661"/>
      <c r="E43" s="258">
        <v>19</v>
      </c>
      <c r="F43" s="69">
        <f>'Nota 19'!F16</f>
        <v>0</v>
      </c>
      <c r="G43" s="94">
        <f>'Nota 19'!G16</f>
        <v>0</v>
      </c>
    </row>
    <row r="44" spans="1:7" ht="12.75">
      <c r="A44" s="72"/>
      <c r="B44" s="48"/>
      <c r="C44" s="93" t="s">
        <v>348</v>
      </c>
      <c r="D44" s="48"/>
      <c r="E44" s="238"/>
      <c r="F44" s="106">
        <f>SUM(F41:F43)</f>
        <v>7485224</v>
      </c>
      <c r="G44" s="106">
        <f>SUM(G41:G43)</f>
        <v>6427697</v>
      </c>
    </row>
    <row r="45" spans="1:7" ht="6" customHeight="1">
      <c r="A45" s="72"/>
      <c r="B45" s="48"/>
      <c r="C45" s="48"/>
      <c r="D45" s="107"/>
      <c r="E45" s="244"/>
      <c r="F45" s="107"/>
      <c r="G45" s="94"/>
    </row>
    <row r="46" spans="1:7" ht="15">
      <c r="A46" s="72"/>
      <c r="B46" s="660" t="s">
        <v>430</v>
      </c>
      <c r="C46" s="660"/>
      <c r="D46" s="660"/>
      <c r="E46" s="246"/>
      <c r="F46" s="476">
        <f>+F39+F44</f>
        <v>21666479</v>
      </c>
      <c r="G46" s="476">
        <f>+G39+G44</f>
        <v>23982800</v>
      </c>
    </row>
    <row r="47" spans="2:7" ht="15">
      <c r="B47" s="660" t="s">
        <v>41</v>
      </c>
      <c r="C47" s="660"/>
      <c r="D47" s="660"/>
      <c r="E47" s="245"/>
      <c r="F47"/>
      <c r="G47"/>
    </row>
    <row r="48" spans="1:7" ht="15">
      <c r="A48" s="72"/>
      <c r="B48" s="48"/>
      <c r="C48" s="661" t="s">
        <v>262</v>
      </c>
      <c r="D48" s="661"/>
      <c r="E48" s="258">
        <v>20</v>
      </c>
      <c r="F48" s="69">
        <f>'Nota 20'!B11</f>
        <v>20000000</v>
      </c>
      <c r="G48" s="69">
        <f>'Nota 20'!C11</f>
        <v>20000000</v>
      </c>
    </row>
    <row r="49" spans="1:7" ht="15">
      <c r="A49" s="72"/>
      <c r="B49" s="48"/>
      <c r="C49" s="661" t="s">
        <v>43</v>
      </c>
      <c r="D49" s="661"/>
      <c r="E49" s="239">
        <v>21</v>
      </c>
      <c r="F49" s="69">
        <f>' Nota 21'!B8</f>
        <v>6300015</v>
      </c>
      <c r="G49" s="69">
        <f>' Nota 21'!C8</f>
        <v>6300015</v>
      </c>
    </row>
    <row r="50" spans="1:7" ht="15">
      <c r="A50" s="90"/>
      <c r="B50" s="48"/>
      <c r="C50" s="661" t="s">
        <v>81</v>
      </c>
      <c r="D50" s="661"/>
      <c r="E50" s="239">
        <v>21</v>
      </c>
      <c r="F50" s="69">
        <f>' Nota 21'!B12</f>
        <v>1524514</v>
      </c>
      <c r="G50" s="69">
        <f>' Nota 21'!C12</f>
        <v>1524514</v>
      </c>
    </row>
    <row r="51" spans="1:7" ht="15">
      <c r="A51" s="72"/>
      <c r="B51" s="48"/>
      <c r="C51" s="661" t="s">
        <v>263</v>
      </c>
      <c r="D51" s="661"/>
      <c r="E51" s="239">
        <v>21</v>
      </c>
      <c r="F51" s="69">
        <f>' Nota 21'!B16</f>
        <v>0</v>
      </c>
      <c r="G51" s="69">
        <f>' Nota 21'!C16</f>
        <v>0</v>
      </c>
    </row>
    <row r="52" spans="1:7" ht="15">
      <c r="A52" s="72"/>
      <c r="B52" s="48"/>
      <c r="C52" s="661" t="s">
        <v>264</v>
      </c>
      <c r="D52" s="661"/>
      <c r="E52" s="239">
        <v>21</v>
      </c>
      <c r="F52" s="69">
        <f>' Nota 21'!B20</f>
        <v>1882449</v>
      </c>
      <c r="G52" s="69">
        <f>' Nota 21'!C20</f>
        <v>0</v>
      </c>
    </row>
    <row r="53" spans="1:7" ht="15">
      <c r="A53" s="72"/>
      <c r="B53" s="48"/>
      <c r="C53" s="661" t="s">
        <v>70</v>
      </c>
      <c r="D53" s="661"/>
      <c r="E53" s="258">
        <v>22</v>
      </c>
      <c r="F53" s="69">
        <f>'Nota 22'!B8</f>
        <v>0</v>
      </c>
      <c r="G53" s="69">
        <f>'Nota 22'!C8</f>
        <v>0</v>
      </c>
    </row>
    <row r="54" spans="1:7" ht="15">
      <c r="A54" s="72"/>
      <c r="B54" s="48"/>
      <c r="C54" s="661" t="s">
        <v>44</v>
      </c>
      <c r="D54" s="661"/>
      <c r="E54" s="258">
        <v>23</v>
      </c>
      <c r="F54" s="69">
        <f>'Nota 23'!B10</f>
        <v>5051599</v>
      </c>
      <c r="G54" s="69">
        <f>'Nota 23'!C10</f>
        <v>6408641</v>
      </c>
    </row>
    <row r="55" spans="1:7" ht="12.75">
      <c r="A55" s="72"/>
      <c r="B55" s="48"/>
      <c r="C55" s="669" t="s">
        <v>62</v>
      </c>
      <c r="D55" s="669"/>
      <c r="E55" s="238"/>
      <c r="F55" s="69">
        <f>SUM(F48:F54)</f>
        <v>34758577</v>
      </c>
      <c r="G55" s="69">
        <f>SUM(G48:G54)</f>
        <v>34233170</v>
      </c>
    </row>
    <row r="56" spans="1:7" ht="15">
      <c r="A56" s="72"/>
      <c r="B56" s="48"/>
      <c r="C56" s="661" t="s">
        <v>71</v>
      </c>
      <c r="D56" s="661"/>
      <c r="E56" s="258">
        <v>24</v>
      </c>
      <c r="F56" s="69">
        <f>'Nota 24'!B8</f>
        <v>0</v>
      </c>
      <c r="G56" s="69">
        <f>'Nota 24'!C8</f>
        <v>0</v>
      </c>
    </row>
    <row r="57" spans="1:7" ht="15">
      <c r="A57" s="72"/>
      <c r="B57" s="660" t="s">
        <v>265</v>
      </c>
      <c r="C57" s="660"/>
      <c r="D57" s="660"/>
      <c r="E57" s="246"/>
      <c r="F57" s="478">
        <f>F55</f>
        <v>34758577</v>
      </c>
      <c r="G57" s="478">
        <f>G55</f>
        <v>34233170</v>
      </c>
    </row>
    <row r="58" spans="1:7" ht="15">
      <c r="A58" s="72"/>
      <c r="B58" s="660" t="s">
        <v>266</v>
      </c>
      <c r="C58" s="660"/>
      <c r="D58" s="660"/>
      <c r="E58" s="247"/>
      <c r="F58" s="478">
        <f>+F46+F57+1</f>
        <v>56425057</v>
      </c>
      <c r="G58" s="478">
        <f>+G46+G57+2</f>
        <v>58215972</v>
      </c>
    </row>
    <row r="59" spans="1:7" ht="12.75">
      <c r="A59" s="72"/>
      <c r="B59" s="93"/>
      <c r="C59" s="48"/>
      <c r="D59" s="48"/>
      <c r="E59" s="238"/>
      <c r="F59" s="109"/>
      <c r="G59" s="107"/>
    </row>
    <row r="60" spans="2:7" ht="12">
      <c r="B60" s="72" t="s">
        <v>427</v>
      </c>
      <c r="C60" s="72"/>
      <c r="D60" s="72"/>
      <c r="E60" s="248"/>
      <c r="F60" s="72"/>
      <c r="G60" s="72"/>
    </row>
    <row r="61" spans="1:7" ht="12">
      <c r="A61" s="72"/>
      <c r="B61" s="89"/>
      <c r="C61" s="72"/>
      <c r="D61" s="72"/>
      <c r="E61" s="248"/>
      <c r="F61" s="72"/>
      <c r="G61" s="91"/>
    </row>
    <row r="62" spans="1:7" ht="12">
      <c r="A62" s="72"/>
      <c r="B62" s="89"/>
      <c r="C62" s="72"/>
      <c r="D62" s="72"/>
      <c r="E62" s="248"/>
      <c r="F62" s="72"/>
      <c r="G62" s="91"/>
    </row>
    <row r="63" spans="1:7" ht="12">
      <c r="A63" s="72"/>
      <c r="B63" s="89"/>
      <c r="C63" s="72"/>
      <c r="D63" s="72"/>
      <c r="E63" s="248"/>
      <c r="F63" s="72"/>
      <c r="G63" s="91"/>
    </row>
    <row r="64" spans="1:7" ht="12">
      <c r="A64" s="72"/>
      <c r="B64" s="72"/>
      <c r="C64" s="72"/>
      <c r="D64" s="72"/>
      <c r="E64" s="248"/>
      <c r="F64" s="72"/>
      <c r="G64" s="72"/>
    </row>
    <row r="65" spans="1:7" s="105" customFormat="1" ht="15">
      <c r="A65" s="121"/>
      <c r="B65" s="122"/>
      <c r="C65" s="122"/>
      <c r="D65" s="122"/>
      <c r="E65" s="249"/>
      <c r="F65" s="667"/>
      <c r="G65" s="667"/>
    </row>
    <row r="66" spans="2:7" s="105" customFormat="1" ht="15.75">
      <c r="B66" s="123"/>
      <c r="C66" s="123"/>
      <c r="D66" s="132"/>
      <c r="E66" s="250"/>
      <c r="F66" s="664"/>
      <c r="G66" s="664"/>
    </row>
    <row r="67" spans="1:7" s="105" customFormat="1" ht="15.75">
      <c r="A67" s="121"/>
      <c r="B67" s="121"/>
      <c r="C67" s="121"/>
      <c r="D67" s="104"/>
      <c r="E67" s="251"/>
      <c r="F67" s="104"/>
      <c r="G67" s="121"/>
    </row>
    <row r="68" spans="1:7" s="105" customFormat="1" ht="15.75">
      <c r="A68" s="121"/>
      <c r="B68" s="121"/>
      <c r="C68" s="121"/>
      <c r="D68" s="104"/>
      <c r="E68" s="251"/>
      <c r="F68" s="104"/>
      <c r="G68" s="121"/>
    </row>
    <row r="69" spans="1:7" s="105" customFormat="1" ht="15.75">
      <c r="A69" s="121"/>
      <c r="B69" s="121"/>
      <c r="C69" s="121"/>
      <c r="D69" s="104"/>
      <c r="E69" s="251"/>
      <c r="F69" s="104"/>
      <c r="G69" s="121"/>
    </row>
    <row r="70" spans="1:7" s="105" customFormat="1" ht="15">
      <c r="A70" s="124"/>
      <c r="B70" s="124"/>
      <c r="C70" s="124"/>
      <c r="D70" s="124"/>
      <c r="E70" s="252"/>
      <c r="F70" s="667"/>
      <c r="G70" s="667"/>
    </row>
    <row r="71" spans="2:7" s="105" customFormat="1" ht="15.75">
      <c r="B71" s="125"/>
      <c r="C71" s="125"/>
      <c r="D71" s="125"/>
      <c r="E71" s="251"/>
      <c r="F71" s="664"/>
      <c r="G71" s="664"/>
    </row>
    <row r="72" spans="2:5" s="104" customFormat="1" ht="15.75">
      <c r="B72" s="665"/>
      <c r="C72" s="665"/>
      <c r="D72" s="665"/>
      <c r="E72" s="251"/>
    </row>
    <row r="73" spans="1:7" ht="12.75">
      <c r="A73" s="48"/>
      <c r="B73" s="48"/>
      <c r="C73" s="94"/>
      <c r="D73" s="95"/>
      <c r="E73" s="238"/>
      <c r="F73" s="95"/>
      <c r="G73" s="48"/>
    </row>
    <row r="74" spans="3:6" ht="11.25">
      <c r="C74" s="62"/>
      <c r="D74" s="60"/>
      <c r="E74" s="253"/>
      <c r="F74" s="60"/>
    </row>
    <row r="75" spans="4:6" ht="11.25">
      <c r="D75" s="61"/>
      <c r="E75" s="254"/>
      <c r="F75" s="61"/>
    </row>
    <row r="76" spans="4:6" ht="11.25">
      <c r="D76" s="61"/>
      <c r="E76" s="254"/>
      <c r="F76" s="61"/>
    </row>
    <row r="77" spans="4:6" ht="11.25">
      <c r="D77" s="61"/>
      <c r="E77" s="254"/>
      <c r="F77" s="61"/>
    </row>
    <row r="78" spans="4:6" ht="11.25">
      <c r="D78" s="61"/>
      <c r="E78" s="254"/>
      <c r="F78" s="61"/>
    </row>
    <row r="79" spans="4:6" ht="11.25">
      <c r="D79" s="61"/>
      <c r="E79" s="254"/>
      <c r="F79" s="61"/>
    </row>
    <row r="80" ht="11.25">
      <c r="E80" s="255"/>
    </row>
    <row r="81" spans="3:5" ht="11.25">
      <c r="C81" s="63"/>
      <c r="E81" s="255"/>
    </row>
    <row r="82" spans="3:6" ht="11.25">
      <c r="C82" s="62"/>
      <c r="D82" s="60"/>
      <c r="E82" s="253"/>
      <c r="F82" s="60"/>
    </row>
    <row r="83" spans="4:6" ht="11.25">
      <c r="D83" s="60"/>
      <c r="E83" s="103"/>
      <c r="F83" s="60"/>
    </row>
  </sheetData>
  <sheetProtection/>
  <mergeCells count="46">
    <mergeCell ref="C14:D14"/>
    <mergeCell ref="C15:D15"/>
    <mergeCell ref="C16:D16"/>
    <mergeCell ref="C17:D17"/>
    <mergeCell ref="C18:D18"/>
    <mergeCell ref="C27:D27"/>
    <mergeCell ref="C24:D24"/>
    <mergeCell ref="C56:D56"/>
    <mergeCell ref="C51:D51"/>
    <mergeCell ref="C52:D52"/>
    <mergeCell ref="C53:D53"/>
    <mergeCell ref="F66:G66"/>
    <mergeCell ref="C32:D32"/>
    <mergeCell ref="C34:D34"/>
    <mergeCell ref="C35:D35"/>
    <mergeCell ref="C41:D41"/>
    <mergeCell ref="A7:G7"/>
    <mergeCell ref="A9:G9"/>
    <mergeCell ref="F65:G65"/>
    <mergeCell ref="C54:D54"/>
    <mergeCell ref="C55:D55"/>
    <mergeCell ref="C28:D28"/>
    <mergeCell ref="C25:D25"/>
    <mergeCell ref="C26:D26"/>
    <mergeCell ref="C21:D21"/>
    <mergeCell ref="C23:D23"/>
    <mergeCell ref="A8:G8"/>
    <mergeCell ref="F71:G71"/>
    <mergeCell ref="B72:D72"/>
    <mergeCell ref="B12:D12"/>
    <mergeCell ref="B30:D30"/>
    <mergeCell ref="B47:D47"/>
    <mergeCell ref="B46:D46"/>
    <mergeCell ref="B57:D57"/>
    <mergeCell ref="F70:G70"/>
    <mergeCell ref="C37:D37"/>
    <mergeCell ref="B29:D29"/>
    <mergeCell ref="B58:D58"/>
    <mergeCell ref="C38:D38"/>
    <mergeCell ref="C42:D42"/>
    <mergeCell ref="C43:D43"/>
    <mergeCell ref="C48:D48"/>
    <mergeCell ref="C50:D50"/>
    <mergeCell ref="C49:D49"/>
    <mergeCell ref="C36:D36"/>
    <mergeCell ref="C33:D33"/>
  </mergeCells>
  <hyperlinks>
    <hyperlink ref="E14" location="'Nota 3'!A1" display="'Nota 3'!A1"/>
    <hyperlink ref="E15" location="'Nota 4'!A1" display="'Nota 4'!A1"/>
    <hyperlink ref="E16" location="'Nota 5'!A1" display="'Nota 5'!A1"/>
    <hyperlink ref="E17" location="'Nota 6'!A1" display="'Nota 6'!A1"/>
    <hyperlink ref="E18" location="'Nota 7'!A1" display="'Nota 7'!A1"/>
    <hyperlink ref="E21" location="'Nota 6'!A1" display="'Nota 6'!A1"/>
    <hyperlink ref="E23" location="'Nota 8'!A1" display="'Nota 8'!A1"/>
    <hyperlink ref="E24" location="'Nota 9'!A1" display="'Nota 9'!A1"/>
    <hyperlink ref="E25" location="'Nota 10'!A1" display="'Nota 10'!A1"/>
    <hyperlink ref="E26" location="'Nota 11'!A1" display="'Nota 11'!A1"/>
    <hyperlink ref="E27" location="'Nota 12'!A1" display="'Nota 12'!A1"/>
    <hyperlink ref="E32" location="'Nota 13'!A1" display="'Nota 13'!A1"/>
    <hyperlink ref="E33" location="'Nota 14'!A1" display="'Nota 14'!A1"/>
    <hyperlink ref="E42" location="'Nota 14'!A1" display="'Nota 14'!A1"/>
    <hyperlink ref="E34" location="'Nota 15'!A1" display="'Nota 15'!A1"/>
    <hyperlink ref="E35" location="'Nota 16'!A1" display="'Nota 16'!A1"/>
    <hyperlink ref="E36" location="'Nota 17'!A1" display="'Nota 17'!A1"/>
    <hyperlink ref="E37" location="'Nota 18'!A1" display="'Nota 18'!A1"/>
    <hyperlink ref="E38" location="'Nota 19'!A1" display="'Nota 19'!A1"/>
    <hyperlink ref="E43" location="'Nota 19'!A1" display="'Nota 19'!A1"/>
    <hyperlink ref="E48" location="'Nota 20'!A1" display="'Nota 20'!A1"/>
    <hyperlink ref="E53" location="'Nota 22'!A1" display="'Nota 22'!A1"/>
    <hyperlink ref="E49" location="' Nota 21'!A1" display="' Nota 21'!A1"/>
    <hyperlink ref="E50" location="' Nota 21'!A1" display="' Nota 21'!A1"/>
    <hyperlink ref="E51" location="' Nota 21'!A1" display="' Nota 21'!A1"/>
    <hyperlink ref="E52" location="' Nota 21'!A1" display="' Nota 21'!A1"/>
    <hyperlink ref="E54" location="'Nota 23'!A1" display="'Nota 23'!A1"/>
    <hyperlink ref="E56" location="'Nota 24'!A1" display="'Nota 24'!A1"/>
    <hyperlink ref="E1" location="Indice!A1" display="Indice"/>
    <hyperlink ref="E22" location="'Nota 5'!A1" display="'Nota 5'!A1"/>
    <hyperlink ref="E41" location="'Nota 13'!A1" display="'Nota 13'!A1"/>
  </hyperlinks>
  <printOptions horizontalCentered="1"/>
  <pageMargins left="0.7086614173228347" right="0.7086614173228347" top="0.7480314960629921" bottom="0.7480314960629921" header="0.31496062992125984" footer="0.31496062992125984"/>
  <pageSetup horizontalDpi="1200" verticalDpi="1200" orientation="portrait" paperSize="9" scale="70" r:id="rId1"/>
  <ignoredErrors>
    <ignoredError sqref="G28" formulaRange="1"/>
  </ignoredErrors>
</worksheet>
</file>

<file path=xl/worksheets/sheet30.xml><?xml version="1.0" encoding="utf-8"?>
<worksheet xmlns="http://schemas.openxmlformats.org/spreadsheetml/2006/main" xmlns:r="http://schemas.openxmlformats.org/officeDocument/2006/relationships">
  <sheetPr codeName="Hoja29"/>
  <dimension ref="A1:F8"/>
  <sheetViews>
    <sheetView zoomScalePageLayoutView="0" workbookViewId="0" topLeftCell="A1">
      <selection activeCell="B8" sqref="B8"/>
    </sheetView>
  </sheetViews>
  <sheetFormatPr defaultColWidth="11.421875" defaultRowHeight="15"/>
  <cols>
    <col min="1" max="1" width="40.7109375" style="34" customWidth="1"/>
    <col min="2" max="3" width="19.00390625" style="34" customWidth="1"/>
    <col min="4" max="6" width="11.421875" style="34" customWidth="1"/>
    <col min="7" max="34" width="11.421875" style="155" customWidth="1"/>
  </cols>
  <sheetData>
    <row r="1" spans="1:6" ht="15">
      <c r="A1" s="34" t="str">
        <f>Indice!C1</f>
        <v>IMPORT CENTER S.A.</v>
      </c>
      <c r="F1" s="182" t="s">
        <v>130</v>
      </c>
    </row>
    <row r="4" spans="1:6" ht="15">
      <c r="A4" s="354" t="s">
        <v>353</v>
      </c>
      <c r="B4" s="354"/>
      <c r="C4" s="354"/>
      <c r="D4" s="354"/>
      <c r="E4" s="295"/>
      <c r="F4" s="296"/>
    </row>
    <row r="6" spans="2:3" ht="15">
      <c r="B6" s="736" t="s">
        <v>324</v>
      </c>
      <c r="C6" s="736"/>
    </row>
    <row r="7" spans="1:3" ht="15">
      <c r="A7" s="183"/>
      <c r="B7" s="446">
        <f>_xlfn.IFERROR(IF(Indice!B6="","2XX2",YEAR(Indice!B6)),"2XX2")</f>
        <v>2021</v>
      </c>
      <c r="C7" s="446">
        <f>+_xlfn.IFERROR(YEAR(Indice!B6-365),"2XX1")</f>
        <v>2020</v>
      </c>
    </row>
    <row r="8" ht="15">
      <c r="A8" s="34" t="s">
        <v>83</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Hoja30"/>
  <dimension ref="A1:AG28"/>
  <sheetViews>
    <sheetView showGridLines="0" zoomScalePageLayoutView="0" workbookViewId="0" topLeftCell="A1">
      <selection activeCell="B13" sqref="B13:B14"/>
    </sheetView>
  </sheetViews>
  <sheetFormatPr defaultColWidth="11.421875" defaultRowHeight="15"/>
  <cols>
    <col min="1" max="1" width="45.57421875" style="155" customWidth="1"/>
    <col min="2" max="2" width="18.140625" style="155" customWidth="1"/>
    <col min="3" max="3" width="17.140625" style="155" customWidth="1"/>
    <col min="4" max="33" width="11.421875" style="155" customWidth="1"/>
  </cols>
  <sheetData>
    <row r="1" spans="1:5" ht="15">
      <c r="A1" s="155" t="str">
        <f>Indice!C1</f>
        <v>IMPORT CENTER S.A.</v>
      </c>
      <c r="E1" s="178" t="s">
        <v>146</v>
      </c>
    </row>
    <row r="5" spans="1:33" ht="15">
      <c r="A5" s="354" t="s">
        <v>354</v>
      </c>
      <c r="B5" s="354"/>
      <c r="C5" s="354"/>
      <c r="D5" s="354"/>
      <c r="E5" s="354"/>
      <c r="F5" s="354"/>
      <c r="G5" s="34"/>
      <c r="H5" s="34"/>
      <c r="I5" s="34"/>
      <c r="J5" s="34"/>
      <c r="K5" s="34"/>
      <c r="L5" s="34"/>
      <c r="M5" s="34"/>
      <c r="N5" s="34"/>
      <c r="O5" s="34"/>
      <c r="P5" s="34"/>
      <c r="Q5" s="34"/>
      <c r="R5" s="34"/>
      <c r="S5" s="34"/>
      <c r="T5" s="34"/>
      <c r="U5" s="34"/>
      <c r="V5" s="34"/>
      <c r="W5" s="34"/>
      <c r="X5" s="34"/>
      <c r="Y5" s="34"/>
      <c r="Z5" s="34"/>
      <c r="AA5" s="34"/>
      <c r="AB5" s="34"/>
      <c r="AC5" s="34"/>
      <c r="AD5" s="34"/>
      <c r="AE5" s="34"/>
      <c r="AF5" s="34"/>
      <c r="AG5"/>
    </row>
    <row r="8" spans="2:3" ht="15">
      <c r="B8" s="736" t="s">
        <v>324</v>
      </c>
      <c r="C8" s="736"/>
    </row>
    <row r="9" spans="2:33" ht="15">
      <c r="B9" s="446">
        <f>_xlfn.IFERROR(IF(Indice!B6="","2XX2",YEAR(Indice!B6)),"2XX2")</f>
        <v>2021</v>
      </c>
      <c r="C9" s="446">
        <f>+_xlfn.IFERROR(YEAR(Indice!B6-365),"2XX1")</f>
        <v>2020</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row>
    <row r="10" spans="1:32" s="381" customFormat="1" ht="15">
      <c r="A10" s="183" t="s">
        <v>63</v>
      </c>
      <c r="B10" s="303"/>
      <c r="C10" s="303"/>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3" ht="15">
      <c r="A11" s="183" t="s">
        <v>877</v>
      </c>
      <c r="B11" s="67"/>
      <c r="C11" s="67"/>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row>
    <row r="12" spans="1:32" s="381" customFormat="1" ht="15">
      <c r="A12" s="392" t="s">
        <v>879</v>
      </c>
      <c r="B12" s="604"/>
      <c r="C12" s="60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1:32" s="381" customFormat="1" ht="15">
      <c r="A13" s="34" t="s">
        <v>273</v>
      </c>
      <c r="B13" s="604">
        <f>2544838+81512+26290</f>
        <v>2652640</v>
      </c>
      <c r="C13" s="604">
        <f>796474+208171+14099</f>
        <v>1018744</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s="381" customFormat="1" ht="15">
      <c r="A14" s="381" t="s">
        <v>274</v>
      </c>
      <c r="B14" s="604">
        <f>4730787+1282817+758+1+1</f>
        <v>6014364</v>
      </c>
      <c r="C14" s="604">
        <f>4332049+715541+209</f>
        <v>5047799</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row r="15" spans="1:32" s="381" customFormat="1" ht="15">
      <c r="A15" s="392" t="s">
        <v>880</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1:32" s="381" customFormat="1" ht="15">
      <c r="A16" s="34" t="s">
        <v>273</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s="381" customFormat="1" ht="15">
      <c r="A17" s="381" t="s">
        <v>274</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1:32" s="381" customFormat="1" ht="15">
      <c r="A18" s="183" t="s">
        <v>878</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row>
    <row r="19" spans="1:32" s="381" customFormat="1" ht="15">
      <c r="A19" s="392" t="s">
        <v>879</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row>
    <row r="20" spans="1:32" s="381" customFormat="1" ht="15">
      <c r="A20" s="34" t="s">
        <v>273</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row>
    <row r="21" spans="1:32" s="381" customFormat="1" ht="15">
      <c r="A21" s="381" t="s">
        <v>274</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2" s="381" customFormat="1" ht="15">
      <c r="A22" s="392" t="s">
        <v>880</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1:32" s="381" customFormat="1" ht="15">
      <c r="A23" s="34" t="s">
        <v>273</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1:32" s="381" customFormat="1" ht="15">
      <c r="A24" s="381" t="s">
        <v>274</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1:32" s="584" customFormat="1" ht="15">
      <c r="A25" s="635" t="s">
        <v>1025</v>
      </c>
      <c r="B25" s="604">
        <v>-65060</v>
      </c>
      <c r="C25" s="604">
        <v>-51259</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s="381" customFormat="1" ht="15">
      <c r="A26" s="393" t="s">
        <v>881</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3" ht="15">
      <c r="A27" s="183" t="s">
        <v>3</v>
      </c>
      <c r="B27" s="297">
        <f>SUM(B13:B26)</f>
        <v>8601944</v>
      </c>
      <c r="C27" s="297">
        <f>SUM(C13:C26)</f>
        <v>6015284</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row>
    <row r="28" spans="1:33" ht="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row>
  </sheetData>
  <sheetProtection/>
  <mergeCells count="1">
    <mergeCell ref="B8:C8"/>
  </mergeCells>
  <hyperlinks>
    <hyperlink ref="E1" location="ER!A1" display="ER"/>
  </hyperlink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codeName="Hoja31"/>
  <dimension ref="A1:AE22"/>
  <sheetViews>
    <sheetView showGridLines="0" zoomScalePageLayoutView="0" workbookViewId="0" topLeftCell="A1">
      <selection activeCell="B21" sqref="B21"/>
    </sheetView>
  </sheetViews>
  <sheetFormatPr defaultColWidth="11.421875" defaultRowHeight="15"/>
  <cols>
    <col min="1" max="1" width="38.00390625" style="155" customWidth="1"/>
    <col min="2" max="2" width="18.140625" style="155" customWidth="1"/>
    <col min="3" max="3" width="17.140625" style="155" customWidth="1"/>
    <col min="4" max="31" width="11.421875" style="155" customWidth="1"/>
  </cols>
  <sheetData>
    <row r="1" spans="1:5" ht="15">
      <c r="A1" s="155" t="str">
        <f>Indice!C1</f>
        <v>IMPORT CENTER S.A.</v>
      </c>
      <c r="E1" s="178" t="s">
        <v>146</v>
      </c>
    </row>
    <row r="5" spans="1:31" ht="15">
      <c r="A5" s="740" t="s">
        <v>355</v>
      </c>
      <c r="B5" s="740"/>
      <c r="C5" s="740"/>
      <c r="D5" s="740"/>
      <c r="E5" s="740"/>
      <c r="F5" s="740"/>
      <c r="G5" s="34"/>
      <c r="H5" s="34"/>
      <c r="I5" s="34"/>
      <c r="J5" s="34"/>
      <c r="K5" s="34"/>
      <c r="L5" s="34"/>
      <c r="M5" s="34"/>
      <c r="N5" s="34"/>
      <c r="O5" s="34"/>
      <c r="P5" s="34"/>
      <c r="Q5" s="34"/>
      <c r="R5" s="34"/>
      <c r="S5" s="34"/>
      <c r="T5" s="34"/>
      <c r="U5" s="34"/>
      <c r="V5" s="34"/>
      <c r="W5" s="34"/>
      <c r="X5" s="34"/>
      <c r="Y5" s="34"/>
      <c r="Z5" s="34"/>
      <c r="AA5" s="34"/>
      <c r="AB5" s="34"/>
      <c r="AC5" s="34"/>
      <c r="AD5" s="34"/>
      <c r="AE5" s="34"/>
    </row>
    <row r="7" spans="2:3" ht="15">
      <c r="B7" s="748"/>
      <c r="C7" s="748"/>
    </row>
    <row r="8" spans="1:31" s="240" customFormat="1" ht="15">
      <c r="A8" s="155"/>
      <c r="B8" s="749" t="s">
        <v>269</v>
      </c>
      <c r="C8" s="749"/>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row>
    <row r="9" spans="1:31" ht="15">
      <c r="A9" s="183" t="s">
        <v>154</v>
      </c>
      <c r="B9" s="446">
        <f>_xlfn.IFERROR(IF(Indice!B6="","2XX2",YEAR(Indice!B6)),"2XX2")</f>
        <v>2021</v>
      </c>
      <c r="C9" s="446">
        <f>+_xlfn.IFERROR(YEAR(Indice!B6-365),"2XX1")</f>
        <v>2020</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s="381" customFormat="1" ht="15">
      <c r="A10" s="183" t="s">
        <v>882</v>
      </c>
      <c r="B10" s="303"/>
      <c r="C10" s="303"/>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ht="15">
      <c r="A11" s="34" t="s">
        <v>275</v>
      </c>
      <c r="B11" s="604">
        <v>22224404</v>
      </c>
      <c r="C11" s="604">
        <v>25598204</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ht="15">
      <c r="A12" s="266" t="s">
        <v>276</v>
      </c>
      <c r="B12" s="604">
        <v>5507100</v>
      </c>
      <c r="C12" s="604">
        <v>5259841</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s="240" customFormat="1" ht="15">
      <c r="A13" s="266" t="s">
        <v>277</v>
      </c>
      <c r="B13" s="604"/>
      <c r="C13" s="60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s="240" customFormat="1" ht="15">
      <c r="A14" s="266" t="s">
        <v>278</v>
      </c>
      <c r="B14" s="604"/>
      <c r="C14" s="60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s="381" customFormat="1" ht="15">
      <c r="A15" s="183" t="s">
        <v>883</v>
      </c>
      <c r="B15" s="605"/>
      <c r="C15" s="605"/>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6" spans="1:31" s="381" customFormat="1" ht="15">
      <c r="A16" s="34" t="s">
        <v>275</v>
      </c>
      <c r="B16" s="604"/>
      <c r="C16" s="60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spans="1:31" s="381" customFormat="1" ht="15">
      <c r="A17" s="266" t="s">
        <v>276</v>
      </c>
      <c r="B17" s="604"/>
      <c r="C17" s="60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1:31" s="381" customFormat="1" ht="15">
      <c r="A18" s="266" t="s">
        <v>277</v>
      </c>
      <c r="B18" s="604"/>
      <c r="C18" s="60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1:31" s="381" customFormat="1" ht="15">
      <c r="A19" s="266" t="s">
        <v>278</v>
      </c>
      <c r="B19" s="604">
        <v>-22159966</v>
      </c>
      <c r="C19" s="604">
        <v>-26550082</v>
      </c>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1:31" s="381" customFormat="1" ht="15">
      <c r="A20" s="393" t="s">
        <v>881</v>
      </c>
      <c r="B20" s="604"/>
      <c r="C20" s="60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5">
      <c r="A21" s="34" t="s">
        <v>279</v>
      </c>
      <c r="B21" s="606">
        <f>SUM($B$10:B20)-1</f>
        <v>5571537</v>
      </c>
      <c r="C21" s="606">
        <f>SUM($C$10:C20)</f>
        <v>4307963</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1:31" ht="1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sheetData>
  <sheetProtection/>
  <mergeCells count="3">
    <mergeCell ref="A5:F5"/>
    <mergeCell ref="B7:C7"/>
    <mergeCell ref="B8:C8"/>
  </mergeCells>
  <hyperlinks>
    <hyperlink ref="E1" location="ER!A1" display="ER"/>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Hoja32"/>
  <dimension ref="A1:AG46"/>
  <sheetViews>
    <sheetView showGridLines="0" zoomScalePageLayoutView="0" workbookViewId="0" topLeftCell="A1">
      <selection activeCell="A1" sqref="A1"/>
    </sheetView>
  </sheetViews>
  <sheetFormatPr defaultColWidth="11.421875" defaultRowHeight="15"/>
  <cols>
    <col min="1" max="1" width="38.00390625" style="155" customWidth="1"/>
    <col min="2" max="7" width="23.00390625" style="155" customWidth="1"/>
    <col min="8" max="33" width="11.421875" style="155" customWidth="1"/>
  </cols>
  <sheetData>
    <row r="1" spans="1:7" ht="15">
      <c r="A1" s="155" t="str">
        <f>Indice!C1</f>
        <v>IMPORT CENTER S.A.</v>
      </c>
      <c r="G1" s="178" t="s">
        <v>146</v>
      </c>
    </row>
    <row r="5" spans="1:33" ht="15">
      <c r="A5" s="354" t="s">
        <v>356</v>
      </c>
      <c r="B5" s="354"/>
      <c r="C5" s="354"/>
      <c r="D5" s="354"/>
      <c r="E5" s="354"/>
      <c r="F5" s="354"/>
      <c r="G5" s="354"/>
      <c r="H5" s="354"/>
      <c r="I5" s="34"/>
      <c r="J5" s="34"/>
      <c r="K5" s="34"/>
      <c r="L5" s="34"/>
      <c r="M5" s="34"/>
      <c r="N5" s="34"/>
      <c r="O5" s="34"/>
      <c r="P5" s="34"/>
      <c r="Q5" s="34"/>
      <c r="R5" s="34"/>
      <c r="S5" s="34"/>
      <c r="T5" s="34"/>
      <c r="U5" s="34"/>
      <c r="V5" s="34"/>
      <c r="W5" s="34"/>
      <c r="X5" s="34"/>
      <c r="Y5" s="34"/>
      <c r="Z5" s="34"/>
      <c r="AA5" s="34"/>
      <c r="AB5" s="34"/>
      <c r="AC5" s="34"/>
      <c r="AD5" s="34"/>
      <c r="AE5" s="34"/>
      <c r="AF5" s="34"/>
      <c r="AG5" s="34"/>
    </row>
    <row r="6" spans="1:8" ht="15">
      <c r="A6" s="750" t="s">
        <v>202</v>
      </c>
      <c r="B6" s="750"/>
      <c r="C6" s="750"/>
      <c r="D6" s="750"/>
      <c r="E6" s="750"/>
      <c r="F6" s="750"/>
      <c r="G6" s="750"/>
      <c r="H6" s="750"/>
    </row>
    <row r="7" spans="1:33" s="216" customFormat="1" ht="1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row>
    <row r="8" spans="1:33" s="216" customFormat="1" ht="15">
      <c r="A8" s="215" t="s">
        <v>203</v>
      </c>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row>
    <row r="9" spans="1:33" s="216" customFormat="1" ht="15">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row>
    <row r="10" spans="1:33" s="216" customFormat="1" ht="15.75" thickBot="1">
      <c r="A10" s="402" t="s">
        <v>269</v>
      </c>
      <c r="B10" s="401"/>
      <c r="D10" s="402"/>
      <c r="E10" s="402"/>
      <c r="F10" s="403"/>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row>
    <row r="11" spans="1:33" s="216" customFormat="1" ht="15.75" thickBot="1">
      <c r="A11" s="751"/>
      <c r="B11" s="466"/>
      <c r="C11" s="467">
        <f>_xlfn.IFERROR(IF(Indice!B6="","2XX2",YEAR(Indice!B6)),"2XX2")</f>
        <v>2021</v>
      </c>
      <c r="D11" s="469"/>
      <c r="E11" s="470"/>
      <c r="F11" s="467">
        <f>+_xlfn.IFERROR(YEAR(Indice!B6-365),"2XX1")</f>
        <v>2020</v>
      </c>
      <c r="G11" s="468"/>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row>
    <row r="12" spans="1:33" s="216" customFormat="1" ht="15.75" thickBot="1">
      <c r="A12" s="752"/>
      <c r="B12" s="465" t="s">
        <v>204</v>
      </c>
      <c r="C12" s="465" t="s">
        <v>205</v>
      </c>
      <c r="D12" s="465" t="s">
        <v>3</v>
      </c>
      <c r="E12" s="465" t="s">
        <v>204</v>
      </c>
      <c r="F12" s="465" t="s">
        <v>205</v>
      </c>
      <c r="G12" s="465" t="s">
        <v>3</v>
      </c>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row>
    <row r="13" spans="1:33" s="216" customFormat="1" ht="15">
      <c r="A13" s="263" t="s">
        <v>206</v>
      </c>
      <c r="B13" s="625">
        <f>16412+43628+26504</f>
        <v>86544</v>
      </c>
      <c r="C13" s="626"/>
      <c r="D13" s="626">
        <f>+C13+B13</f>
        <v>86544</v>
      </c>
      <c r="E13" s="625">
        <f>16941+71057+28762</f>
        <v>116760</v>
      </c>
      <c r="F13" s="626"/>
      <c r="G13" s="626">
        <f>+F13+E13</f>
        <v>116760</v>
      </c>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row>
    <row r="14" spans="1:33" s="216" customFormat="1" ht="15">
      <c r="A14" s="264" t="s">
        <v>207</v>
      </c>
      <c r="B14" s="627">
        <v>9091</v>
      </c>
      <c r="C14" s="628"/>
      <c r="D14" s="628">
        <f>+C14+B14</f>
        <v>9091</v>
      </c>
      <c r="E14" s="627"/>
      <c r="F14" s="628">
        <v>29633</v>
      </c>
      <c r="G14" s="628">
        <f>+F14+E14</f>
        <v>29633</v>
      </c>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row>
    <row r="15" spans="1:33" s="216" customFormat="1" ht="15">
      <c r="A15" s="264" t="s">
        <v>208</v>
      </c>
      <c r="B15" s="627"/>
      <c r="C15" s="628"/>
      <c r="D15" s="628">
        <f aca="true" t="shared" si="0" ref="D15:D35">+C15+B15</f>
        <v>0</v>
      </c>
      <c r="E15" s="627"/>
      <c r="F15" s="628"/>
      <c r="G15" s="628">
        <f aca="true" t="shared" si="1" ref="G15:G35">+F15+E15</f>
        <v>0</v>
      </c>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row>
    <row r="16" spans="1:33" s="216" customFormat="1" ht="15">
      <c r="A16" s="264" t="s">
        <v>209</v>
      </c>
      <c r="B16" s="627">
        <v>178689</v>
      </c>
      <c r="C16" s="628">
        <f>20001+49496+21673</f>
        <v>91170</v>
      </c>
      <c r="D16" s="628">
        <f t="shared" si="0"/>
        <v>269859</v>
      </c>
      <c r="E16" s="627">
        <v>147617</v>
      </c>
      <c r="F16" s="628">
        <f>31074+97540</f>
        <v>128614</v>
      </c>
      <c r="G16" s="628">
        <f t="shared" si="1"/>
        <v>276231</v>
      </c>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row>
    <row r="17" spans="1:33" s="216" customFormat="1" ht="15">
      <c r="A17" s="264" t="s">
        <v>210</v>
      </c>
      <c r="B17" s="627"/>
      <c r="C17" s="628">
        <f>26252+6176+2245</f>
        <v>34673</v>
      </c>
      <c r="D17" s="628">
        <f t="shared" si="0"/>
        <v>34673</v>
      </c>
      <c r="E17" s="627"/>
      <c r="F17" s="628">
        <f>44171+570+14725+1141</f>
        <v>60607</v>
      </c>
      <c r="G17" s="628">
        <f t="shared" si="1"/>
        <v>60607</v>
      </c>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row>
    <row r="18" spans="1:33" s="216" customFormat="1" ht="15">
      <c r="A18" s="264" t="s">
        <v>211</v>
      </c>
      <c r="B18" s="627"/>
      <c r="C18" s="628"/>
      <c r="D18" s="628">
        <f t="shared" si="0"/>
        <v>0</v>
      </c>
      <c r="E18" s="627"/>
      <c r="F18" s="628"/>
      <c r="G18" s="628">
        <f t="shared" si="1"/>
        <v>0</v>
      </c>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row>
    <row r="19" spans="1:33" s="216" customFormat="1" ht="15">
      <c r="A19" s="264" t="s">
        <v>212</v>
      </c>
      <c r="B19" s="627"/>
      <c r="C19" s="628">
        <f>20155+4807+17486</f>
        <v>42448</v>
      </c>
      <c r="D19" s="628">
        <f t="shared" si="0"/>
        <v>42448</v>
      </c>
      <c r="E19" s="627"/>
      <c r="F19" s="628">
        <f>20223+16253</f>
        <v>36476</v>
      </c>
      <c r="G19" s="628">
        <f t="shared" si="1"/>
        <v>36476</v>
      </c>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row>
    <row r="20" spans="1:33" s="216" customFormat="1" ht="15">
      <c r="A20" s="264" t="s">
        <v>213</v>
      </c>
      <c r="B20" s="627">
        <v>10074</v>
      </c>
      <c r="C20" s="628">
        <v>8023</v>
      </c>
      <c r="D20" s="628">
        <f t="shared" si="0"/>
        <v>18097</v>
      </c>
      <c r="E20" s="627">
        <v>9405</v>
      </c>
      <c r="F20" s="628">
        <v>9679</v>
      </c>
      <c r="G20" s="628">
        <f t="shared" si="1"/>
        <v>19084</v>
      </c>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row>
    <row r="21" spans="1:33" s="216" customFormat="1" ht="15">
      <c r="A21" s="264" t="s">
        <v>214</v>
      </c>
      <c r="B21" s="627"/>
      <c r="C21" s="628">
        <v>2851</v>
      </c>
      <c r="D21" s="628">
        <f t="shared" si="0"/>
        <v>2851</v>
      </c>
      <c r="E21" s="627"/>
      <c r="F21" s="628">
        <f>243+436</f>
        <v>679</v>
      </c>
      <c r="G21" s="628">
        <f t="shared" si="1"/>
        <v>679</v>
      </c>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row>
    <row r="22" spans="1:33" s="216" customFormat="1" ht="15">
      <c r="A22" s="264" t="s">
        <v>215</v>
      </c>
      <c r="B22" s="627"/>
      <c r="C22" s="628">
        <v>15213</v>
      </c>
      <c r="D22" s="628">
        <f t="shared" si="0"/>
        <v>15213</v>
      </c>
      <c r="E22" s="627"/>
      <c r="F22" s="628">
        <v>14151</v>
      </c>
      <c r="G22" s="628">
        <f t="shared" si="1"/>
        <v>14151</v>
      </c>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row>
    <row r="23" spans="1:33" s="216" customFormat="1" ht="15">
      <c r="A23" s="264" t="s">
        <v>216</v>
      </c>
      <c r="B23" s="627">
        <v>4961</v>
      </c>
      <c r="C23" s="628">
        <f>11320+27861+4299+17967+19940+3519+300+11842+1800+17071</f>
        <v>115919</v>
      </c>
      <c r="D23" s="628">
        <f t="shared" si="0"/>
        <v>120880</v>
      </c>
      <c r="E23" s="627">
        <v>2935</v>
      </c>
      <c r="F23" s="628">
        <f>8408+19278+5303+14785+18947+3312+100+6736+6592+10399+21877</f>
        <v>115737</v>
      </c>
      <c r="G23" s="628">
        <f t="shared" si="1"/>
        <v>118672</v>
      </c>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row>
    <row r="24" spans="1:33" s="216" customFormat="1" ht="24">
      <c r="A24" s="264" t="s">
        <v>217</v>
      </c>
      <c r="B24" s="627"/>
      <c r="C24" s="628">
        <v>120000</v>
      </c>
      <c r="D24" s="628">
        <f t="shared" si="0"/>
        <v>120000</v>
      </c>
      <c r="E24" s="627"/>
      <c r="F24" s="628">
        <v>120000</v>
      </c>
      <c r="G24" s="628">
        <f t="shared" si="1"/>
        <v>120000</v>
      </c>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row>
    <row r="25" spans="1:33" s="216" customFormat="1" ht="15">
      <c r="A25" s="264" t="s">
        <v>218</v>
      </c>
      <c r="B25" s="627"/>
      <c r="C25" s="628">
        <v>323012</v>
      </c>
      <c r="D25" s="628">
        <f t="shared" si="0"/>
        <v>323012</v>
      </c>
      <c r="E25" s="627"/>
      <c r="F25" s="628">
        <v>222924</v>
      </c>
      <c r="G25" s="628">
        <f t="shared" si="1"/>
        <v>222924</v>
      </c>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row>
    <row r="26" spans="1:33" s="216" customFormat="1" ht="15">
      <c r="A26" s="264" t="s">
        <v>219</v>
      </c>
      <c r="B26" s="627"/>
      <c r="C26" s="628">
        <v>55185</v>
      </c>
      <c r="D26" s="628">
        <f t="shared" si="0"/>
        <v>55185</v>
      </c>
      <c r="E26" s="627"/>
      <c r="F26" s="628">
        <v>38170</v>
      </c>
      <c r="G26" s="628">
        <f t="shared" si="1"/>
        <v>38170</v>
      </c>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row>
    <row r="27" spans="1:33" s="216" customFormat="1" ht="15">
      <c r="A27" s="264" t="s">
        <v>220</v>
      </c>
      <c r="B27" s="627"/>
      <c r="C27" s="628">
        <v>2799</v>
      </c>
      <c r="D27" s="628">
        <f t="shared" si="0"/>
        <v>2799</v>
      </c>
      <c r="E27" s="627"/>
      <c r="F27" s="628"/>
      <c r="G27" s="628">
        <f t="shared" si="1"/>
        <v>0</v>
      </c>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row>
    <row r="28" spans="1:33" s="216" customFormat="1" ht="15">
      <c r="A28" s="264" t="s">
        <v>221</v>
      </c>
      <c r="B28" s="627">
        <f>5370+8621+6336+17312</f>
        <v>37639</v>
      </c>
      <c r="C28" s="628"/>
      <c r="D28" s="628">
        <f t="shared" si="0"/>
        <v>37639</v>
      </c>
      <c r="E28" s="627">
        <f>5044+5922+5732+17726</f>
        <v>34424</v>
      </c>
      <c r="F28" s="628"/>
      <c r="G28" s="628">
        <f t="shared" si="1"/>
        <v>34424</v>
      </c>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row>
    <row r="29" spans="1:33" s="216" customFormat="1" ht="15">
      <c r="A29" s="264" t="s">
        <v>222</v>
      </c>
      <c r="B29" s="627"/>
      <c r="C29" s="628"/>
      <c r="D29" s="628">
        <f t="shared" si="0"/>
        <v>0</v>
      </c>
      <c r="E29" s="627"/>
      <c r="F29" s="628"/>
      <c r="G29" s="628">
        <f t="shared" si="1"/>
        <v>0</v>
      </c>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row>
    <row r="30" spans="1:33" s="216" customFormat="1" ht="15">
      <c r="A30" s="264" t="s">
        <v>223</v>
      </c>
      <c r="B30" s="627"/>
      <c r="C30" s="628">
        <v>0</v>
      </c>
      <c r="D30" s="628">
        <v>0</v>
      </c>
      <c r="E30" s="627"/>
      <c r="F30" s="628">
        <v>0</v>
      </c>
      <c r="G30" s="628">
        <f t="shared" si="1"/>
        <v>0</v>
      </c>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row>
    <row r="31" spans="1:33" s="216" customFormat="1" ht="15">
      <c r="A31" s="264" t="s">
        <v>889</v>
      </c>
      <c r="B31" s="627"/>
      <c r="C31" s="628">
        <v>118247</v>
      </c>
      <c r="D31" s="628">
        <f t="shared" si="0"/>
        <v>118247</v>
      </c>
      <c r="E31" s="627"/>
      <c r="F31" s="628">
        <v>113095</v>
      </c>
      <c r="G31" s="628">
        <f t="shared" si="1"/>
        <v>113095</v>
      </c>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row>
    <row r="32" spans="1:33" s="216" customFormat="1" ht="15">
      <c r="A32" s="264" t="s">
        <v>224</v>
      </c>
      <c r="B32" s="627"/>
      <c r="C32" s="628"/>
      <c r="D32" s="628">
        <f t="shared" si="0"/>
        <v>0</v>
      </c>
      <c r="E32" s="627"/>
      <c r="F32" s="628"/>
      <c r="G32" s="628">
        <f t="shared" si="1"/>
        <v>0</v>
      </c>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row>
    <row r="33" spans="1:33" s="216" customFormat="1" ht="15">
      <c r="A33" s="264" t="s">
        <v>7</v>
      </c>
      <c r="B33" s="627"/>
      <c r="C33" s="628"/>
      <c r="D33" s="628">
        <f t="shared" si="0"/>
        <v>0</v>
      </c>
      <c r="E33" s="627"/>
      <c r="F33" s="628"/>
      <c r="G33" s="628">
        <f t="shared" si="1"/>
        <v>0</v>
      </c>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row>
    <row r="34" spans="1:33" s="216" customFormat="1" ht="15">
      <c r="A34" s="632" t="s">
        <v>1008</v>
      </c>
      <c r="B34" s="629"/>
      <c r="C34" s="630">
        <v>0</v>
      </c>
      <c r="D34" s="628">
        <f>+C34</f>
        <v>0</v>
      </c>
      <c r="E34" s="629"/>
      <c r="F34" s="630">
        <v>0</v>
      </c>
      <c r="G34" s="628">
        <f t="shared" si="1"/>
        <v>0</v>
      </c>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row>
    <row r="35" spans="1:33" s="216" customFormat="1" ht="15">
      <c r="A35" s="404" t="s">
        <v>66</v>
      </c>
      <c r="B35" s="629"/>
      <c r="C35" s="630"/>
      <c r="D35" s="628">
        <f t="shared" si="0"/>
        <v>0</v>
      </c>
      <c r="E35" s="629"/>
      <c r="F35" s="630"/>
      <c r="G35" s="628">
        <f t="shared" si="1"/>
        <v>0</v>
      </c>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row>
    <row r="36" spans="1:33" s="216" customFormat="1" ht="15.75" thickBot="1">
      <c r="A36" s="265" t="s">
        <v>3</v>
      </c>
      <c r="B36" s="631">
        <f>+SUM($B$13:B35)</f>
        <v>326998</v>
      </c>
      <c r="C36" s="631">
        <f>+SUM($C$13:C35)+1</f>
        <v>929541</v>
      </c>
      <c r="D36" s="631">
        <f>+SUM($D$13:D35)</f>
        <v>1256538</v>
      </c>
      <c r="E36" s="631">
        <f>+SUM($E$13:E35)+1</f>
        <v>311142</v>
      </c>
      <c r="F36" s="631">
        <f>+SUM($F$13:F35)</f>
        <v>889765</v>
      </c>
      <c r="G36" s="631">
        <f>+SUM($G$13:G35)</f>
        <v>1200906</v>
      </c>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row>
    <row r="37" spans="1:33" s="216" customFormat="1" ht="15">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row>
    <row r="38" spans="1:33" s="216" customFormat="1" ht="15">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row>
    <row r="39" spans="1:33" s="216" customFormat="1" ht="15">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row>
    <row r="40" spans="1:33" s="216" customFormat="1" ht="15">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row>
    <row r="41" spans="1:33" s="216" customFormat="1" ht="15">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row>
    <row r="42" spans="1:33" s="216" customFormat="1" ht="15">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row>
    <row r="43" spans="1:33" s="216" customFormat="1" ht="15">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row>
    <row r="44" spans="1:33" s="216" customFormat="1" ht="15">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row>
    <row r="45" spans="1:33" s="180" customFormat="1" ht="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row>
    <row r="46" spans="1:33" s="180" customFormat="1" ht="15">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row>
  </sheetData>
  <sheetProtection/>
  <mergeCells count="2">
    <mergeCell ref="A6:H6"/>
    <mergeCell ref="A11:A12"/>
  </mergeCells>
  <hyperlinks>
    <hyperlink ref="G1" location="ER!A1" display="ER"/>
  </hyperlink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codeName="Hoja33"/>
  <dimension ref="A1:X25"/>
  <sheetViews>
    <sheetView showGridLines="0" zoomScalePageLayoutView="0" workbookViewId="0" topLeftCell="A1">
      <selection activeCell="A1" sqref="A1"/>
    </sheetView>
  </sheetViews>
  <sheetFormatPr defaultColWidth="11.421875" defaultRowHeight="15"/>
  <cols>
    <col min="1" max="1" width="38.00390625" style="155" customWidth="1"/>
    <col min="2" max="2" width="14.7109375" style="155" customWidth="1"/>
    <col min="3" max="3" width="15.7109375" style="155" customWidth="1"/>
    <col min="4" max="4" width="4.8515625" style="155" customWidth="1"/>
    <col min="5" max="5" width="25.140625" style="155" customWidth="1"/>
    <col min="6" max="6" width="13.28125" style="155" customWidth="1"/>
    <col min="7" max="7" width="14.57421875" style="155" customWidth="1"/>
    <col min="8" max="20" width="11.421875" style="155" customWidth="1"/>
  </cols>
  <sheetData>
    <row r="1" spans="1:5" ht="15">
      <c r="A1" s="155" t="str">
        <f>Indice!C1</f>
        <v>IMPORT CENTER S.A.</v>
      </c>
      <c r="E1" s="178" t="s">
        <v>146</v>
      </c>
    </row>
    <row r="4" spans="1:24" ht="15">
      <c r="A4" s="753" t="s">
        <v>357</v>
      </c>
      <c r="B4" s="753"/>
      <c r="C4" s="753"/>
      <c r="D4" s="753"/>
      <c r="E4" s="753"/>
      <c r="F4" s="187"/>
      <c r="U4" s="155"/>
      <c r="V4" s="155"/>
      <c r="W4" s="155"/>
      <c r="X4" s="155"/>
    </row>
    <row r="5" spans="1:24" ht="15">
      <c r="A5" s="184"/>
      <c r="B5" s="186"/>
      <c r="C5" s="185"/>
      <c r="D5" s="185"/>
      <c r="E5" s="185"/>
      <c r="F5" s="187"/>
      <c r="U5" s="155"/>
      <c r="V5" s="155"/>
      <c r="W5" s="155"/>
      <c r="X5" s="155"/>
    </row>
    <row r="6" spans="1:24" s="240" customFormat="1" ht="15">
      <c r="A6" s="405" t="s">
        <v>269</v>
      </c>
      <c r="B6" s="754"/>
      <c r="C6" s="754"/>
      <c r="D6" s="185"/>
      <c r="E6" s="185"/>
      <c r="F6" s="187"/>
      <c r="G6" s="155"/>
      <c r="H6" s="155"/>
      <c r="I6" s="155"/>
      <c r="J6" s="155"/>
      <c r="K6" s="155"/>
      <c r="L6" s="155"/>
      <c r="M6" s="155"/>
      <c r="N6" s="155"/>
      <c r="O6" s="155"/>
      <c r="P6" s="155"/>
      <c r="Q6" s="155"/>
      <c r="R6" s="155"/>
      <c r="S6" s="155"/>
      <c r="T6" s="155"/>
      <c r="U6" s="155"/>
      <c r="V6" s="155"/>
      <c r="W6" s="155"/>
      <c r="X6" s="155"/>
    </row>
    <row r="7" spans="1:24" ht="15">
      <c r="A7" s="184"/>
      <c r="D7" s="185"/>
      <c r="E7" s="185"/>
      <c r="F7" s="187"/>
      <c r="U7" s="155"/>
      <c r="V7" s="155"/>
      <c r="W7" s="155"/>
      <c r="X7" s="155"/>
    </row>
    <row r="8" spans="1:24" ht="15">
      <c r="A8" s="188" t="s">
        <v>155</v>
      </c>
      <c r="B8" s="446">
        <f>_xlfn.IFERROR(IF(Indice!B6="","2XX2",YEAR(Indice!B6)),"2XX2")</f>
        <v>2021</v>
      </c>
      <c r="C8" s="446">
        <f>+_xlfn.IFERROR(YEAR(Indice!B6-365),"2XX1")</f>
        <v>2020</v>
      </c>
      <c r="D8" s="185"/>
      <c r="E8" s="188" t="s">
        <v>271</v>
      </c>
      <c r="F8" s="446">
        <f>_xlfn.IFERROR(IF(Indice!B6="","2XX2",YEAR(Indice!B6)),"2XX2")</f>
        <v>2021</v>
      </c>
      <c r="G8" s="446">
        <f>+_xlfn.IFERROR(YEAR(Indice!B6-365),"2XX1")</f>
        <v>2020</v>
      </c>
      <c r="U8" s="155"/>
      <c r="V8" s="155"/>
      <c r="W8" s="155"/>
      <c r="X8" s="155"/>
    </row>
    <row r="9" spans="1:24" ht="15">
      <c r="A9" s="184" t="s">
        <v>1008</v>
      </c>
      <c r="B9" s="187"/>
      <c r="C9" s="187"/>
      <c r="D9" s="185"/>
      <c r="E9" s="184"/>
      <c r="F9" s="187">
        <v>0</v>
      </c>
      <c r="G9" s="187">
        <v>0</v>
      </c>
      <c r="U9" s="155"/>
      <c r="V9" s="155"/>
      <c r="W9" s="155"/>
      <c r="X9" s="155"/>
    </row>
    <row r="10" spans="1:24" ht="15">
      <c r="A10" s="184" t="s">
        <v>1009</v>
      </c>
      <c r="B10" s="187">
        <v>2676</v>
      </c>
      <c r="C10" s="187">
        <v>15333</v>
      </c>
      <c r="D10" s="185"/>
      <c r="E10" s="184"/>
      <c r="F10" s="187"/>
      <c r="G10" s="187"/>
      <c r="U10" s="155"/>
      <c r="V10" s="155"/>
      <c r="W10" s="155"/>
      <c r="X10" s="155"/>
    </row>
    <row r="11" spans="1:24" ht="15">
      <c r="A11" s="184" t="s">
        <v>1010</v>
      </c>
      <c r="B11" s="187">
        <v>1263</v>
      </c>
      <c r="C11" s="187">
        <v>17513</v>
      </c>
      <c r="D11" s="185"/>
      <c r="E11" s="184"/>
      <c r="F11" s="187"/>
      <c r="G11" s="187"/>
      <c r="U11" s="155"/>
      <c r="V11" s="155"/>
      <c r="W11" s="155"/>
      <c r="X11" s="155"/>
    </row>
    <row r="12" spans="1:24" ht="15">
      <c r="A12" s="184" t="s">
        <v>1011</v>
      </c>
      <c r="B12" s="187"/>
      <c r="C12" s="187">
        <v>0</v>
      </c>
      <c r="D12" s="185"/>
      <c r="E12" s="184"/>
      <c r="F12" s="187"/>
      <c r="G12" s="187"/>
      <c r="U12" s="155"/>
      <c r="V12" s="155"/>
      <c r="W12" s="155"/>
      <c r="X12" s="155"/>
    </row>
    <row r="13" spans="1:24" ht="15">
      <c r="A13" s="184"/>
      <c r="B13" s="187"/>
      <c r="C13" s="187"/>
      <c r="D13" s="185"/>
      <c r="E13" s="184"/>
      <c r="F13" s="187"/>
      <c r="G13" s="187"/>
      <c r="U13" s="155"/>
      <c r="V13" s="155"/>
      <c r="W13" s="155"/>
      <c r="X13" s="155"/>
    </row>
    <row r="14" spans="1:24" ht="15">
      <c r="A14" s="184"/>
      <c r="B14" s="607"/>
      <c r="C14" s="187"/>
      <c r="D14" s="185"/>
      <c r="E14" s="184"/>
      <c r="F14" s="607"/>
      <c r="G14" s="187"/>
      <c r="U14" s="155"/>
      <c r="V14" s="155"/>
      <c r="W14" s="155"/>
      <c r="X14" s="155"/>
    </row>
    <row r="15" spans="1:24" ht="15">
      <c r="A15" s="184"/>
      <c r="B15" s="607"/>
      <c r="C15" s="187"/>
      <c r="D15" s="185"/>
      <c r="E15" s="184"/>
      <c r="F15" s="607"/>
      <c r="G15" s="187"/>
      <c r="U15" s="155"/>
      <c r="V15" s="155"/>
      <c r="W15" s="155"/>
      <c r="X15" s="155"/>
    </row>
    <row r="16" spans="1:24" ht="15">
      <c r="A16" s="188" t="s">
        <v>3</v>
      </c>
      <c r="B16" s="608">
        <f>SUM($B$9:B15)</f>
        <v>3939</v>
      </c>
      <c r="C16" s="608">
        <f>SUM($C$9:C15)</f>
        <v>32846</v>
      </c>
      <c r="D16" s="407"/>
      <c r="E16" s="471" t="s">
        <v>3</v>
      </c>
      <c r="F16" s="406">
        <f>SUM($F$9:F15)</f>
        <v>0</v>
      </c>
      <c r="G16" s="406">
        <f>SUM($G$9:G15)</f>
        <v>0</v>
      </c>
      <c r="U16" s="155"/>
      <c r="V16" s="155"/>
      <c r="W16" s="155"/>
      <c r="X16" s="155"/>
    </row>
    <row r="17" spans="4:24" s="240" customFormat="1" ht="15">
      <c r="D17" s="185"/>
      <c r="E17" s="185"/>
      <c r="F17" s="187"/>
      <c r="G17" s="155"/>
      <c r="H17" s="155"/>
      <c r="I17" s="155"/>
      <c r="J17" s="155"/>
      <c r="K17" s="155"/>
      <c r="L17" s="155"/>
      <c r="M17" s="155"/>
      <c r="N17" s="155"/>
      <c r="O17" s="155"/>
      <c r="P17" s="155"/>
      <c r="Q17" s="155"/>
      <c r="R17" s="155"/>
      <c r="S17" s="155"/>
      <c r="T17" s="155"/>
      <c r="U17" s="155"/>
      <c r="V17" s="155"/>
      <c r="W17" s="155"/>
      <c r="X17" s="155"/>
    </row>
    <row r="18" spans="4:24" s="240" customFormat="1" ht="15">
      <c r="D18" s="185"/>
      <c r="E18" s="185"/>
      <c r="F18" s="187"/>
      <c r="G18" s="155"/>
      <c r="H18" s="155"/>
      <c r="I18" s="155"/>
      <c r="J18" s="155"/>
      <c r="K18" s="155"/>
      <c r="L18" s="155"/>
      <c r="M18" s="155"/>
      <c r="N18" s="155"/>
      <c r="O18" s="155"/>
      <c r="P18" s="155"/>
      <c r="Q18" s="155"/>
      <c r="R18" s="155"/>
      <c r="S18" s="155"/>
      <c r="T18" s="155"/>
      <c r="U18" s="155"/>
      <c r="V18" s="155"/>
      <c r="W18" s="155"/>
      <c r="X18" s="155"/>
    </row>
    <row r="19" spans="4:24" s="240" customFormat="1" ht="15">
      <c r="D19" s="185"/>
      <c r="E19" s="185"/>
      <c r="F19" s="187"/>
      <c r="G19" s="155"/>
      <c r="H19" s="155"/>
      <c r="I19" s="155"/>
      <c r="J19" s="155"/>
      <c r="K19" s="155"/>
      <c r="L19" s="155"/>
      <c r="M19" s="155"/>
      <c r="N19" s="155"/>
      <c r="O19" s="155"/>
      <c r="P19" s="155"/>
      <c r="Q19" s="155"/>
      <c r="R19" s="155"/>
      <c r="S19" s="155"/>
      <c r="T19" s="155"/>
      <c r="U19" s="155"/>
      <c r="V19" s="155"/>
      <c r="W19" s="155"/>
      <c r="X19" s="155"/>
    </row>
    <row r="20" spans="4:24" s="240" customFormat="1" ht="15">
      <c r="D20" s="185"/>
      <c r="E20" s="185"/>
      <c r="F20" s="187"/>
      <c r="G20" s="155"/>
      <c r="H20" s="155"/>
      <c r="I20" s="155"/>
      <c r="J20" s="155"/>
      <c r="K20" s="155"/>
      <c r="L20" s="155"/>
      <c r="M20" s="155"/>
      <c r="N20" s="155"/>
      <c r="O20" s="155"/>
      <c r="P20" s="155"/>
      <c r="Q20" s="155"/>
      <c r="R20" s="155"/>
      <c r="S20" s="155"/>
      <c r="T20" s="155"/>
      <c r="U20" s="155"/>
      <c r="V20" s="155"/>
      <c r="W20" s="155"/>
      <c r="X20" s="155"/>
    </row>
    <row r="21" spans="4:24" s="240" customFormat="1" ht="15">
      <c r="D21" s="185"/>
      <c r="E21" s="185"/>
      <c r="F21" s="187"/>
      <c r="G21" s="155"/>
      <c r="H21" s="155"/>
      <c r="I21" s="155"/>
      <c r="J21" s="155"/>
      <c r="K21" s="155"/>
      <c r="L21" s="155"/>
      <c r="M21" s="155"/>
      <c r="N21" s="155"/>
      <c r="O21" s="155"/>
      <c r="P21" s="155"/>
      <c r="Q21" s="155"/>
      <c r="R21" s="155"/>
      <c r="S21" s="155"/>
      <c r="T21" s="155"/>
      <c r="U21" s="155"/>
      <c r="V21" s="155"/>
      <c r="W21" s="155"/>
      <c r="X21" s="155"/>
    </row>
    <row r="22" spans="4:24" s="240" customFormat="1" ht="15">
      <c r="D22" s="185"/>
      <c r="E22" s="185"/>
      <c r="F22" s="187"/>
      <c r="G22" s="155"/>
      <c r="H22" s="155"/>
      <c r="I22" s="155"/>
      <c r="J22" s="155"/>
      <c r="K22" s="155"/>
      <c r="L22" s="155"/>
      <c r="M22" s="155"/>
      <c r="N22" s="155"/>
      <c r="O22" s="155"/>
      <c r="P22" s="155"/>
      <c r="Q22" s="155"/>
      <c r="R22" s="155"/>
      <c r="S22" s="155"/>
      <c r="T22" s="155"/>
      <c r="U22" s="155"/>
      <c r="V22" s="155"/>
      <c r="W22" s="155"/>
      <c r="X22" s="155"/>
    </row>
    <row r="23" spans="4:24" s="240" customFormat="1" ht="15">
      <c r="D23" s="185"/>
      <c r="E23" s="185"/>
      <c r="F23" s="187"/>
      <c r="G23" s="155"/>
      <c r="H23" s="155"/>
      <c r="I23" s="155"/>
      <c r="J23" s="155"/>
      <c r="K23" s="155"/>
      <c r="L23" s="155"/>
      <c r="M23" s="155"/>
      <c r="N23" s="155"/>
      <c r="O23" s="155"/>
      <c r="P23" s="155"/>
      <c r="Q23" s="155"/>
      <c r="R23" s="155"/>
      <c r="S23" s="155"/>
      <c r="T23" s="155"/>
      <c r="U23" s="155"/>
      <c r="V23" s="155"/>
      <c r="W23" s="155"/>
      <c r="X23" s="155"/>
    </row>
    <row r="24" spans="4:24" s="240" customFormat="1" ht="15">
      <c r="D24" s="185"/>
      <c r="E24" s="185"/>
      <c r="F24" s="187"/>
      <c r="G24" s="155"/>
      <c r="H24" s="155"/>
      <c r="I24" s="155"/>
      <c r="J24" s="155"/>
      <c r="K24" s="155"/>
      <c r="L24" s="155"/>
      <c r="M24" s="155"/>
      <c r="N24" s="155"/>
      <c r="O24" s="155"/>
      <c r="P24" s="155"/>
      <c r="Q24" s="155"/>
      <c r="R24" s="155"/>
      <c r="S24" s="155"/>
      <c r="T24" s="155"/>
      <c r="U24" s="155"/>
      <c r="V24" s="155"/>
      <c r="W24" s="155"/>
      <c r="X24" s="155"/>
    </row>
    <row r="25" spans="4:24" s="240" customFormat="1" ht="15">
      <c r="D25" s="185"/>
      <c r="E25" s="185"/>
      <c r="F25" s="187"/>
      <c r="G25" s="155"/>
      <c r="H25" s="155"/>
      <c r="I25" s="155"/>
      <c r="J25" s="155"/>
      <c r="K25" s="155"/>
      <c r="L25" s="155"/>
      <c r="M25" s="155"/>
      <c r="N25" s="155"/>
      <c r="O25" s="155"/>
      <c r="P25" s="155"/>
      <c r="Q25" s="155"/>
      <c r="R25" s="155"/>
      <c r="S25" s="155"/>
      <c r="T25" s="155"/>
      <c r="U25" s="155"/>
      <c r="V25" s="155"/>
      <c r="W25" s="155"/>
      <c r="X25" s="155"/>
    </row>
  </sheetData>
  <sheetProtection/>
  <mergeCells count="2">
    <mergeCell ref="A4:E4"/>
    <mergeCell ref="B6:C6"/>
  </mergeCells>
  <hyperlinks>
    <hyperlink ref="E1" location="ER!A1" display="ER"/>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Hoja34"/>
  <dimension ref="A1:AE23"/>
  <sheetViews>
    <sheetView showGridLines="0" zoomScalePageLayoutView="0" workbookViewId="0" topLeftCell="A1">
      <selection activeCell="A1" sqref="A1"/>
    </sheetView>
  </sheetViews>
  <sheetFormatPr defaultColWidth="11.421875" defaultRowHeight="15"/>
  <cols>
    <col min="1" max="1" width="35.8515625" style="155" customWidth="1"/>
    <col min="2" max="2" width="18.421875" style="155" customWidth="1"/>
    <col min="3" max="3" width="16.7109375" style="155" customWidth="1"/>
    <col min="4" max="4" width="11.421875" style="155" customWidth="1"/>
    <col min="5" max="5" width="25.7109375" style="155" customWidth="1"/>
    <col min="6" max="6" width="17.28125" style="155" customWidth="1"/>
    <col min="7" max="7" width="16.00390625" style="155" customWidth="1"/>
    <col min="8" max="15" width="11.421875" style="155" customWidth="1"/>
  </cols>
  <sheetData>
    <row r="1" spans="1:5" ht="15">
      <c r="A1" s="155" t="str">
        <f>Indice!C1</f>
        <v>IMPORT CENTER S.A.</v>
      </c>
      <c r="E1" s="178" t="s">
        <v>146</v>
      </c>
    </row>
    <row r="5" spans="1:30" ht="15">
      <c r="A5" s="354" t="s">
        <v>358</v>
      </c>
      <c r="B5" s="354"/>
      <c r="C5" s="354"/>
      <c r="D5" s="354"/>
      <c r="E5" s="354"/>
      <c r="F5" s="354"/>
      <c r="G5" s="354"/>
      <c r="H5" s="34"/>
      <c r="I5" s="34"/>
      <c r="J5" s="34"/>
      <c r="K5" s="34"/>
      <c r="L5" s="34"/>
      <c r="M5" s="34"/>
      <c r="N5" s="34"/>
      <c r="O5" s="34"/>
      <c r="P5" s="34"/>
      <c r="Q5" s="34"/>
      <c r="R5" s="34"/>
      <c r="S5" s="34"/>
      <c r="T5" s="34"/>
      <c r="U5" s="34"/>
      <c r="V5" s="34"/>
      <c r="W5" s="34"/>
      <c r="X5" s="34"/>
      <c r="Y5" s="34"/>
      <c r="Z5" s="34"/>
      <c r="AA5" s="34"/>
      <c r="AB5" s="34"/>
      <c r="AC5" s="34"/>
      <c r="AD5" s="34"/>
    </row>
    <row r="6" ht="15">
      <c r="A6" s="382" t="s">
        <v>269</v>
      </c>
    </row>
    <row r="7" ht="15">
      <c r="C7" s="382"/>
    </row>
    <row r="8" spans="1:31" ht="15">
      <c r="A8" s="183" t="s">
        <v>157</v>
      </c>
      <c r="B8" s="446">
        <f>_xlfn.IFERROR(IF(Indice!B6="","2XX2",YEAR(Indice!B6)),"2XX2")</f>
        <v>2021</v>
      </c>
      <c r="C8" s="446">
        <f>+_xlfn.IFERROR(YEAR(Indice!B6-365),"2XX1")</f>
        <v>2020</v>
      </c>
      <c r="D8" s="34"/>
      <c r="E8" s="183" t="s">
        <v>159</v>
      </c>
      <c r="F8" s="446">
        <f>_xlfn.IFERROR(IF(Indice!B6="","2XX2",YEAR(Indice!B6)),"2XX2")</f>
        <v>2021</v>
      </c>
      <c r="G8" s="446">
        <f>+_xlfn.IFERROR(YEAR(Indice!B6-365),"2XX1")</f>
        <v>2020</v>
      </c>
      <c r="H8" s="34"/>
      <c r="I8" s="34"/>
      <c r="J8" s="34"/>
      <c r="K8" s="34"/>
      <c r="L8" s="34"/>
      <c r="M8" s="34"/>
      <c r="N8" s="34"/>
      <c r="O8" s="34"/>
      <c r="P8" s="34"/>
      <c r="Q8" s="34"/>
      <c r="R8" s="34"/>
      <c r="S8" s="34"/>
      <c r="T8" s="34"/>
      <c r="U8" s="34"/>
      <c r="V8" s="34"/>
      <c r="W8" s="34"/>
      <c r="X8" s="34"/>
      <c r="Y8" s="34"/>
      <c r="Z8" s="34"/>
      <c r="AA8" s="34"/>
      <c r="AB8" s="34"/>
      <c r="AC8" s="34"/>
      <c r="AD8" s="34"/>
      <c r="AE8" s="34"/>
    </row>
    <row r="9" spans="1:31" ht="15">
      <c r="A9" s="34" t="s">
        <v>1008</v>
      </c>
      <c r="B9" s="604">
        <v>38010</v>
      </c>
      <c r="C9" s="604">
        <v>86173</v>
      </c>
      <c r="D9" s="34"/>
      <c r="E9" s="34" t="s">
        <v>1012</v>
      </c>
      <c r="F9" s="604">
        <v>317783</v>
      </c>
      <c r="G9" s="604">
        <v>414624</v>
      </c>
      <c r="H9" s="34"/>
      <c r="I9" s="34"/>
      <c r="J9" s="34"/>
      <c r="K9" s="34"/>
      <c r="L9" s="34"/>
      <c r="M9" s="34"/>
      <c r="N9" s="34"/>
      <c r="O9" s="34"/>
      <c r="P9" s="34"/>
      <c r="Q9" s="34"/>
      <c r="R9" s="34"/>
      <c r="S9" s="34"/>
      <c r="T9" s="34"/>
      <c r="U9" s="34"/>
      <c r="V9" s="34"/>
      <c r="W9" s="34"/>
      <c r="X9" s="34"/>
      <c r="Y9" s="34"/>
      <c r="Z9" s="34"/>
      <c r="AA9" s="34"/>
      <c r="AB9" s="34"/>
      <c r="AC9" s="34"/>
      <c r="AD9" s="34"/>
      <c r="AE9" s="34"/>
    </row>
    <row r="10" spans="1:31" s="240" customFormat="1" ht="15">
      <c r="A10" s="34"/>
      <c r="B10" s="604"/>
      <c r="C10" s="604"/>
      <c r="D10" s="34"/>
      <c r="E10" s="34" t="s">
        <v>1013</v>
      </c>
      <c r="F10" s="604">
        <v>39787</v>
      </c>
      <c r="G10" s="604">
        <v>29121</v>
      </c>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s="240" customFormat="1" ht="15">
      <c r="A11" s="34"/>
      <c r="B11" s="604"/>
      <c r="C11" s="604"/>
      <c r="D11" s="34"/>
      <c r="E11" s="34" t="s">
        <v>1014</v>
      </c>
      <c r="F11" s="604">
        <v>203149</v>
      </c>
      <c r="G11" s="604">
        <v>84945</v>
      </c>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2:31" ht="15">
      <c r="B12" s="604"/>
      <c r="C12" s="604"/>
      <c r="D12" s="34"/>
      <c r="E12" s="155" t="s">
        <v>1008</v>
      </c>
      <c r="F12" s="604">
        <v>471436</v>
      </c>
      <c r="G12" s="604">
        <v>73314</v>
      </c>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ht="15">
      <c r="A13" s="34"/>
      <c r="B13" s="604"/>
      <c r="C13" s="604"/>
      <c r="D13" s="34"/>
      <c r="E13" s="34"/>
      <c r="F13" s="604"/>
      <c r="G13" s="60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5">
      <c r="A14" s="183" t="s">
        <v>158</v>
      </c>
      <c r="B14" s="189">
        <f>SUM($B9:B13)</f>
        <v>38010</v>
      </c>
      <c r="C14" s="189">
        <f>SUM($C9:C13)</f>
        <v>86173</v>
      </c>
      <c r="D14" s="34"/>
      <c r="E14" s="183" t="s">
        <v>280</v>
      </c>
      <c r="F14" s="609">
        <f>SUM($F9:F13)</f>
        <v>1032155</v>
      </c>
      <c r="G14" s="609">
        <f>SUM($G9:G13)</f>
        <v>602004</v>
      </c>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15">
      <c r="A15" s="34"/>
      <c r="B15" s="190"/>
      <c r="C15" s="190"/>
      <c r="D15" s="34"/>
      <c r="F15" s="597"/>
      <c r="G15" s="597"/>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7" spans="4:31" ht="1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4:31" ht="1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4:31" s="240" customFormat="1" ht="1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4:31" s="240" customFormat="1" ht="1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4:31" ht="1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4:31" ht="1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row r="23" spans="4:31" ht="15">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row>
  </sheetData>
  <sheetProtection/>
  <hyperlinks>
    <hyperlink ref="E1" location="ER!A1" display="ER"/>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Hoja35"/>
  <dimension ref="A1:AB17"/>
  <sheetViews>
    <sheetView zoomScalePageLayoutView="0" workbookViewId="0" topLeftCell="A1">
      <selection activeCell="B9" sqref="B9"/>
    </sheetView>
  </sheetViews>
  <sheetFormatPr defaultColWidth="11.421875" defaultRowHeight="15"/>
  <cols>
    <col min="1" max="1" width="38.00390625" style="155" customWidth="1"/>
    <col min="2" max="2" width="16.57421875" style="155" customWidth="1"/>
    <col min="3" max="3" width="18.421875" style="155" customWidth="1"/>
    <col min="4" max="25" width="11.421875" style="155" customWidth="1"/>
  </cols>
  <sheetData>
    <row r="1" spans="1:5" ht="15">
      <c r="A1" s="155" t="str">
        <f>Indice!C1</f>
        <v>IMPORT CENTER S.A.</v>
      </c>
      <c r="E1" s="178" t="s">
        <v>146</v>
      </c>
    </row>
    <row r="4" spans="1:28" s="381" customFormat="1" ht="15.75" customHeight="1">
      <c r="A4" s="386" t="s">
        <v>225</v>
      </c>
      <c r="B4" s="472"/>
      <c r="C4" s="472"/>
      <c r="D4" s="472"/>
      <c r="E4" s="472"/>
      <c r="F4" s="184"/>
      <c r="G4" s="187"/>
      <c r="H4" s="185"/>
      <c r="I4" s="155"/>
      <c r="J4" s="155"/>
      <c r="K4" s="155"/>
      <c r="L4" s="155"/>
      <c r="M4" s="155"/>
      <c r="N4" s="155"/>
      <c r="O4" s="155"/>
      <c r="P4" s="155"/>
      <c r="Q4" s="155"/>
      <c r="R4" s="155"/>
      <c r="S4" s="155"/>
      <c r="T4" s="155"/>
      <c r="U4" s="155"/>
      <c r="V4" s="155"/>
      <c r="W4" s="155"/>
      <c r="X4" s="155"/>
      <c r="Y4" s="155"/>
      <c r="Z4" s="155"/>
      <c r="AA4" s="155"/>
      <c r="AB4" s="155"/>
    </row>
    <row r="5" spans="1:28" s="240" customFormat="1" ht="15.75" customHeight="1">
      <c r="A5" s="473" t="s">
        <v>269</v>
      </c>
      <c r="B5" s="473"/>
      <c r="C5" s="267"/>
      <c r="D5" s="267"/>
      <c r="E5" s="267"/>
      <c r="F5" s="184"/>
      <c r="G5" s="187"/>
      <c r="H5" s="185"/>
      <c r="I5" s="155"/>
      <c r="J5" s="155"/>
      <c r="K5" s="155"/>
      <c r="L5" s="155"/>
      <c r="M5" s="155"/>
      <c r="N5" s="155"/>
      <c r="O5" s="155"/>
      <c r="P5" s="155"/>
      <c r="Q5" s="155"/>
      <c r="R5" s="155"/>
      <c r="S5" s="155"/>
      <c r="T5" s="155"/>
      <c r="U5" s="155"/>
      <c r="V5" s="155"/>
      <c r="W5" s="155"/>
      <c r="X5" s="155"/>
      <c r="Y5" s="155"/>
      <c r="Z5" s="155"/>
      <c r="AA5" s="155"/>
      <c r="AB5" s="155"/>
    </row>
    <row r="6" spans="1:28" ht="15">
      <c r="A6" s="184"/>
      <c r="B6" s="754"/>
      <c r="C6" s="754"/>
      <c r="D6" s="185"/>
      <c r="E6" s="185"/>
      <c r="F6" s="184"/>
      <c r="G6" s="187"/>
      <c r="H6" s="185"/>
      <c r="Z6" s="155"/>
      <c r="AA6" s="155"/>
      <c r="AB6" s="155"/>
    </row>
    <row r="7" spans="1:28" ht="15">
      <c r="A7" s="184"/>
      <c r="D7" s="185"/>
      <c r="E7" s="185"/>
      <c r="F7" s="184"/>
      <c r="G7" s="187"/>
      <c r="H7" s="185"/>
      <c r="Z7" s="155"/>
      <c r="AA7" s="155"/>
      <c r="AB7" s="155"/>
    </row>
    <row r="8" spans="1:28" ht="15">
      <c r="A8" s="188" t="s">
        <v>160</v>
      </c>
      <c r="B8" s="446">
        <f>_xlfn.IFERROR(IF(Indice!B6="","2XX2",YEAR(Indice!B6)),"2XX2")</f>
        <v>2021</v>
      </c>
      <c r="C8" s="446">
        <f>+_xlfn.IFERROR(YEAR(Indice!B6-365),"2XX1")</f>
        <v>2020</v>
      </c>
      <c r="D8" s="185"/>
      <c r="E8" s="185"/>
      <c r="F8" s="184"/>
      <c r="G8" s="187"/>
      <c r="H8" s="185"/>
      <c r="Z8" s="155"/>
      <c r="AA8" s="155"/>
      <c r="AB8" s="155"/>
    </row>
    <row r="9" spans="1:28" ht="15">
      <c r="A9" s="184" t="s">
        <v>152</v>
      </c>
      <c r="B9" s="184"/>
      <c r="C9" s="184"/>
      <c r="D9" s="185"/>
      <c r="E9" s="185"/>
      <c r="F9" s="184"/>
      <c r="G9" s="187"/>
      <c r="H9" s="185"/>
      <c r="Z9" s="155"/>
      <c r="AA9" s="155"/>
      <c r="AB9" s="155"/>
    </row>
    <row r="10" spans="1:28" ht="15">
      <c r="A10" s="184"/>
      <c r="B10" s="184"/>
      <c r="C10" s="184"/>
      <c r="D10" s="185"/>
      <c r="E10" s="185"/>
      <c r="F10" s="184"/>
      <c r="G10" s="187"/>
      <c r="H10" s="185"/>
      <c r="Z10" s="155"/>
      <c r="AA10" s="155"/>
      <c r="AB10" s="155"/>
    </row>
    <row r="11" spans="1:28" ht="15">
      <c r="A11" s="184"/>
      <c r="B11" s="184"/>
      <c r="C11" s="184"/>
      <c r="D11" s="185"/>
      <c r="E11" s="185"/>
      <c r="F11" s="184"/>
      <c r="G11" s="187"/>
      <c r="H11" s="185"/>
      <c r="Z11" s="155"/>
      <c r="AA11" s="155"/>
      <c r="AB11" s="155"/>
    </row>
    <row r="12" spans="1:28" ht="15">
      <c r="A12" s="184"/>
      <c r="B12" s="184"/>
      <c r="C12" s="184"/>
      <c r="D12" s="185"/>
      <c r="E12" s="185"/>
      <c r="F12" s="184"/>
      <c r="G12" s="187"/>
      <c r="H12" s="185"/>
      <c r="Z12" s="155"/>
      <c r="AA12" s="155"/>
      <c r="AB12" s="155"/>
    </row>
    <row r="13" spans="1:28" ht="15">
      <c r="A13" s="184"/>
      <c r="B13" s="184"/>
      <c r="C13" s="184"/>
      <c r="D13" s="185"/>
      <c r="E13" s="185"/>
      <c r="F13" s="184"/>
      <c r="G13" s="187"/>
      <c r="H13" s="185"/>
      <c r="Z13" s="155"/>
      <c r="AA13" s="155"/>
      <c r="AB13" s="155"/>
    </row>
    <row r="14" spans="1:28" ht="15">
      <c r="A14" s="184"/>
      <c r="B14" s="186"/>
      <c r="C14" s="184"/>
      <c r="D14" s="185"/>
      <c r="E14" s="185"/>
      <c r="F14" s="184"/>
      <c r="G14" s="187"/>
      <c r="H14" s="185"/>
      <c r="Z14" s="155"/>
      <c r="AA14" s="155"/>
      <c r="AB14" s="155"/>
    </row>
    <row r="15" spans="1:28" ht="15">
      <c r="A15" s="184"/>
      <c r="B15" s="186"/>
      <c r="C15" s="184"/>
      <c r="D15" s="185"/>
      <c r="E15" s="185"/>
      <c r="F15" s="184"/>
      <c r="G15" s="187"/>
      <c r="H15" s="185"/>
      <c r="Z15" s="155"/>
      <c r="AA15" s="155"/>
      <c r="AB15" s="155"/>
    </row>
    <row r="16" spans="1:28" ht="15">
      <c r="A16" s="188" t="s">
        <v>3</v>
      </c>
      <c r="B16" s="189">
        <f>SUM($B9:B15)</f>
        <v>0</v>
      </c>
      <c r="C16" s="189">
        <f>SUM($C9:C15)</f>
        <v>0</v>
      </c>
      <c r="D16" s="185"/>
      <c r="E16" s="185"/>
      <c r="F16" s="184"/>
      <c r="G16" s="187"/>
      <c r="H16" s="185"/>
      <c r="Z16" s="155"/>
      <c r="AA16" s="155"/>
      <c r="AB16" s="155"/>
    </row>
    <row r="17" spans="1:28" ht="15">
      <c r="A17" s="184"/>
      <c r="B17" s="186"/>
      <c r="C17" s="185"/>
      <c r="D17" s="185"/>
      <c r="E17" s="185"/>
      <c r="F17" s="184"/>
      <c r="G17" s="187"/>
      <c r="H17" s="185"/>
      <c r="Z17" s="155"/>
      <c r="AA17" s="155"/>
      <c r="AB17" s="155"/>
    </row>
  </sheetData>
  <sheetProtection/>
  <mergeCells count="1">
    <mergeCell ref="B6:C6"/>
  </mergeCells>
  <hyperlinks>
    <hyperlink ref="E1" location="ER!A1" display="ER"/>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Hoja36"/>
  <dimension ref="A1:V17"/>
  <sheetViews>
    <sheetView zoomScalePageLayoutView="0" workbookViewId="0" topLeftCell="A1">
      <selection activeCell="B9" sqref="B9"/>
    </sheetView>
  </sheetViews>
  <sheetFormatPr defaultColWidth="11.421875" defaultRowHeight="15"/>
  <cols>
    <col min="1" max="1" width="38.00390625" style="155" customWidth="1"/>
    <col min="2" max="2" width="18.421875" style="155" customWidth="1"/>
    <col min="3" max="3" width="17.7109375" style="155" customWidth="1"/>
    <col min="4" max="22" width="11.421875" style="155" customWidth="1"/>
  </cols>
  <sheetData>
    <row r="1" spans="1:5" ht="15">
      <c r="A1" s="155" t="str">
        <f>Indice!C1</f>
        <v>IMPORT CENTER S.A.</v>
      </c>
      <c r="E1" s="178" t="s">
        <v>146</v>
      </c>
    </row>
    <row r="4" spans="1:8" ht="15">
      <c r="A4" s="386" t="s">
        <v>360</v>
      </c>
      <c r="B4" s="386"/>
      <c r="C4" s="386"/>
      <c r="D4" s="386"/>
      <c r="E4" s="386"/>
      <c r="F4" s="184"/>
      <c r="G4" s="187"/>
      <c r="H4" s="185"/>
    </row>
    <row r="5" spans="1:8" ht="15">
      <c r="A5" s="755" t="s">
        <v>269</v>
      </c>
      <c r="B5" s="755"/>
      <c r="C5" s="185"/>
      <c r="D5" s="185"/>
      <c r="E5" s="185"/>
      <c r="F5" s="184"/>
      <c r="G5" s="187"/>
      <c r="H5" s="185"/>
    </row>
    <row r="6" spans="1:22" s="240" customFormat="1" ht="15">
      <c r="A6" s="184"/>
      <c r="B6" s="754"/>
      <c r="C6" s="754"/>
      <c r="D6" s="185"/>
      <c r="E6" s="185"/>
      <c r="F6" s="184"/>
      <c r="G6" s="187"/>
      <c r="H6" s="185"/>
      <c r="I6" s="155"/>
      <c r="J6" s="155"/>
      <c r="K6" s="155"/>
      <c r="L6" s="155"/>
      <c r="M6" s="155"/>
      <c r="N6" s="155"/>
      <c r="O6" s="155"/>
      <c r="P6" s="155"/>
      <c r="Q6" s="155"/>
      <c r="R6" s="155"/>
      <c r="S6" s="155"/>
      <c r="T6" s="155"/>
      <c r="U6" s="155"/>
      <c r="V6" s="155"/>
    </row>
    <row r="7" spans="1:8" ht="15">
      <c r="A7" s="184"/>
      <c r="D7" s="185"/>
      <c r="E7" s="185"/>
      <c r="F7" s="184"/>
      <c r="G7" s="187"/>
      <c r="H7" s="185"/>
    </row>
    <row r="8" spans="1:8" ht="15">
      <c r="A8" s="188" t="s">
        <v>161</v>
      </c>
      <c r="B8" s="446">
        <f>_xlfn.IFERROR(IF(Indice!B6="","2XX2",YEAR(Indice!B6)),"2XX2")</f>
        <v>2021</v>
      </c>
      <c r="C8" s="446">
        <f>+_xlfn.IFERROR(YEAR(Indice!B6-365),"2XX1")</f>
        <v>2020</v>
      </c>
      <c r="D8" s="185"/>
      <c r="E8" s="185"/>
      <c r="F8" s="184"/>
      <c r="G8" s="187"/>
      <c r="H8" s="185"/>
    </row>
    <row r="9" spans="1:8" ht="15">
      <c r="A9" s="184" t="s">
        <v>152</v>
      </c>
      <c r="B9" s="184"/>
      <c r="C9" s="184"/>
      <c r="D9" s="185"/>
      <c r="E9" s="185"/>
      <c r="F9" s="184"/>
      <c r="G9" s="187"/>
      <c r="H9" s="185"/>
    </row>
    <row r="10" spans="1:8" ht="15">
      <c r="A10" s="184"/>
      <c r="B10" s="184"/>
      <c r="C10" s="184"/>
      <c r="D10" s="185"/>
      <c r="E10" s="185"/>
      <c r="F10" s="184"/>
      <c r="G10" s="187"/>
      <c r="H10" s="185"/>
    </row>
    <row r="11" spans="1:8" ht="15">
      <c r="A11" s="184"/>
      <c r="B11" s="184"/>
      <c r="C11" s="184"/>
      <c r="D11" s="185"/>
      <c r="E11" s="185"/>
      <c r="F11" s="184"/>
      <c r="G11" s="187"/>
      <c r="H11" s="185"/>
    </row>
    <row r="12" spans="1:8" ht="15">
      <c r="A12" s="184"/>
      <c r="B12" s="184"/>
      <c r="C12" s="184"/>
      <c r="D12" s="185"/>
      <c r="E12" s="185"/>
      <c r="F12" s="184"/>
      <c r="G12" s="187"/>
      <c r="H12" s="185"/>
    </row>
    <row r="13" spans="1:8" ht="15">
      <c r="A13" s="184"/>
      <c r="B13" s="184"/>
      <c r="C13" s="184"/>
      <c r="D13" s="185"/>
      <c r="E13" s="185"/>
      <c r="F13" s="184"/>
      <c r="G13" s="187"/>
      <c r="H13" s="185"/>
    </row>
    <row r="14" spans="1:8" ht="15">
      <c r="A14" s="184"/>
      <c r="B14" s="186"/>
      <c r="C14" s="184"/>
      <c r="D14" s="185"/>
      <c r="E14" s="185"/>
      <c r="F14" s="184"/>
      <c r="G14" s="187"/>
      <c r="H14" s="185"/>
    </row>
    <row r="15" spans="1:8" ht="15">
      <c r="A15" s="184"/>
      <c r="B15" s="186"/>
      <c r="C15" s="184"/>
      <c r="D15" s="185"/>
      <c r="E15" s="185"/>
      <c r="F15" s="184"/>
      <c r="G15" s="187"/>
      <c r="H15" s="185"/>
    </row>
    <row r="16" spans="1:8" ht="15">
      <c r="A16" s="188" t="s">
        <v>3</v>
      </c>
      <c r="B16" s="189">
        <f>SUM($B9:B15)</f>
        <v>0</v>
      </c>
      <c r="C16" s="189">
        <f>SUM($C9:C15)</f>
        <v>0</v>
      </c>
      <c r="D16" s="185"/>
      <c r="E16" s="185"/>
      <c r="F16" s="184"/>
      <c r="G16" s="187"/>
      <c r="H16" s="185"/>
    </row>
    <row r="17" spans="1:8" ht="15">
      <c r="A17" s="184"/>
      <c r="B17" s="186"/>
      <c r="C17" s="185"/>
      <c r="D17" s="185"/>
      <c r="E17" s="185"/>
      <c r="F17" s="184"/>
      <c r="G17" s="187"/>
      <c r="H17" s="185"/>
    </row>
  </sheetData>
  <sheetProtection/>
  <mergeCells count="2">
    <mergeCell ref="A5:B5"/>
    <mergeCell ref="B6:C6"/>
  </mergeCells>
  <hyperlinks>
    <hyperlink ref="E1" location="ER!A1" display="ER"/>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Hoja37"/>
  <dimension ref="A1:G15"/>
  <sheetViews>
    <sheetView zoomScalePageLayoutView="0" workbookViewId="0" topLeftCell="A1">
      <selection activeCell="C9" sqref="C9"/>
    </sheetView>
  </sheetViews>
  <sheetFormatPr defaultColWidth="11.421875" defaultRowHeight="15"/>
  <cols>
    <col min="1" max="1" width="37.421875" style="155" customWidth="1"/>
    <col min="2" max="3" width="17.28125" style="155" customWidth="1"/>
    <col min="4" max="26" width="11.421875" style="155" customWidth="1"/>
  </cols>
  <sheetData>
    <row r="1" spans="1:5" ht="15">
      <c r="A1" s="155" t="str">
        <f>Indice!C1</f>
        <v>IMPORT CENTER S.A.</v>
      </c>
      <c r="E1" s="178" t="s">
        <v>146</v>
      </c>
    </row>
    <row r="4" spans="1:7" ht="15">
      <c r="A4" s="390" t="s">
        <v>362</v>
      </c>
      <c r="B4" s="390"/>
      <c r="C4" s="390"/>
      <c r="D4" s="390"/>
      <c r="E4" s="390"/>
      <c r="F4" s="184"/>
      <c r="G4" s="187"/>
    </row>
    <row r="5" spans="1:7" ht="15">
      <c r="A5" s="408" t="s">
        <v>251</v>
      </c>
      <c r="B5" s="186"/>
      <c r="C5" s="185"/>
      <c r="D5" s="185"/>
      <c r="E5" s="185"/>
      <c r="F5" s="184"/>
      <c r="G5" s="187"/>
    </row>
    <row r="6" spans="1:7" ht="15">
      <c r="A6" s="184"/>
      <c r="B6" s="754"/>
      <c r="C6" s="754"/>
      <c r="D6" s="185"/>
      <c r="E6" s="185"/>
      <c r="F6" s="184"/>
      <c r="G6" s="187"/>
    </row>
    <row r="7" spans="2:7" ht="15">
      <c r="B7" s="446">
        <f>_xlfn.IFERROR(IF(Indice!B6="","2XX2",YEAR(Indice!B6)),"2XX2")</f>
        <v>2021</v>
      </c>
      <c r="C7" s="446">
        <f>+_xlfn.IFERROR(YEAR(Indice!B6-365),"2XX1")</f>
        <v>2020</v>
      </c>
      <c r="D7" s="185"/>
      <c r="E7" s="185"/>
      <c r="F7" s="184"/>
      <c r="G7" s="187"/>
    </row>
    <row r="8" spans="1:7" ht="15">
      <c r="A8" s="188" t="s">
        <v>46</v>
      </c>
      <c r="B8" s="184">
        <v>108253</v>
      </c>
      <c r="C8" s="184">
        <v>0</v>
      </c>
      <c r="D8" s="185"/>
      <c r="E8" s="185"/>
      <c r="F8" s="184"/>
      <c r="G8" s="187"/>
    </row>
    <row r="9" spans="1:7" ht="15">
      <c r="A9" s="184"/>
      <c r="B9" s="184"/>
      <c r="C9" s="184"/>
      <c r="D9" s="185"/>
      <c r="E9" s="185"/>
      <c r="F9" s="184"/>
      <c r="G9" s="187"/>
    </row>
    <row r="10" spans="1:7" ht="15">
      <c r="A10" s="184"/>
      <c r="B10" s="184"/>
      <c r="C10" s="184"/>
      <c r="D10" s="185"/>
      <c r="E10" s="185"/>
      <c r="F10" s="184"/>
      <c r="G10" s="187"/>
    </row>
    <row r="11" spans="1:7" ht="15">
      <c r="A11" s="184"/>
      <c r="B11" s="184"/>
      <c r="C11" s="184"/>
      <c r="D11" s="185"/>
      <c r="E11" s="185"/>
      <c r="F11" s="184"/>
      <c r="G11" s="187"/>
    </row>
    <row r="12" spans="1:7" ht="15">
      <c r="A12" s="184"/>
      <c r="B12" s="186"/>
      <c r="C12" s="184"/>
      <c r="D12" s="185"/>
      <c r="E12" s="185"/>
      <c r="F12" s="184"/>
      <c r="G12" s="187"/>
    </row>
    <row r="13" spans="1:7" ht="15">
      <c r="A13" s="184"/>
      <c r="B13" s="186"/>
      <c r="C13" s="184"/>
      <c r="D13" s="185"/>
      <c r="E13" s="185"/>
      <c r="F13" s="184"/>
      <c r="G13" s="187"/>
    </row>
    <row r="14" spans="1:7" ht="15">
      <c r="A14" s="188" t="s">
        <v>3</v>
      </c>
      <c r="B14" s="189">
        <f>SUM($B8:B13)</f>
        <v>108253</v>
      </c>
      <c r="C14" s="189">
        <f>SUM($C8:C13)</f>
        <v>0</v>
      </c>
      <c r="D14" s="185"/>
      <c r="E14" s="185"/>
      <c r="F14" s="184"/>
      <c r="G14" s="187"/>
    </row>
    <row r="15" spans="1:7" ht="15">
      <c r="A15" s="184"/>
      <c r="B15" s="186"/>
      <c r="C15" s="185"/>
      <c r="D15" s="185"/>
      <c r="E15" s="185"/>
      <c r="F15" s="184"/>
      <c r="G15" s="187"/>
    </row>
  </sheetData>
  <sheetProtection/>
  <mergeCells count="1">
    <mergeCell ref="B6:C6"/>
  </mergeCells>
  <hyperlinks>
    <hyperlink ref="E1" location="ER!A1" display="ER"/>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codeName="Hoja38"/>
  <dimension ref="A1:H16"/>
  <sheetViews>
    <sheetView zoomScalePageLayoutView="0" workbookViewId="0" topLeftCell="A1">
      <selection activeCell="B8" sqref="B8"/>
    </sheetView>
  </sheetViews>
  <sheetFormatPr defaultColWidth="11.421875" defaultRowHeight="15"/>
  <cols>
    <col min="1" max="1" width="27.140625" style="155" customWidth="1"/>
    <col min="2" max="2" width="18.421875" style="155" customWidth="1"/>
    <col min="3" max="3" width="17.8515625" style="155" customWidth="1"/>
    <col min="4" max="22" width="11.421875" style="155" customWidth="1"/>
  </cols>
  <sheetData>
    <row r="1" spans="1:5" ht="15">
      <c r="A1" s="155" t="str">
        <f>Indice!C1</f>
        <v>IMPORT CENTER S.A.</v>
      </c>
      <c r="E1" s="178" t="s">
        <v>146</v>
      </c>
    </row>
    <row r="4" spans="1:8" ht="15">
      <c r="A4" s="386" t="s">
        <v>361</v>
      </c>
      <c r="B4" s="386"/>
      <c r="C4" s="386"/>
      <c r="D4" s="386"/>
      <c r="E4" s="386"/>
      <c r="F4" s="184"/>
      <c r="G4" s="187"/>
      <c r="H4" s="185"/>
    </row>
    <row r="5" spans="1:8" ht="15">
      <c r="A5" s="756" t="s">
        <v>251</v>
      </c>
      <c r="B5" s="756"/>
      <c r="C5" s="185"/>
      <c r="D5" s="185"/>
      <c r="E5" s="185"/>
      <c r="F5" s="184"/>
      <c r="G5" s="187"/>
      <c r="H5" s="185"/>
    </row>
    <row r="6" spans="1:8" ht="15">
      <c r="A6" s="184"/>
      <c r="D6" s="185"/>
      <c r="E6" s="185"/>
      <c r="F6" s="184"/>
      <c r="G6" s="187"/>
      <c r="H6" s="185"/>
    </row>
    <row r="7" spans="2:8" ht="15">
      <c r="B7" s="446">
        <f>_xlfn.IFERROR(IF(Indice!B6="","2XX2",YEAR(Indice!B6)),"2XX2")</f>
        <v>2021</v>
      </c>
      <c r="C7" s="446">
        <f>+_xlfn.IFERROR(YEAR(Indice!B6-365),"2XX1")</f>
        <v>2020</v>
      </c>
      <c r="D7" s="185"/>
      <c r="E7" s="185"/>
      <c r="F7" s="184"/>
      <c r="G7" s="187"/>
      <c r="H7" s="185"/>
    </row>
    <row r="8" spans="1:8" ht="15">
      <c r="A8" s="188" t="s">
        <v>884</v>
      </c>
      <c r="D8" s="185"/>
      <c r="E8" s="185"/>
      <c r="F8" s="184"/>
      <c r="G8" s="187"/>
      <c r="H8" s="185"/>
    </row>
    <row r="9" spans="1:8" ht="15">
      <c r="A9" s="409" t="s">
        <v>885</v>
      </c>
      <c r="B9" s="184"/>
      <c r="C9" s="184"/>
      <c r="D9" s="185"/>
      <c r="E9" s="185"/>
      <c r="F9" s="184"/>
      <c r="G9" s="187"/>
      <c r="H9" s="185"/>
    </row>
    <row r="10" spans="1:8" ht="15">
      <c r="A10" s="184"/>
      <c r="B10" s="184"/>
      <c r="C10" s="184"/>
      <c r="D10" s="185"/>
      <c r="E10" s="185"/>
      <c r="F10" s="184"/>
      <c r="G10" s="187"/>
      <c r="H10" s="185"/>
    </row>
    <row r="11" spans="1:8" ht="15">
      <c r="A11" s="184"/>
      <c r="B11" s="184"/>
      <c r="C11" s="184"/>
      <c r="D11" s="185"/>
      <c r="E11" s="185"/>
      <c r="F11" s="184"/>
      <c r="G11" s="187"/>
      <c r="H11" s="185"/>
    </row>
    <row r="12" spans="1:8" ht="15">
      <c r="A12" s="184"/>
      <c r="B12" s="184"/>
      <c r="C12" s="184"/>
      <c r="D12" s="185"/>
      <c r="E12" s="185"/>
      <c r="F12" s="184"/>
      <c r="G12" s="187"/>
      <c r="H12" s="185"/>
    </row>
    <row r="13" spans="1:8" ht="15">
      <c r="A13" s="184"/>
      <c r="B13" s="186"/>
      <c r="C13" s="184"/>
      <c r="D13" s="185"/>
      <c r="E13" s="185"/>
      <c r="F13" s="184"/>
      <c r="G13" s="187"/>
      <c r="H13" s="185"/>
    </row>
    <row r="14" spans="1:8" ht="15">
      <c r="A14" s="184"/>
      <c r="B14" s="186"/>
      <c r="C14" s="184"/>
      <c r="D14" s="185"/>
      <c r="E14" s="185"/>
      <c r="F14" s="184"/>
      <c r="G14" s="187"/>
      <c r="H14" s="185"/>
    </row>
    <row r="15" spans="1:8" ht="15">
      <c r="A15" s="184" t="s">
        <v>3</v>
      </c>
      <c r="B15" s="189">
        <f>SUM($B8:B14)</f>
        <v>0</v>
      </c>
      <c r="C15" s="189">
        <f>SUM($C8:C14)</f>
        <v>0</v>
      </c>
      <c r="D15" s="185"/>
      <c r="E15" s="185"/>
      <c r="F15" s="184"/>
      <c r="G15" s="187"/>
      <c r="H15" s="185"/>
    </row>
    <row r="16" spans="1:8" ht="15">
      <c r="A16" s="184"/>
      <c r="B16" s="186"/>
      <c r="C16" s="185"/>
      <c r="D16" s="185"/>
      <c r="E16" s="185"/>
      <c r="F16" s="184"/>
      <c r="G16" s="187"/>
      <c r="H16" s="185"/>
    </row>
  </sheetData>
  <sheetProtection/>
  <mergeCells count="1">
    <mergeCell ref="A5:B5"/>
  </mergeCells>
  <hyperlinks>
    <hyperlink ref="E1" location="ER!A1" display="E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F47"/>
  <sheetViews>
    <sheetView showGridLines="0" zoomScaleSheetLayoutView="70" zoomScalePageLayoutView="0" workbookViewId="0" topLeftCell="A1">
      <selection activeCell="A3" sqref="A3"/>
    </sheetView>
  </sheetViews>
  <sheetFormatPr defaultColWidth="11.421875" defaultRowHeight="15"/>
  <cols>
    <col min="1" max="1" width="66.00390625" style="48" customWidth="1"/>
    <col min="2" max="2" width="12.7109375" style="238" customWidth="1"/>
    <col min="3" max="3" width="25.421875" style="396" customWidth="1"/>
    <col min="4" max="4" width="24.7109375" style="396" customWidth="1"/>
    <col min="5" max="16384" width="11.421875" style="2" customWidth="1"/>
  </cols>
  <sheetData>
    <row r="1" spans="1:2" ht="15">
      <c r="A1" s="636"/>
      <c r="B1" s="239" t="s">
        <v>402</v>
      </c>
    </row>
    <row r="2" ht="12.75">
      <c r="A2" s="48" t="str">
        <f>+Indice!C1</f>
        <v>IMPORT CENTER S.A.</v>
      </c>
    </row>
    <row r="6" spans="1:3" ht="12.75">
      <c r="A6" s="93"/>
      <c r="B6" s="246"/>
      <c r="C6" s="397"/>
    </row>
    <row r="7" spans="1:4" ht="12.75">
      <c r="A7" s="663" t="s">
        <v>312</v>
      </c>
      <c r="B7" s="663"/>
      <c r="C7" s="663"/>
      <c r="D7" s="663"/>
    </row>
    <row r="8" spans="1:4" ht="12.75">
      <c r="A8" s="663" t="str">
        <f>_xlfn.IFERROR(IF(Indice!B6="","Al dia... de mes… de año 2XX2…","Al "&amp;DAY(Indice!B6)&amp;" de "&amp;VLOOKUP(MONTH(Indice!B6),Indice!S:T,2,0)&amp;" de "&amp;YEAR(Indice!B6)),"Al dia... de mes… de año 2XX2…")</f>
        <v>Al 31 de Marzo de 2021</v>
      </c>
      <c r="B8" s="663"/>
      <c r="C8" s="663"/>
      <c r="D8" s="663"/>
    </row>
    <row r="9" spans="1:4" ht="12.75">
      <c r="A9" s="672" t="s">
        <v>313</v>
      </c>
      <c r="B9" s="672"/>
      <c r="C9" s="672"/>
      <c r="D9" s="672"/>
    </row>
    <row r="10" spans="1:4" ht="12.75">
      <c r="A10" s="672" t="s">
        <v>267</v>
      </c>
      <c r="B10" s="672"/>
      <c r="C10" s="672"/>
      <c r="D10" s="672"/>
    </row>
    <row r="11" spans="1:3" ht="12.75">
      <c r="A11" s="129"/>
      <c r="B11" s="259"/>
      <c r="C11" s="395"/>
    </row>
    <row r="12" spans="1:4" ht="15">
      <c r="A12" s="133"/>
      <c r="B12" s="241" t="s">
        <v>227</v>
      </c>
      <c r="C12" s="370">
        <f>_xlfn.IFERROR(IF(Indice!B6="","2XX2",YEAR(Indice!B6)),"2XX2")</f>
        <v>2021</v>
      </c>
      <c r="D12" s="370">
        <f>_xlfn.IFERROR(YEAR(Indice!B6-365),"2XX1")</f>
        <v>2020</v>
      </c>
    </row>
    <row r="13" spans="1:4" ht="15">
      <c r="A13" t="s">
        <v>63</v>
      </c>
      <c r="B13" s="258">
        <v>25</v>
      </c>
      <c r="C13" s="394">
        <f>'Nota 25'!B27</f>
        <v>8601944</v>
      </c>
      <c r="D13" s="394">
        <f>'Nota 25'!C27</f>
        <v>6015284</v>
      </c>
    </row>
    <row r="14" spans="1:6" ht="15">
      <c r="A14" t="s">
        <v>154</v>
      </c>
      <c r="B14" s="258">
        <v>26</v>
      </c>
      <c r="C14" s="394">
        <f>-'Nota 26'!B21</f>
        <v>-5571537</v>
      </c>
      <c r="D14" s="394">
        <f>-'Nota 26'!C21</f>
        <v>-4307963</v>
      </c>
      <c r="F14" s="21"/>
    </row>
    <row r="15" spans="1:4" ht="12.75">
      <c r="A15" s="93" t="s">
        <v>72</v>
      </c>
      <c r="B15" s="246"/>
      <c r="C15" s="398">
        <f>C13+C14</f>
        <v>3030407</v>
      </c>
      <c r="D15" s="398">
        <f>D13+D14</f>
        <v>1707321</v>
      </c>
    </row>
    <row r="16" spans="1:4" ht="15">
      <c r="A16" t="s">
        <v>268</v>
      </c>
      <c r="B16" s="258">
        <v>27</v>
      </c>
      <c r="C16" s="394">
        <f>-'Nota 27'!B36</f>
        <v>-326998</v>
      </c>
      <c r="D16" s="394">
        <f>-'Nota 27'!E36</f>
        <v>-311142</v>
      </c>
    </row>
    <row r="17" spans="1:4" ht="15">
      <c r="A17" s="240" t="s">
        <v>270</v>
      </c>
      <c r="B17" s="258">
        <v>27</v>
      </c>
      <c r="C17" s="394">
        <f>-'Nota 27'!C36</f>
        <v>-929541</v>
      </c>
      <c r="D17" s="394">
        <f>-'Nota 27'!F36</f>
        <v>-889765</v>
      </c>
    </row>
    <row r="18" spans="1:4" ht="15">
      <c r="A18" s="240" t="s">
        <v>272</v>
      </c>
      <c r="B18" s="258">
        <v>28</v>
      </c>
      <c r="C18" s="395">
        <f>+'Nota 28'!B16</f>
        <v>3939</v>
      </c>
      <c r="D18" s="395">
        <f>+'Nota 28'!C16</f>
        <v>32846</v>
      </c>
    </row>
    <row r="19" spans="1:4" ht="12.75">
      <c r="A19" s="93" t="s">
        <v>156</v>
      </c>
      <c r="B19" s="246"/>
      <c r="C19" s="395">
        <f>SUM(C15:C18)</f>
        <v>1777807</v>
      </c>
      <c r="D19" s="395">
        <f>SUM(D15:D18)</f>
        <v>539260</v>
      </c>
    </row>
    <row r="20" spans="1:6" ht="15">
      <c r="A20" s="240" t="s">
        <v>433</v>
      </c>
      <c r="B20" s="258">
        <v>29</v>
      </c>
      <c r="C20" s="395">
        <f>'Nota 29'!B14</f>
        <v>38010</v>
      </c>
      <c r="D20" s="395">
        <f>'Nota 29'!C14</f>
        <v>86173</v>
      </c>
      <c r="F20" s="21"/>
    </row>
    <row r="21" spans="1:4" ht="15">
      <c r="A21" s="240" t="s">
        <v>432</v>
      </c>
      <c r="B21" s="258">
        <v>29</v>
      </c>
      <c r="C21" s="395">
        <f>-'Nota 29'!F14</f>
        <v>-1032155</v>
      </c>
      <c r="D21" s="395">
        <f>-'Nota 29'!G14</f>
        <v>-602004</v>
      </c>
    </row>
    <row r="22" spans="1:4" ht="12.75">
      <c r="A22" s="147" t="s">
        <v>62</v>
      </c>
      <c r="C22" s="398">
        <f>+C19+C20+C21</f>
        <v>783662</v>
      </c>
      <c r="D22" s="398">
        <f>+D19+D20+D21-2</f>
        <v>23427</v>
      </c>
    </row>
    <row r="23" spans="1:4" ht="15">
      <c r="A23" s="240" t="s">
        <v>160</v>
      </c>
      <c r="B23" s="258">
        <v>30</v>
      </c>
      <c r="C23" s="395">
        <f>'Nota 30'!B16</f>
        <v>0</v>
      </c>
      <c r="D23" s="395">
        <f>'Nota 30'!C16</f>
        <v>0</v>
      </c>
    </row>
    <row r="24" spans="1:4" ht="25.5">
      <c r="A24" s="148" t="s">
        <v>434</v>
      </c>
      <c r="B24" s="246"/>
      <c r="C24" s="398">
        <f>C22+C23</f>
        <v>783662</v>
      </c>
      <c r="D24" s="398">
        <f>D22+D23-2</f>
        <v>23425</v>
      </c>
    </row>
    <row r="25" spans="1:4" ht="15">
      <c r="A25" s="240" t="s">
        <v>161</v>
      </c>
      <c r="B25" s="258">
        <v>31</v>
      </c>
      <c r="C25" s="395">
        <f>'Nota 31'!B16</f>
        <v>0</v>
      </c>
      <c r="D25" s="395">
        <f>'Nota 31'!C16</f>
        <v>0</v>
      </c>
    </row>
    <row r="26" spans="1:4" ht="12.75">
      <c r="A26" s="148" t="s">
        <v>76</v>
      </c>
      <c r="B26" s="246"/>
      <c r="C26" s="398"/>
      <c r="D26" s="398"/>
    </row>
    <row r="27" spans="1:4" ht="15">
      <c r="A27" s="48" t="s">
        <v>46</v>
      </c>
      <c r="B27" s="239">
        <v>32</v>
      </c>
      <c r="C27" s="395">
        <f>'Nota 32'!B14</f>
        <v>108253</v>
      </c>
      <c r="D27" s="395">
        <f>'Nota 32'!C14</f>
        <v>0</v>
      </c>
    </row>
    <row r="28" spans="1:4" ht="12.75">
      <c r="A28" s="93" t="s">
        <v>435</v>
      </c>
      <c r="B28" s="246"/>
      <c r="C28" s="398">
        <f>C26+C27</f>
        <v>108253</v>
      </c>
      <c r="D28" s="398">
        <f>D26+D27</f>
        <v>0</v>
      </c>
    </row>
    <row r="29" spans="1:4" ht="15">
      <c r="A29" s="240" t="s">
        <v>73</v>
      </c>
      <c r="B29" s="258">
        <v>33</v>
      </c>
      <c r="C29" s="398">
        <f>'Nota 32'!B14</f>
        <v>108253</v>
      </c>
      <c r="D29" s="398">
        <f>'Nota 32'!C14</f>
        <v>0</v>
      </c>
    </row>
    <row r="30" spans="1:4" ht="15">
      <c r="A30" s="240" t="s">
        <v>74</v>
      </c>
      <c r="B30" s="258">
        <v>34</v>
      </c>
      <c r="C30" s="395">
        <f>'Nota 34'!B12</f>
        <v>0</v>
      </c>
      <c r="D30" s="395">
        <f>'Nota 34'!C12</f>
        <v>0</v>
      </c>
    </row>
    <row r="31" spans="1:4" ht="15">
      <c r="A31" s="128" t="s">
        <v>281</v>
      </c>
      <c r="B31" s="381"/>
      <c r="C31" s="398">
        <f>+C24-C28-2</f>
        <v>675407</v>
      </c>
      <c r="D31" s="398">
        <f>+D24-D28-2</f>
        <v>23423</v>
      </c>
    </row>
    <row r="32" spans="1:4" ht="15">
      <c r="A32" s="128" t="s">
        <v>75</v>
      </c>
      <c r="B32" s="258">
        <v>35</v>
      </c>
      <c r="C32" s="395">
        <f>'Nota 35'!B10</f>
        <v>0</v>
      </c>
      <c r="D32" s="395">
        <f>'Nota 35'!C10</f>
        <v>0</v>
      </c>
    </row>
    <row r="34" spans="1:4" ht="12.75">
      <c r="A34" s="93"/>
      <c r="B34" s="246"/>
      <c r="C34" s="399"/>
      <c r="D34" s="399"/>
    </row>
    <row r="35" ht="12.75">
      <c r="A35" s="48" t="s">
        <v>427</v>
      </c>
    </row>
    <row r="41" spans="1:4" ht="12.75">
      <c r="A41" s="131"/>
      <c r="B41" s="260"/>
      <c r="C41" s="671"/>
      <c r="D41" s="671"/>
    </row>
    <row r="42" spans="1:4" ht="12.75">
      <c r="A42" s="130"/>
      <c r="B42" s="261"/>
      <c r="D42" s="400"/>
    </row>
    <row r="47" spans="1:4" ht="12.75">
      <c r="A47" s="480"/>
      <c r="C47" s="671"/>
      <c r="D47" s="671"/>
    </row>
  </sheetData>
  <sheetProtection/>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 top="0.7480314960629921" bottom="0.7480314960629921" header="0.31496062992125984" footer="0.31496062992125984"/>
  <pageSetup horizontalDpi="600" verticalDpi="600" orientation="portrait" paperSize="9" scale="70" r:id="rId1"/>
</worksheet>
</file>

<file path=xl/worksheets/sheet40.xml><?xml version="1.0" encoding="utf-8"?>
<worksheet xmlns="http://schemas.openxmlformats.org/spreadsheetml/2006/main" xmlns:r="http://schemas.openxmlformats.org/officeDocument/2006/relationships">
  <sheetPr codeName="Hoja39"/>
  <dimension ref="A1:H13"/>
  <sheetViews>
    <sheetView zoomScalePageLayoutView="0" workbookViewId="0" topLeftCell="A1">
      <selection activeCell="B8" sqref="B8"/>
    </sheetView>
  </sheetViews>
  <sheetFormatPr defaultColWidth="11.421875" defaultRowHeight="15"/>
  <cols>
    <col min="1" max="1" width="51.28125" style="155" customWidth="1"/>
    <col min="2" max="2" width="18.140625" style="155" customWidth="1"/>
    <col min="3" max="3" width="17.57421875" style="155" customWidth="1"/>
    <col min="4" max="22" width="11.421875" style="155" customWidth="1"/>
  </cols>
  <sheetData>
    <row r="1" spans="1:5" ht="15">
      <c r="A1" s="155" t="str">
        <f>Indice!C1</f>
        <v>IMPORT CENTER S.A.</v>
      </c>
      <c r="E1" s="178" t="s">
        <v>146</v>
      </c>
    </row>
    <row r="4" spans="1:8" ht="15">
      <c r="A4" s="386" t="s">
        <v>363</v>
      </c>
      <c r="B4" s="386"/>
      <c r="C4" s="386"/>
      <c r="D4" s="386"/>
      <c r="E4" s="386"/>
      <c r="F4" s="184"/>
      <c r="G4" s="187"/>
      <c r="H4" s="185"/>
    </row>
    <row r="5" spans="1:8" ht="15">
      <c r="A5" s="756" t="s">
        <v>251</v>
      </c>
      <c r="B5" s="756"/>
      <c r="C5" s="185"/>
      <c r="D5" s="185"/>
      <c r="E5" s="185"/>
      <c r="F5" s="184"/>
      <c r="G5" s="187"/>
      <c r="H5" s="185"/>
    </row>
    <row r="6" spans="1:8" ht="15">
      <c r="A6" s="184"/>
      <c r="D6" s="185"/>
      <c r="E6" s="185"/>
      <c r="F6" s="184"/>
      <c r="G6" s="187"/>
      <c r="H6" s="185"/>
    </row>
    <row r="7" spans="1:8" ht="25.5">
      <c r="A7" s="191" t="s">
        <v>74</v>
      </c>
      <c r="B7" s="446">
        <f>_xlfn.IFERROR(IF(Indice!B6="","2XX2",YEAR(Indice!B6)),"2XX2")</f>
        <v>2021</v>
      </c>
      <c r="C7" s="446">
        <f>+_xlfn.IFERROR(YEAR(Indice!B6-365),"2XX1")</f>
        <v>2020</v>
      </c>
      <c r="D7" s="185"/>
      <c r="E7" s="185"/>
      <c r="F7" s="184"/>
      <c r="G7" s="187"/>
      <c r="H7" s="185"/>
    </row>
    <row r="8" spans="4:8" ht="15">
      <c r="D8" s="185"/>
      <c r="E8" s="185"/>
      <c r="F8" s="184"/>
      <c r="G8" s="187"/>
      <c r="H8" s="185"/>
    </row>
    <row r="9" spans="1:8" ht="15">
      <c r="A9" s="184" t="s">
        <v>890</v>
      </c>
      <c r="B9" s="184"/>
      <c r="C9" s="184"/>
      <c r="D9" s="185"/>
      <c r="E9" s="185"/>
      <c r="F9" s="184"/>
      <c r="G9" s="187"/>
      <c r="H9" s="185"/>
    </row>
    <row r="10" spans="1:8" ht="15">
      <c r="A10" s="184" t="s">
        <v>62</v>
      </c>
      <c r="B10" s="184"/>
      <c r="C10" s="184"/>
      <c r="D10" s="185"/>
      <c r="E10" s="185"/>
      <c r="F10" s="184"/>
      <c r="G10" s="187"/>
      <c r="H10" s="185"/>
    </row>
    <row r="11" spans="1:8" ht="15">
      <c r="A11" s="302" t="s">
        <v>364</v>
      </c>
      <c r="B11" s="184"/>
      <c r="C11" s="184"/>
      <c r="D11" s="185"/>
      <c r="E11" s="185"/>
      <c r="F11" s="184"/>
      <c r="G11" s="187"/>
      <c r="H11" s="185"/>
    </row>
    <row r="12" spans="1:8" ht="15">
      <c r="A12" s="184" t="s">
        <v>3</v>
      </c>
      <c r="B12" s="189">
        <f>SUM($B8:B11)</f>
        <v>0</v>
      </c>
      <c r="C12" s="189">
        <f>SUM($C8:C11)</f>
        <v>0</v>
      </c>
      <c r="D12" s="185"/>
      <c r="E12" s="185"/>
      <c r="F12" s="184"/>
      <c r="G12" s="187"/>
      <c r="H12" s="185"/>
    </row>
    <row r="13" spans="1:8" ht="15">
      <c r="A13" s="184"/>
      <c r="B13" s="186"/>
      <c r="C13" s="185"/>
      <c r="D13" s="185"/>
      <c r="E13" s="185"/>
      <c r="F13" s="184"/>
      <c r="G13" s="187"/>
      <c r="H13" s="185"/>
    </row>
  </sheetData>
  <sheetProtection/>
  <mergeCells count="1">
    <mergeCell ref="A5:B5"/>
  </mergeCells>
  <hyperlinks>
    <hyperlink ref="E1" location="ER!A1" display="ER"/>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codeName="Hoja40"/>
  <dimension ref="A1:I12"/>
  <sheetViews>
    <sheetView zoomScalePageLayoutView="0" workbookViewId="0" topLeftCell="A1">
      <selection activeCell="E10" sqref="E10"/>
    </sheetView>
  </sheetViews>
  <sheetFormatPr defaultColWidth="11.421875" defaultRowHeight="15"/>
  <cols>
    <col min="1" max="1" width="42.140625" style="155" customWidth="1"/>
    <col min="2" max="5" width="24.421875" style="155" customWidth="1"/>
    <col min="6" max="6" width="12.8515625" style="155" customWidth="1"/>
    <col min="7" max="7" width="11.421875" style="155" customWidth="1"/>
    <col min="8" max="8" width="17.28125" style="155" customWidth="1"/>
    <col min="9" max="14" width="11.421875" style="155" customWidth="1"/>
    <col min="15" max="16384" width="11.421875" style="381" customWidth="1"/>
  </cols>
  <sheetData>
    <row r="1" spans="1:5" ht="15">
      <c r="A1" s="155" t="str">
        <f>Indice!C1</f>
        <v>IMPORT CENTER S.A.</v>
      </c>
      <c r="E1" s="178" t="s">
        <v>146</v>
      </c>
    </row>
    <row r="2" ht="15">
      <c r="C2" s="165"/>
    </row>
    <row r="4" spans="1:9" ht="15">
      <c r="A4" s="323" t="s">
        <v>365</v>
      </c>
      <c r="B4" s="323"/>
      <c r="C4" s="323"/>
      <c r="D4" s="323"/>
      <c r="E4" s="323"/>
      <c r="F4" s="323"/>
      <c r="G4" s="323"/>
      <c r="H4" s="323"/>
      <c r="I4" s="323"/>
    </row>
    <row r="5" spans="1:9" ht="27" customHeight="1">
      <c r="A5" s="757" t="s">
        <v>201</v>
      </c>
      <c r="B5" s="757"/>
      <c r="C5" s="757"/>
      <c r="D5" s="757"/>
      <c r="E5" s="757"/>
      <c r="F5" s="411"/>
      <c r="G5" s="411"/>
      <c r="H5" s="411"/>
      <c r="I5" s="411"/>
    </row>
    <row r="6" ht="15" customHeight="1">
      <c r="B6" s="303"/>
    </row>
    <row r="7" spans="2:3" ht="15" customHeight="1">
      <c r="B7" s="446">
        <f>_xlfn.IFERROR(IF(Indice!B6="","2XX2",YEAR(Indice!B6)),"2XX2")</f>
        <v>2021</v>
      </c>
      <c r="C7" s="446">
        <f>+_xlfn.IFERROR(YEAR(Indice!B6-365),"2XX1")</f>
        <v>2020</v>
      </c>
    </row>
    <row r="8" spans="1:9" s="155" customFormat="1" ht="15" customHeight="1">
      <c r="A8" s="215" t="s">
        <v>887</v>
      </c>
      <c r="B8" s="412">
        <v>0</v>
      </c>
      <c r="C8" s="412">
        <v>0</v>
      </c>
      <c r="D8" s="410"/>
      <c r="E8" s="410"/>
      <c r="F8" s="410"/>
      <c r="G8" s="410"/>
      <c r="H8" s="410"/>
      <c r="I8" s="410"/>
    </row>
    <row r="9" spans="1:3" ht="15" customHeight="1">
      <c r="A9" s="381" t="s">
        <v>886</v>
      </c>
      <c r="B9" s="413">
        <f>'ER'!C31</f>
        <v>675407</v>
      </c>
      <c r="C9" s="413">
        <f>'ER'!D31</f>
        <v>23423</v>
      </c>
    </row>
    <row r="10" spans="1:9" ht="15" customHeight="1">
      <c r="A10" s="414" t="s">
        <v>888</v>
      </c>
      <c r="B10" s="415">
        <f>_xlfn.IFERROR(B9/B8,0)</f>
        <v>0</v>
      </c>
      <c r="C10" s="415">
        <f>_xlfn.IFERROR(C9/C8,0)</f>
        <v>0</v>
      </c>
      <c r="D10" s="410"/>
      <c r="E10" s="410"/>
      <c r="F10" s="410"/>
      <c r="G10" s="410"/>
      <c r="H10" s="410"/>
      <c r="I10" s="410"/>
    </row>
    <row r="11" ht="15" customHeight="1"/>
    <row r="12" spans="1:9" ht="15" customHeight="1">
      <c r="A12" s="410"/>
      <c r="B12" s="410"/>
      <c r="C12" s="410"/>
      <c r="D12" s="410"/>
      <c r="E12" s="410"/>
      <c r="F12" s="410"/>
      <c r="G12" s="410"/>
      <c r="H12" s="410"/>
      <c r="I12" s="410"/>
    </row>
    <row r="13" ht="15" customHeight="1"/>
  </sheetData>
  <sheetProtection/>
  <mergeCells count="1">
    <mergeCell ref="A5:E5"/>
  </mergeCells>
  <hyperlinks>
    <hyperlink ref="E1" location="ER!A1" display="ER"/>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codeName="Hoja41"/>
  <dimension ref="A1:N60"/>
  <sheetViews>
    <sheetView showGridLines="0" zoomScalePageLayoutView="0" workbookViewId="0" topLeftCell="A1">
      <selection activeCell="E1" sqref="E1"/>
    </sheetView>
  </sheetViews>
  <sheetFormatPr defaultColWidth="11.421875" defaultRowHeight="15"/>
  <cols>
    <col min="1" max="3" width="24.421875" style="155" customWidth="1"/>
    <col min="4" max="4" width="27.140625" style="155" customWidth="1"/>
    <col min="5" max="5" width="24.421875" style="155" customWidth="1"/>
    <col min="6" max="6" width="12.8515625" style="155" customWidth="1"/>
    <col min="7" max="7" width="11.421875" style="155" customWidth="1"/>
    <col min="8" max="8" width="17.28125" style="155" customWidth="1"/>
    <col min="9" max="14" width="11.421875" style="155" customWidth="1"/>
  </cols>
  <sheetData>
    <row r="1" spans="1:5" ht="15">
      <c r="A1" s="155" t="str">
        <f>Indice!C1</f>
        <v>IMPORT CENTER S.A.</v>
      </c>
      <c r="E1" s="178" t="s">
        <v>402</v>
      </c>
    </row>
    <row r="2" ht="15">
      <c r="C2" s="165"/>
    </row>
    <row r="4" spans="1:9" s="67" customFormat="1" ht="15">
      <c r="A4" s="735" t="s">
        <v>401</v>
      </c>
      <c r="B4" s="735"/>
      <c r="C4" s="735"/>
      <c r="D4" s="735"/>
      <c r="E4" s="735"/>
      <c r="F4" s="324"/>
      <c r="G4" s="324"/>
      <c r="H4" s="324"/>
      <c r="I4" s="324"/>
    </row>
    <row r="6" spans="1:14" s="216" customFormat="1" ht="15">
      <c r="A6" s="758" t="s">
        <v>192</v>
      </c>
      <c r="B6" s="758"/>
      <c r="C6" s="758"/>
      <c r="D6" s="758"/>
      <c r="E6" s="758"/>
      <c r="F6" s="758"/>
      <c r="G6" s="758"/>
      <c r="H6" s="758"/>
      <c r="I6" s="758"/>
      <c r="J6" s="215"/>
      <c r="K6" s="215"/>
      <c r="L6" s="215"/>
      <c r="M6" s="215"/>
      <c r="N6" s="215"/>
    </row>
    <row r="7" spans="1:14" s="216" customFormat="1" ht="15">
      <c r="A7" s="215"/>
      <c r="B7" s="215"/>
      <c r="C7" s="215"/>
      <c r="D7" s="215"/>
      <c r="E7" s="215"/>
      <c r="F7" s="215"/>
      <c r="G7" s="215"/>
      <c r="H7" s="215"/>
      <c r="I7" s="215"/>
      <c r="J7" s="215"/>
      <c r="K7" s="215"/>
      <c r="L7" s="215"/>
      <c r="M7" s="215"/>
      <c r="N7" s="215"/>
    </row>
    <row r="8" spans="1:14" s="216" customFormat="1" ht="15.75" thickBot="1">
      <c r="A8" s="475" t="str">
        <f>_xlfn.IFERROR("Al "&amp;DAY(Indice!B6)&amp;" de "&amp;VLOOKUP(MONTH(Indice!B6),Indice!S:T,2,0)&amp;" de "&amp;YEAR(Indice!B6-365),"Al dia... de mes… de año 2XX1…")</f>
        <v>Al 31 de Marzo de 2020</v>
      </c>
      <c r="B8" s="475"/>
      <c r="C8" s="475"/>
      <c r="D8" s="475"/>
      <c r="E8" s="475"/>
      <c r="F8" s="475"/>
      <c r="G8" s="475"/>
      <c r="H8" s="215"/>
      <c r="I8" s="215"/>
      <c r="J8" s="215"/>
      <c r="K8" s="215"/>
      <c r="L8" s="215"/>
      <c r="M8" s="215"/>
      <c r="N8" s="215"/>
    </row>
    <row r="9" spans="1:14" s="216" customFormat="1" ht="15.75" thickBot="1">
      <c r="A9" s="217" t="s">
        <v>193</v>
      </c>
      <c r="B9" s="218" t="s">
        <v>194</v>
      </c>
      <c r="C9" s="217" t="s">
        <v>118</v>
      </c>
      <c r="D9" s="217" t="s">
        <v>195</v>
      </c>
      <c r="E9" s="217" t="s">
        <v>196</v>
      </c>
      <c r="F9" s="215"/>
      <c r="G9" s="215"/>
      <c r="H9" s="215"/>
      <c r="I9" s="215"/>
      <c r="J9" s="215"/>
      <c r="K9" s="215"/>
      <c r="L9" s="215"/>
      <c r="M9" s="215"/>
      <c r="N9" s="215"/>
    </row>
    <row r="10" spans="1:14" s="216" customFormat="1" ht="15">
      <c r="A10" s="219"/>
      <c r="B10" s="220"/>
      <c r="C10" s="221"/>
      <c r="D10" s="221"/>
      <c r="E10" s="222"/>
      <c r="F10" s="215"/>
      <c r="G10" s="215"/>
      <c r="H10" s="215"/>
      <c r="I10" s="215"/>
      <c r="J10" s="215"/>
      <c r="K10" s="215"/>
      <c r="L10" s="215"/>
      <c r="M10" s="215"/>
      <c r="N10" s="215"/>
    </row>
    <row r="11" spans="1:14" s="216" customFormat="1" ht="15" customHeight="1">
      <c r="A11" s="223"/>
      <c r="B11" s="224"/>
      <c r="C11" s="225"/>
      <c r="D11" s="225"/>
      <c r="E11" s="226"/>
      <c r="F11" s="215"/>
      <c r="G11" s="215"/>
      <c r="H11" s="215"/>
      <c r="I11" s="215"/>
      <c r="J11" s="215"/>
      <c r="K11" s="215"/>
      <c r="L11" s="215"/>
      <c r="M11" s="215"/>
      <c r="N11" s="215"/>
    </row>
    <row r="12" spans="1:14" s="216" customFormat="1" ht="15">
      <c r="A12" s="223"/>
      <c r="B12" s="224"/>
      <c r="C12" s="225"/>
      <c r="D12" s="225"/>
      <c r="E12" s="226"/>
      <c r="F12" s="215"/>
      <c r="G12" s="215"/>
      <c r="H12" s="215"/>
      <c r="I12" s="215"/>
      <c r="J12" s="215"/>
      <c r="K12" s="215"/>
      <c r="L12" s="215"/>
      <c r="M12" s="215"/>
      <c r="N12" s="215"/>
    </row>
    <row r="13" spans="1:14" s="216" customFormat="1" ht="15.75" thickBot="1">
      <c r="A13" s="227"/>
      <c r="B13" s="228"/>
      <c r="C13" s="229"/>
      <c r="D13" s="229"/>
      <c r="E13" s="230"/>
      <c r="F13" s="215"/>
      <c r="G13" s="215"/>
      <c r="H13" s="215"/>
      <c r="I13" s="215"/>
      <c r="J13" s="215"/>
      <c r="K13" s="215"/>
      <c r="L13" s="215"/>
      <c r="M13" s="215"/>
      <c r="N13" s="215"/>
    </row>
    <row r="14" spans="1:14" s="216" customFormat="1" ht="15">
      <c r="A14" s="215"/>
      <c r="B14" s="215"/>
      <c r="C14" s="215"/>
      <c r="D14" s="215"/>
      <c r="E14" s="215"/>
      <c r="F14" s="215"/>
      <c r="G14" s="215"/>
      <c r="H14" s="215"/>
      <c r="I14" s="215"/>
      <c r="J14" s="215"/>
      <c r="K14" s="215"/>
      <c r="L14" s="215"/>
      <c r="M14" s="215"/>
      <c r="N14" s="215"/>
    </row>
    <row r="15" spans="1:14" s="216" customFormat="1" ht="15.75" thickBot="1">
      <c r="A15" s="475" t="str">
        <f>_xlfn.IFERROR("Al "&amp;DAY(Indice!B6)&amp;" de "&amp;VLOOKUP(MONTH(Indice!B6),Indice!S:T,2,0)&amp;" de "&amp;YEAR(Indice!B6-1),"Al dia... de mes… de año 2XX2…")</f>
        <v>Al 31 de Marzo de 2021</v>
      </c>
      <c r="B15" s="474"/>
      <c r="C15" s="474"/>
      <c r="D15" s="474"/>
      <c r="E15" s="474"/>
      <c r="F15" s="215"/>
      <c r="G15" s="215"/>
      <c r="H15" s="215"/>
      <c r="I15" s="215"/>
      <c r="J15" s="215"/>
      <c r="K15" s="215"/>
      <c r="L15" s="215"/>
      <c r="M15" s="215"/>
      <c r="N15" s="215"/>
    </row>
    <row r="16" spans="1:14" s="216" customFormat="1" ht="30" customHeight="1" thickBot="1">
      <c r="A16" s="217" t="s">
        <v>193</v>
      </c>
      <c r="B16" s="218" t="s">
        <v>194</v>
      </c>
      <c r="C16" s="217" t="s">
        <v>118</v>
      </c>
      <c r="D16" s="217" t="s">
        <v>195</v>
      </c>
      <c r="E16" s="217" t="s">
        <v>196</v>
      </c>
      <c r="F16" s="215"/>
      <c r="G16" s="215"/>
      <c r="H16" s="215"/>
      <c r="I16" s="215"/>
      <c r="J16" s="215"/>
      <c r="K16" s="215"/>
      <c r="L16" s="215"/>
      <c r="M16" s="215"/>
      <c r="N16" s="215"/>
    </row>
    <row r="17" spans="1:14" s="216" customFormat="1" ht="15">
      <c r="A17" s="219"/>
      <c r="B17" s="220"/>
      <c r="C17" s="221"/>
      <c r="D17" s="221"/>
      <c r="E17" s="222"/>
      <c r="F17" s="215"/>
      <c r="G17" s="215"/>
      <c r="H17" s="215"/>
      <c r="I17" s="215"/>
      <c r="J17" s="215"/>
      <c r="K17" s="215"/>
      <c r="L17" s="215"/>
      <c r="M17" s="215"/>
      <c r="N17" s="215"/>
    </row>
    <row r="18" spans="1:14" s="216" customFormat="1" ht="15">
      <c r="A18" s="223"/>
      <c r="B18" s="224"/>
      <c r="C18" s="225"/>
      <c r="D18" s="225"/>
      <c r="E18" s="226"/>
      <c r="F18" s="215"/>
      <c r="G18" s="215"/>
      <c r="H18" s="215"/>
      <c r="I18" s="215"/>
      <c r="J18" s="215"/>
      <c r="K18" s="215"/>
      <c r="L18" s="215"/>
      <c r="M18" s="215"/>
      <c r="N18" s="215"/>
    </row>
    <row r="19" spans="1:14" s="216" customFormat="1" ht="15">
      <c r="A19" s="223"/>
      <c r="B19" s="224"/>
      <c r="C19" s="225"/>
      <c r="D19" s="225"/>
      <c r="E19" s="226"/>
      <c r="F19" s="215"/>
      <c r="G19" s="215"/>
      <c r="H19" s="215"/>
      <c r="I19" s="215"/>
      <c r="J19" s="215"/>
      <c r="K19" s="215"/>
      <c r="L19" s="215"/>
      <c r="M19" s="215"/>
      <c r="N19" s="215"/>
    </row>
    <row r="20" spans="1:14" s="216" customFormat="1" ht="15.75" thickBot="1">
      <c r="A20" s="227"/>
      <c r="B20" s="228"/>
      <c r="C20" s="229"/>
      <c r="D20" s="229"/>
      <c r="E20" s="230"/>
      <c r="F20" s="215"/>
      <c r="G20" s="215"/>
      <c r="H20" s="215"/>
      <c r="I20" s="215"/>
      <c r="J20" s="215"/>
      <c r="K20" s="215"/>
      <c r="L20" s="215"/>
      <c r="M20" s="215"/>
      <c r="N20" s="215"/>
    </row>
    <row r="21" spans="1:14" s="216" customFormat="1" ht="15">
      <c r="A21" s="215"/>
      <c r="B21" s="215"/>
      <c r="C21" s="215"/>
      <c r="D21" s="215"/>
      <c r="E21" s="215"/>
      <c r="F21" s="215"/>
      <c r="G21" s="215"/>
      <c r="H21" s="215"/>
      <c r="I21" s="215"/>
      <c r="J21" s="215"/>
      <c r="K21" s="215"/>
      <c r="L21" s="215"/>
      <c r="M21" s="215"/>
      <c r="N21" s="215"/>
    </row>
    <row r="22" spans="1:14" s="216" customFormat="1" ht="15">
      <c r="A22" s="215"/>
      <c r="B22" s="215"/>
      <c r="C22" s="215"/>
      <c r="D22" s="215"/>
      <c r="E22" s="215"/>
      <c r="F22" s="215"/>
      <c r="G22" s="215"/>
      <c r="H22" s="215"/>
      <c r="I22" s="215"/>
      <c r="J22" s="215"/>
      <c r="K22" s="215"/>
      <c r="L22" s="215"/>
      <c r="M22" s="215"/>
      <c r="N22" s="215"/>
    </row>
    <row r="23" spans="1:14" s="216" customFormat="1" ht="15">
      <c r="A23" s="215"/>
      <c r="B23" s="215"/>
      <c r="C23" s="215"/>
      <c r="D23" s="215"/>
      <c r="E23" s="215"/>
      <c r="F23" s="215"/>
      <c r="G23" s="215"/>
      <c r="H23" s="215"/>
      <c r="I23" s="215"/>
      <c r="J23" s="215"/>
      <c r="K23" s="215"/>
      <c r="L23" s="215"/>
      <c r="M23" s="215"/>
      <c r="N23" s="215"/>
    </row>
    <row r="24" spans="1:14" s="216" customFormat="1" ht="15">
      <c r="A24" s="215"/>
      <c r="B24" s="215"/>
      <c r="C24" s="215"/>
      <c r="D24" s="215"/>
      <c r="E24" s="215"/>
      <c r="F24" s="215"/>
      <c r="G24" s="215"/>
      <c r="H24" s="215"/>
      <c r="I24" s="215"/>
      <c r="J24" s="215"/>
      <c r="K24" s="215"/>
      <c r="L24" s="215"/>
      <c r="M24" s="215"/>
      <c r="N24" s="215"/>
    </row>
    <row r="25" spans="1:14" s="216" customFormat="1" ht="15">
      <c r="A25" s="215"/>
      <c r="B25" s="215"/>
      <c r="C25" s="215"/>
      <c r="D25" s="215"/>
      <c r="E25" s="215"/>
      <c r="F25" s="215"/>
      <c r="G25" s="215"/>
      <c r="H25" s="215"/>
      <c r="I25" s="215"/>
      <c r="J25" s="215"/>
      <c r="K25" s="215"/>
      <c r="L25" s="215"/>
      <c r="M25" s="215"/>
      <c r="N25" s="215"/>
    </row>
    <row r="26" spans="1:14" s="216" customFormat="1" ht="15">
      <c r="A26" s="215"/>
      <c r="B26" s="215"/>
      <c r="C26" s="215"/>
      <c r="D26" s="215"/>
      <c r="E26" s="215"/>
      <c r="F26" s="215"/>
      <c r="G26" s="215"/>
      <c r="H26" s="215"/>
      <c r="I26" s="215"/>
      <c r="J26" s="215"/>
      <c r="K26" s="215"/>
      <c r="L26" s="215"/>
      <c r="M26" s="215"/>
      <c r="N26" s="215"/>
    </row>
    <row r="27" spans="1:14" s="216" customFormat="1" ht="15">
      <c r="A27" s="215"/>
      <c r="B27" s="215"/>
      <c r="C27" s="215"/>
      <c r="D27" s="215"/>
      <c r="E27" s="215"/>
      <c r="F27" s="215"/>
      <c r="G27" s="215"/>
      <c r="H27" s="215"/>
      <c r="I27" s="215"/>
      <c r="J27" s="215"/>
      <c r="K27" s="215"/>
      <c r="L27" s="215"/>
      <c r="M27" s="215"/>
      <c r="N27" s="215"/>
    </row>
    <row r="28" spans="1:14" s="216" customFormat="1" ht="15">
      <c r="A28" s="215"/>
      <c r="B28" s="215"/>
      <c r="C28" s="215"/>
      <c r="D28" s="215"/>
      <c r="E28" s="215"/>
      <c r="F28" s="215"/>
      <c r="G28" s="215"/>
      <c r="H28" s="215"/>
      <c r="I28" s="215"/>
      <c r="J28" s="215"/>
      <c r="K28" s="215"/>
      <c r="L28" s="215"/>
      <c r="M28" s="215"/>
      <c r="N28" s="215"/>
    </row>
    <row r="29" spans="1:14" s="216" customFormat="1" ht="15">
      <c r="A29" s="215"/>
      <c r="B29" s="215"/>
      <c r="C29" s="215"/>
      <c r="D29" s="215"/>
      <c r="E29" s="215"/>
      <c r="F29" s="215"/>
      <c r="G29" s="215"/>
      <c r="H29" s="215"/>
      <c r="I29" s="215"/>
      <c r="J29" s="215"/>
      <c r="K29" s="215"/>
      <c r="L29" s="215"/>
      <c r="M29" s="215"/>
      <c r="N29" s="215"/>
    </row>
    <row r="30" spans="1:14" s="216" customFormat="1" ht="15">
      <c r="A30" s="215"/>
      <c r="B30" s="215"/>
      <c r="C30" s="215"/>
      <c r="D30" s="215"/>
      <c r="E30" s="215"/>
      <c r="F30" s="215"/>
      <c r="G30" s="215"/>
      <c r="H30" s="215"/>
      <c r="I30" s="215"/>
      <c r="J30" s="215"/>
      <c r="K30" s="215"/>
      <c r="L30" s="215"/>
      <c r="M30" s="215"/>
      <c r="N30" s="215"/>
    </row>
    <row r="31" spans="1:14" s="216" customFormat="1" ht="15">
      <c r="A31" s="215"/>
      <c r="B31" s="215"/>
      <c r="C31" s="215"/>
      <c r="D31" s="215"/>
      <c r="E31" s="215"/>
      <c r="F31" s="215"/>
      <c r="G31" s="215"/>
      <c r="H31" s="215"/>
      <c r="I31" s="215"/>
      <c r="J31" s="215"/>
      <c r="K31" s="215"/>
      <c r="L31" s="215"/>
      <c r="M31" s="215"/>
      <c r="N31" s="215"/>
    </row>
    <row r="32" spans="1:14" s="216" customFormat="1" ht="15">
      <c r="A32" s="215"/>
      <c r="B32" s="215"/>
      <c r="C32" s="215"/>
      <c r="D32" s="215"/>
      <c r="E32" s="215"/>
      <c r="F32" s="215"/>
      <c r="G32" s="215"/>
      <c r="H32" s="215"/>
      <c r="I32" s="215"/>
      <c r="J32" s="215"/>
      <c r="K32" s="215"/>
      <c r="L32" s="215"/>
      <c r="M32" s="215"/>
      <c r="N32" s="215"/>
    </row>
    <row r="33" spans="1:14" s="216" customFormat="1" ht="15">
      <c r="A33" s="215"/>
      <c r="B33" s="215"/>
      <c r="C33" s="215"/>
      <c r="D33" s="215"/>
      <c r="E33" s="215"/>
      <c r="F33" s="215"/>
      <c r="G33" s="215"/>
      <c r="H33" s="215"/>
      <c r="I33" s="215"/>
      <c r="J33" s="215"/>
      <c r="K33" s="215"/>
      <c r="L33" s="215"/>
      <c r="M33" s="215"/>
      <c r="N33" s="215"/>
    </row>
    <row r="34" spans="1:14" s="216" customFormat="1" ht="15">
      <c r="A34" s="215"/>
      <c r="B34" s="215"/>
      <c r="C34" s="215"/>
      <c r="D34" s="215"/>
      <c r="E34" s="215"/>
      <c r="F34" s="215"/>
      <c r="G34" s="215"/>
      <c r="H34" s="215"/>
      <c r="I34" s="215"/>
      <c r="J34" s="215"/>
      <c r="K34" s="215"/>
      <c r="L34" s="215"/>
      <c r="M34" s="215"/>
      <c r="N34" s="215"/>
    </row>
    <row r="35" spans="1:14" s="216" customFormat="1" ht="15">
      <c r="A35" s="215"/>
      <c r="B35" s="215"/>
      <c r="C35" s="215"/>
      <c r="D35" s="215"/>
      <c r="E35" s="215"/>
      <c r="F35" s="215"/>
      <c r="G35" s="215"/>
      <c r="H35" s="215"/>
      <c r="I35" s="215"/>
      <c r="J35" s="215"/>
      <c r="K35" s="215"/>
      <c r="L35" s="215"/>
      <c r="M35" s="215"/>
      <c r="N35" s="215"/>
    </row>
    <row r="36" spans="1:14" s="216" customFormat="1" ht="15">
      <c r="A36" s="215"/>
      <c r="B36" s="215"/>
      <c r="C36" s="215"/>
      <c r="D36" s="215"/>
      <c r="E36" s="215"/>
      <c r="F36" s="215"/>
      <c r="G36" s="215"/>
      <c r="H36" s="215"/>
      <c r="I36" s="215"/>
      <c r="J36" s="215"/>
      <c r="K36" s="215"/>
      <c r="L36" s="215"/>
      <c r="M36" s="215"/>
      <c r="N36" s="215"/>
    </row>
    <row r="37" spans="1:14" s="216" customFormat="1" ht="15">
      <c r="A37" s="215"/>
      <c r="B37" s="215"/>
      <c r="C37" s="215"/>
      <c r="D37" s="215"/>
      <c r="E37" s="215"/>
      <c r="F37" s="215"/>
      <c r="G37" s="215"/>
      <c r="H37" s="215"/>
      <c r="I37" s="215"/>
      <c r="J37" s="215"/>
      <c r="K37" s="215"/>
      <c r="L37" s="215"/>
      <c r="M37" s="215"/>
      <c r="N37" s="215"/>
    </row>
    <row r="38" spans="1:14" s="216" customFormat="1" ht="15">
      <c r="A38" s="215"/>
      <c r="B38" s="215"/>
      <c r="C38" s="215"/>
      <c r="D38" s="215"/>
      <c r="E38" s="215"/>
      <c r="F38" s="215"/>
      <c r="G38" s="215"/>
      <c r="H38" s="215"/>
      <c r="I38" s="215"/>
      <c r="J38" s="215"/>
      <c r="K38" s="215"/>
      <c r="L38" s="215"/>
      <c r="M38" s="215"/>
      <c r="N38" s="215"/>
    </row>
    <row r="39" spans="1:14" s="216" customFormat="1" ht="15">
      <c r="A39" s="215"/>
      <c r="B39" s="215"/>
      <c r="C39" s="215"/>
      <c r="D39" s="215"/>
      <c r="E39" s="215"/>
      <c r="F39" s="215"/>
      <c r="G39" s="215"/>
      <c r="H39" s="215"/>
      <c r="I39" s="215"/>
      <c r="J39" s="215"/>
      <c r="K39" s="215"/>
      <c r="L39" s="215"/>
      <c r="M39" s="215"/>
      <c r="N39" s="215"/>
    </row>
    <row r="40" spans="1:14" s="216" customFormat="1" ht="15">
      <c r="A40" s="215"/>
      <c r="B40" s="215"/>
      <c r="C40" s="215"/>
      <c r="D40" s="215"/>
      <c r="E40" s="215"/>
      <c r="F40" s="215"/>
      <c r="G40" s="215"/>
      <c r="H40" s="215"/>
      <c r="I40" s="215"/>
      <c r="J40" s="215"/>
      <c r="K40" s="215"/>
      <c r="L40" s="215"/>
      <c r="M40" s="215"/>
      <c r="N40" s="215"/>
    </row>
    <row r="41" spans="1:14" s="216" customFormat="1" ht="15">
      <c r="A41" s="215"/>
      <c r="B41" s="215"/>
      <c r="C41" s="215"/>
      <c r="D41" s="215"/>
      <c r="E41" s="215"/>
      <c r="F41" s="215"/>
      <c r="G41" s="215"/>
      <c r="H41" s="215"/>
      <c r="I41" s="215"/>
      <c r="J41" s="215"/>
      <c r="K41" s="215"/>
      <c r="L41" s="215"/>
      <c r="M41" s="215"/>
      <c r="N41" s="215"/>
    </row>
    <row r="42" spans="1:14" s="216" customFormat="1" ht="15">
      <c r="A42" s="215"/>
      <c r="B42" s="215"/>
      <c r="C42" s="215"/>
      <c r="D42" s="215"/>
      <c r="E42" s="215"/>
      <c r="F42" s="215"/>
      <c r="G42" s="215"/>
      <c r="H42" s="215"/>
      <c r="I42" s="215"/>
      <c r="J42" s="215"/>
      <c r="K42" s="215"/>
      <c r="L42" s="215"/>
      <c r="M42" s="215"/>
      <c r="N42" s="215"/>
    </row>
    <row r="43" spans="1:14" s="216" customFormat="1" ht="15">
      <c r="A43" s="215"/>
      <c r="B43" s="215"/>
      <c r="C43" s="215"/>
      <c r="D43" s="215"/>
      <c r="E43" s="215"/>
      <c r="F43" s="215"/>
      <c r="G43" s="215"/>
      <c r="H43" s="215"/>
      <c r="I43" s="215"/>
      <c r="J43" s="215"/>
      <c r="K43" s="215"/>
      <c r="L43" s="215"/>
      <c r="M43" s="215"/>
      <c r="N43" s="215"/>
    </row>
    <row r="44" spans="1:14" s="216" customFormat="1" ht="15">
      <c r="A44" s="215"/>
      <c r="B44" s="215"/>
      <c r="C44" s="215"/>
      <c r="D44" s="215"/>
      <c r="E44" s="215"/>
      <c r="F44" s="215"/>
      <c r="G44" s="215"/>
      <c r="H44" s="215"/>
      <c r="I44" s="215"/>
      <c r="J44" s="215"/>
      <c r="K44" s="215"/>
      <c r="L44" s="215"/>
      <c r="M44" s="215"/>
      <c r="N44" s="215"/>
    </row>
    <row r="45" spans="1:14" s="216" customFormat="1" ht="15">
      <c r="A45" s="215"/>
      <c r="B45" s="215"/>
      <c r="C45" s="215"/>
      <c r="D45" s="215"/>
      <c r="E45" s="215"/>
      <c r="F45" s="215"/>
      <c r="G45" s="215"/>
      <c r="H45" s="215"/>
      <c r="I45" s="215"/>
      <c r="J45" s="215"/>
      <c r="K45" s="215"/>
      <c r="L45" s="215"/>
      <c r="M45" s="215"/>
      <c r="N45" s="215"/>
    </row>
    <row r="46" spans="1:14" s="216" customFormat="1" ht="15">
      <c r="A46" s="215"/>
      <c r="B46" s="215"/>
      <c r="C46" s="215"/>
      <c r="D46" s="215"/>
      <c r="E46" s="215"/>
      <c r="F46" s="215"/>
      <c r="G46" s="215"/>
      <c r="H46" s="215"/>
      <c r="I46" s="215"/>
      <c r="J46" s="215"/>
      <c r="K46" s="215"/>
      <c r="L46" s="215"/>
      <c r="M46" s="215"/>
      <c r="N46" s="215"/>
    </row>
    <row r="47" spans="1:14" s="216" customFormat="1" ht="15">
      <c r="A47" s="215"/>
      <c r="B47" s="215"/>
      <c r="C47" s="215"/>
      <c r="D47" s="215"/>
      <c r="E47" s="215"/>
      <c r="F47" s="215"/>
      <c r="G47" s="215"/>
      <c r="H47" s="215"/>
      <c r="I47" s="215"/>
      <c r="J47" s="215"/>
      <c r="K47" s="215"/>
      <c r="L47" s="215"/>
      <c r="M47" s="215"/>
      <c r="N47" s="215"/>
    </row>
    <row r="48" spans="1:14" s="216" customFormat="1" ht="15">
      <c r="A48" s="215"/>
      <c r="B48" s="215"/>
      <c r="C48" s="215"/>
      <c r="D48" s="215"/>
      <c r="E48" s="215"/>
      <c r="F48" s="215"/>
      <c r="G48" s="215"/>
      <c r="H48" s="215"/>
      <c r="I48" s="215"/>
      <c r="J48" s="215"/>
      <c r="K48" s="215"/>
      <c r="L48" s="215"/>
      <c r="M48" s="215"/>
      <c r="N48" s="215"/>
    </row>
    <row r="49" spans="1:14" s="216" customFormat="1" ht="15">
      <c r="A49" s="215"/>
      <c r="B49" s="215"/>
      <c r="C49" s="215"/>
      <c r="D49" s="215"/>
      <c r="E49" s="215"/>
      <c r="F49" s="215"/>
      <c r="G49" s="215"/>
      <c r="H49" s="215"/>
      <c r="I49" s="215"/>
      <c r="J49" s="215"/>
      <c r="K49" s="215"/>
      <c r="L49" s="215"/>
      <c r="M49" s="215"/>
      <c r="N49" s="215"/>
    </row>
    <row r="50" spans="1:14" s="216" customFormat="1" ht="15">
      <c r="A50" s="215"/>
      <c r="B50" s="215"/>
      <c r="C50" s="215"/>
      <c r="D50" s="215"/>
      <c r="E50" s="215"/>
      <c r="F50" s="215"/>
      <c r="G50" s="215"/>
      <c r="H50" s="215"/>
      <c r="I50" s="215"/>
      <c r="J50" s="215"/>
      <c r="K50" s="215"/>
      <c r="L50" s="215"/>
      <c r="M50" s="215"/>
      <c r="N50" s="215"/>
    </row>
    <row r="51" spans="1:14" s="216" customFormat="1" ht="15">
      <c r="A51" s="215"/>
      <c r="B51" s="215"/>
      <c r="C51" s="215"/>
      <c r="D51" s="215"/>
      <c r="E51" s="215"/>
      <c r="F51" s="215"/>
      <c r="G51" s="215"/>
      <c r="H51" s="215"/>
      <c r="I51" s="215"/>
      <c r="J51" s="215"/>
      <c r="K51" s="215"/>
      <c r="L51" s="215"/>
      <c r="M51" s="215"/>
      <c r="N51" s="215"/>
    </row>
    <row r="52" spans="1:14" s="216" customFormat="1" ht="15">
      <c r="A52" s="215"/>
      <c r="B52" s="215"/>
      <c r="C52" s="215"/>
      <c r="D52" s="215"/>
      <c r="E52" s="215"/>
      <c r="F52" s="215"/>
      <c r="G52" s="215"/>
      <c r="H52" s="215"/>
      <c r="I52" s="215"/>
      <c r="J52" s="215"/>
      <c r="K52" s="215"/>
      <c r="L52" s="215"/>
      <c r="M52" s="215"/>
      <c r="N52" s="215"/>
    </row>
    <row r="53" spans="1:14" s="216" customFormat="1" ht="15">
      <c r="A53" s="215"/>
      <c r="B53" s="215"/>
      <c r="C53" s="215"/>
      <c r="D53" s="215"/>
      <c r="E53" s="215"/>
      <c r="F53" s="215"/>
      <c r="G53" s="215"/>
      <c r="H53" s="215"/>
      <c r="I53" s="215"/>
      <c r="J53" s="215"/>
      <c r="K53" s="215"/>
      <c r="L53" s="215"/>
      <c r="M53" s="215"/>
      <c r="N53" s="215"/>
    </row>
    <row r="54" spans="1:14" s="216" customFormat="1" ht="15">
      <c r="A54" s="215"/>
      <c r="B54" s="215"/>
      <c r="C54" s="215"/>
      <c r="D54" s="215"/>
      <c r="E54" s="215"/>
      <c r="F54" s="215"/>
      <c r="G54" s="215"/>
      <c r="H54" s="215"/>
      <c r="I54" s="215"/>
      <c r="J54" s="215"/>
      <c r="K54" s="215"/>
      <c r="L54" s="215"/>
      <c r="M54" s="215"/>
      <c r="N54" s="215"/>
    </row>
    <row r="55" spans="1:14" s="216" customFormat="1" ht="15">
      <c r="A55" s="215"/>
      <c r="B55" s="215"/>
      <c r="C55" s="215"/>
      <c r="D55" s="215"/>
      <c r="E55" s="215"/>
      <c r="F55" s="215"/>
      <c r="G55" s="215"/>
      <c r="H55" s="215"/>
      <c r="I55" s="215"/>
      <c r="J55" s="215"/>
      <c r="K55" s="215"/>
      <c r="L55" s="215"/>
      <c r="M55" s="215"/>
      <c r="N55" s="215"/>
    </row>
    <row r="56" spans="1:14" s="216" customFormat="1" ht="15">
      <c r="A56" s="215"/>
      <c r="B56" s="215"/>
      <c r="C56" s="215"/>
      <c r="D56" s="215"/>
      <c r="E56" s="215"/>
      <c r="F56" s="215"/>
      <c r="G56" s="215"/>
      <c r="H56" s="215"/>
      <c r="I56" s="215"/>
      <c r="J56" s="215"/>
      <c r="K56" s="215"/>
      <c r="L56" s="215"/>
      <c r="M56" s="215"/>
      <c r="N56" s="215"/>
    </row>
    <row r="57" spans="1:14" s="216" customFormat="1" ht="15">
      <c r="A57" s="215"/>
      <c r="B57" s="215"/>
      <c r="C57" s="215"/>
      <c r="D57" s="215"/>
      <c r="E57" s="215"/>
      <c r="F57" s="215"/>
      <c r="G57" s="215"/>
      <c r="H57" s="215"/>
      <c r="I57" s="215"/>
      <c r="J57" s="215"/>
      <c r="K57" s="215"/>
      <c r="L57" s="215"/>
      <c r="M57" s="215"/>
      <c r="N57" s="215"/>
    </row>
    <row r="58" spans="1:14" s="216" customFormat="1" ht="15">
      <c r="A58" s="215"/>
      <c r="B58" s="215"/>
      <c r="C58" s="215"/>
      <c r="D58" s="215"/>
      <c r="E58" s="215"/>
      <c r="F58" s="215"/>
      <c r="G58" s="215"/>
      <c r="H58" s="215"/>
      <c r="I58" s="215"/>
      <c r="J58" s="215"/>
      <c r="K58" s="215"/>
      <c r="L58" s="215"/>
      <c r="M58" s="215"/>
      <c r="N58" s="215"/>
    </row>
    <row r="59" spans="1:14" s="216" customFormat="1" ht="15">
      <c r="A59" s="215"/>
      <c r="B59" s="215"/>
      <c r="C59" s="215"/>
      <c r="D59" s="215"/>
      <c r="E59" s="215"/>
      <c r="F59" s="215"/>
      <c r="G59" s="215"/>
      <c r="H59" s="215"/>
      <c r="I59" s="215"/>
      <c r="J59" s="215"/>
      <c r="K59" s="215"/>
      <c r="L59" s="215"/>
      <c r="M59" s="215"/>
      <c r="N59" s="215"/>
    </row>
    <row r="60" spans="1:14" s="216" customFormat="1" ht="15">
      <c r="A60" s="215"/>
      <c r="B60" s="215"/>
      <c r="C60" s="215"/>
      <c r="D60" s="215"/>
      <c r="E60" s="215"/>
      <c r="F60" s="215"/>
      <c r="G60" s="215"/>
      <c r="H60" s="215"/>
      <c r="I60" s="215"/>
      <c r="J60" s="215"/>
      <c r="K60" s="215"/>
      <c r="L60" s="215"/>
      <c r="M60" s="215"/>
      <c r="N60" s="215"/>
    </row>
  </sheetData>
  <sheetProtection/>
  <mergeCells count="2">
    <mergeCell ref="A6:I6"/>
    <mergeCell ref="A4:E4"/>
  </mergeCells>
  <hyperlinks>
    <hyperlink ref="E1" location="Indice!A1" display="Indice"/>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codeName="Hoja42"/>
  <dimension ref="A1:N15"/>
  <sheetViews>
    <sheetView zoomScalePageLayoutView="0" workbookViewId="0" topLeftCell="A1">
      <selection activeCell="D10" sqref="D10"/>
    </sheetView>
  </sheetViews>
  <sheetFormatPr defaultColWidth="11.421875" defaultRowHeight="15"/>
  <cols>
    <col min="1" max="5" width="24.421875" style="155" customWidth="1"/>
    <col min="6" max="6" width="12.8515625" style="155" customWidth="1"/>
    <col min="7" max="7" width="11.421875" style="155" customWidth="1"/>
    <col min="8" max="8" width="17.28125" style="155" customWidth="1"/>
    <col min="9" max="14" width="11.421875" style="155" customWidth="1"/>
  </cols>
  <sheetData>
    <row r="1" spans="1:5" ht="15">
      <c r="A1" s="155" t="str">
        <f>Indice!C1</f>
        <v>IMPORT CENTER S.A.</v>
      </c>
      <c r="E1" s="178" t="s">
        <v>402</v>
      </c>
    </row>
    <row r="2" ht="15">
      <c r="C2" s="165"/>
    </row>
    <row r="4" spans="1:9" ht="15">
      <c r="A4" s="323" t="s">
        <v>403</v>
      </c>
      <c r="B4" s="323"/>
      <c r="C4" s="323"/>
      <c r="D4" s="323"/>
      <c r="E4" s="323"/>
      <c r="F4" s="323"/>
      <c r="G4" s="323"/>
      <c r="H4" s="323"/>
      <c r="I4" s="324"/>
    </row>
    <row r="5" spans="1:9" ht="15">
      <c r="A5" s="750" t="s">
        <v>197</v>
      </c>
      <c r="B5" s="750"/>
      <c r="C5" s="750"/>
      <c r="D5" s="750"/>
      <c r="E5" s="750"/>
      <c r="F5" s="750"/>
      <c r="G5" s="750"/>
      <c r="H5" s="750"/>
      <c r="I5" s="750"/>
    </row>
    <row r="6" spans="1:14" s="216" customFormat="1" ht="15" customHeight="1">
      <c r="A6" s="758" t="str">
        <f>_xlfn.IFERROR("Los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31 de Marzo de 2021 son:</v>
      </c>
      <c r="B6" s="758"/>
      <c r="C6" s="758"/>
      <c r="D6" s="758"/>
      <c r="E6" s="758"/>
      <c r="F6" s="758"/>
      <c r="G6" s="758"/>
      <c r="H6" s="758"/>
      <c r="I6" s="758"/>
      <c r="J6" s="215"/>
      <c r="K6" s="215"/>
      <c r="L6" s="215"/>
      <c r="M6" s="215"/>
      <c r="N6" s="215"/>
    </row>
    <row r="7" spans="1:14" s="216" customFormat="1" ht="15">
      <c r="A7" s="215" t="s">
        <v>198</v>
      </c>
      <c r="B7" s="215"/>
      <c r="C7" s="215"/>
      <c r="D7" s="215"/>
      <c r="E7" s="215"/>
      <c r="F7" s="215"/>
      <c r="G7" s="215"/>
      <c r="H7" s="215"/>
      <c r="I7" s="215"/>
      <c r="J7" s="215"/>
      <c r="K7" s="215"/>
      <c r="L7" s="215"/>
      <c r="M7" s="215"/>
      <c r="N7" s="215"/>
    </row>
    <row r="8" s="215" customFormat="1" ht="15">
      <c r="A8" s="215" t="s">
        <v>199</v>
      </c>
    </row>
    <row r="9" spans="1:14" s="216" customFormat="1" ht="15">
      <c r="A9" s="215"/>
      <c r="B9" s="215"/>
      <c r="C9" s="215"/>
      <c r="D9" s="215"/>
      <c r="E9" s="215"/>
      <c r="F9" s="215"/>
      <c r="G9" s="215"/>
      <c r="H9" s="215"/>
      <c r="I9" s="215"/>
      <c r="J9" s="215"/>
      <c r="K9" s="215"/>
      <c r="L9" s="215"/>
      <c r="M9" s="215"/>
      <c r="N9" s="215"/>
    </row>
    <row r="10" spans="2:14" s="216" customFormat="1" ht="15">
      <c r="B10" s="215"/>
      <c r="C10" s="215"/>
      <c r="D10" s="215"/>
      <c r="E10" s="215"/>
      <c r="F10" s="215"/>
      <c r="G10" s="215"/>
      <c r="H10" s="215"/>
      <c r="I10" s="215"/>
      <c r="J10" s="215"/>
      <c r="K10" s="215"/>
      <c r="L10" s="215"/>
      <c r="M10" s="215"/>
      <c r="N10" s="215"/>
    </row>
    <row r="11" spans="1:14" s="216" customFormat="1" ht="15">
      <c r="A11" s="759" t="str">
        <f>_xlfn.IFERROR("Al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Marzo de 2021 no existen situaciones contingentes, ni reclamos que pudieran resultar en la generación de obligaciones para la Sociedad adicionales a las que se presentan en estos estados financieros.</v>
      </c>
      <c r="B11" s="759"/>
      <c r="C11" s="759"/>
      <c r="D11" s="759"/>
      <c r="E11" s="759"/>
      <c r="F11" s="759"/>
      <c r="G11" s="759"/>
      <c r="H11" s="759"/>
      <c r="I11" s="215"/>
      <c r="J11" s="215"/>
      <c r="K11" s="215"/>
      <c r="L11" s="215"/>
      <c r="M11" s="215"/>
      <c r="N11" s="215"/>
    </row>
    <row r="12" spans="1:14" s="216" customFormat="1" ht="16.5" customHeight="1">
      <c r="A12" s="759"/>
      <c r="B12" s="759"/>
      <c r="C12" s="759"/>
      <c r="D12" s="759"/>
      <c r="E12" s="759"/>
      <c r="F12" s="759"/>
      <c r="G12" s="759"/>
      <c r="H12" s="759"/>
      <c r="I12" s="334"/>
      <c r="J12" s="215"/>
      <c r="K12" s="215"/>
      <c r="L12" s="215"/>
      <c r="M12" s="215"/>
      <c r="N12" s="215"/>
    </row>
    <row r="13" spans="1:14" s="216" customFormat="1" ht="15">
      <c r="A13" s="215"/>
      <c r="B13" s="215"/>
      <c r="C13" s="215"/>
      <c r="D13" s="215"/>
      <c r="E13" s="215"/>
      <c r="F13" s="215"/>
      <c r="G13" s="215"/>
      <c r="H13" s="215"/>
      <c r="I13" s="215"/>
      <c r="J13" s="215"/>
      <c r="K13" s="215"/>
      <c r="L13" s="215"/>
      <c r="M13" s="215"/>
      <c r="N13" s="215"/>
    </row>
    <row r="14" spans="1:14" s="216" customFormat="1" ht="15">
      <c r="A14" s="215"/>
      <c r="B14" s="215"/>
      <c r="C14" s="215"/>
      <c r="D14" s="215"/>
      <c r="E14" s="215"/>
      <c r="F14" s="215"/>
      <c r="G14" s="215"/>
      <c r="H14" s="215"/>
      <c r="I14" s="215"/>
      <c r="J14" s="215"/>
      <c r="K14" s="215"/>
      <c r="L14" s="215"/>
      <c r="M14" s="215"/>
      <c r="N14" s="215"/>
    </row>
    <row r="15" spans="1:14" s="216" customFormat="1" ht="21" customHeight="1">
      <c r="A15" s="722" t="s">
        <v>426</v>
      </c>
      <c r="B15" s="722"/>
      <c r="C15" s="722"/>
      <c r="D15" s="722"/>
      <c r="E15" s="722"/>
      <c r="F15" s="722"/>
      <c r="G15" s="722"/>
      <c r="H15" s="722"/>
      <c r="I15" s="335"/>
      <c r="J15" s="215"/>
      <c r="K15" s="215"/>
      <c r="L15" s="215"/>
      <c r="M15" s="215"/>
      <c r="N15" s="215"/>
    </row>
  </sheetData>
  <sheetProtection/>
  <mergeCells count="4">
    <mergeCell ref="A15:H15"/>
    <mergeCell ref="A5:I5"/>
    <mergeCell ref="A6:I6"/>
    <mergeCell ref="A11:H12"/>
  </mergeCells>
  <hyperlinks>
    <hyperlink ref="E1" location="Indice!A1" display="Indice"/>
  </hyperlink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codeName="Hoja43"/>
  <dimension ref="A1:AY25"/>
  <sheetViews>
    <sheetView zoomScalePageLayoutView="0" workbookViewId="0" topLeftCell="A1">
      <selection activeCell="A1" sqref="A1"/>
    </sheetView>
  </sheetViews>
  <sheetFormatPr defaultColWidth="11.421875" defaultRowHeight="15"/>
  <cols>
    <col min="1" max="1" width="47.8515625" style="155" customWidth="1"/>
    <col min="2" max="2" width="22.57421875" style="155" customWidth="1"/>
    <col min="3" max="3" width="26.140625" style="155" customWidth="1"/>
    <col min="4" max="51" width="11.421875" style="155" customWidth="1"/>
  </cols>
  <sheetData>
    <row r="1" spans="1:4" ht="15">
      <c r="A1" s="155" t="str">
        <f>Indice!C1</f>
        <v>IMPORT CENTER S.A.</v>
      </c>
      <c r="D1" s="178" t="s">
        <v>920</v>
      </c>
    </row>
    <row r="4" spans="1:7" ht="15">
      <c r="A4" s="760" t="s">
        <v>409</v>
      </c>
      <c r="B4" s="760"/>
      <c r="C4" s="760"/>
      <c r="D4" s="760"/>
      <c r="E4" s="760"/>
      <c r="F4" s="760"/>
      <c r="G4" s="760"/>
    </row>
    <row r="5" ht="15">
      <c r="A5" s="321" t="s">
        <v>251</v>
      </c>
    </row>
    <row r="6" spans="1:11" ht="59.25" customHeight="1">
      <c r="A6" s="761" t="s">
        <v>423</v>
      </c>
      <c r="B6" s="761"/>
      <c r="C6" s="761"/>
      <c r="D6" s="761"/>
      <c r="E6" s="761"/>
      <c r="F6" s="761"/>
      <c r="G6" s="761"/>
      <c r="H6" s="332"/>
      <c r="I6" s="332"/>
      <c r="J6" s="332"/>
      <c r="K6" s="332"/>
    </row>
    <row r="7" spans="1:11" ht="55.5" customHeight="1">
      <c r="A7" s="762" t="s">
        <v>410</v>
      </c>
      <c r="B7" s="762"/>
      <c r="C7" s="762"/>
      <c r="D7" s="762"/>
      <c r="E7" s="762"/>
      <c r="F7" s="762"/>
      <c r="G7" s="762"/>
      <c r="H7" s="332"/>
      <c r="I7" s="332"/>
      <c r="J7" s="332"/>
      <c r="K7" s="332"/>
    </row>
    <row r="8" ht="15.75">
      <c r="A8" s="325"/>
    </row>
    <row r="9" spans="1:11" s="155" customFormat="1" ht="21.75" customHeight="1">
      <c r="A9" s="763" t="s">
        <v>411</v>
      </c>
      <c r="B9" s="763"/>
      <c r="C9" s="763"/>
      <c r="D9" s="763"/>
      <c r="E9" s="763"/>
      <c r="F9" s="763"/>
      <c r="G9" s="763"/>
      <c r="H9" s="333"/>
      <c r="I9" s="333"/>
      <c r="J9" s="333"/>
      <c r="K9" s="333"/>
    </row>
    <row r="11" spans="1:51" s="388" customFormat="1" ht="15" customHeight="1">
      <c r="A11" s="391"/>
      <c r="B11" s="446">
        <f>_xlfn.IFERROR(IF(Indice!B6="","2XX2",YEAR(Indice!B6)),"2XX2")</f>
        <v>2021</v>
      </c>
      <c r="C11" s="446">
        <f>+_xlfn.IFERROR(YEAR(Indice!B6-365),"2XX1")</f>
        <v>2020</v>
      </c>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row>
    <row r="12" spans="1:3" ht="15.75">
      <c r="A12" s="326" t="s">
        <v>412</v>
      </c>
      <c r="B12" s="327"/>
      <c r="C12" s="327"/>
    </row>
    <row r="13" spans="1:3" ht="15.75">
      <c r="A13" s="326" t="s">
        <v>413</v>
      </c>
      <c r="B13" s="327"/>
      <c r="C13" s="327"/>
    </row>
    <row r="14" spans="1:3" ht="15.75">
      <c r="A14" s="326" t="s">
        <v>124</v>
      </c>
      <c r="B14" s="327"/>
      <c r="C14" s="327"/>
    </row>
    <row r="15" spans="1:3" ht="15.75">
      <c r="A15" s="326" t="s">
        <v>414</v>
      </c>
      <c r="B15" s="327"/>
      <c r="C15" s="327"/>
    </row>
    <row r="16" spans="1:3" ht="15.75">
      <c r="A16" s="326" t="s">
        <v>415</v>
      </c>
      <c r="B16" s="328"/>
      <c r="C16" s="327"/>
    </row>
    <row r="17" spans="1:3" ht="15.75">
      <c r="A17" s="326" t="s">
        <v>123</v>
      </c>
      <c r="B17" s="328"/>
      <c r="C17" s="327"/>
    </row>
    <row r="18" spans="1:3" ht="15.75">
      <c r="A18" s="326" t="s">
        <v>416</v>
      </c>
      <c r="B18" s="328"/>
      <c r="C18" s="327"/>
    </row>
    <row r="19" spans="1:3" ht="15.75">
      <c r="A19" s="326" t="s">
        <v>417</v>
      </c>
      <c r="B19" s="328"/>
      <c r="C19" s="327"/>
    </row>
    <row r="20" spans="1:3" ht="15.75">
      <c r="A20" s="326" t="s">
        <v>418</v>
      </c>
      <c r="B20" s="328"/>
      <c r="C20" s="327"/>
    </row>
    <row r="21" spans="1:3" ht="15.75">
      <c r="A21" s="326" t="s">
        <v>419</v>
      </c>
      <c r="B21" s="328"/>
      <c r="C21" s="327"/>
    </row>
    <row r="22" spans="1:3" ht="15.75">
      <c r="A22" s="326" t="s">
        <v>420</v>
      </c>
      <c r="B22" s="328"/>
      <c r="C22" s="327"/>
    </row>
    <row r="23" spans="1:3" ht="31.5">
      <c r="A23" s="326" t="s">
        <v>421</v>
      </c>
      <c r="B23" s="328"/>
      <c r="C23" s="327"/>
    </row>
    <row r="24" spans="1:3" ht="15.75">
      <c r="A24" s="326" t="s">
        <v>422</v>
      </c>
      <c r="B24" s="328"/>
      <c r="C24" s="327"/>
    </row>
    <row r="25" spans="1:3" ht="15.75">
      <c r="A25" s="329" t="s">
        <v>3</v>
      </c>
      <c r="B25" s="330"/>
      <c r="C25" s="331"/>
    </row>
  </sheetData>
  <sheetProtection/>
  <mergeCells count="4">
    <mergeCell ref="A4:G4"/>
    <mergeCell ref="A6:G6"/>
    <mergeCell ref="A7:G7"/>
    <mergeCell ref="A9:G9"/>
  </mergeCells>
  <hyperlinks>
    <hyperlink ref="D1" location="Indice!A1" display="Índice"/>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codeName="Hoja44"/>
  <dimension ref="A1:N14"/>
  <sheetViews>
    <sheetView showGridLines="0" zoomScalePageLayoutView="0" workbookViewId="0" topLeftCell="A1">
      <selection activeCell="A6" sqref="A6:I6"/>
    </sheetView>
  </sheetViews>
  <sheetFormatPr defaultColWidth="11.421875" defaultRowHeight="15"/>
  <cols>
    <col min="1" max="5" width="24.421875" style="155" customWidth="1"/>
    <col min="6" max="6" width="12.8515625" style="155" customWidth="1"/>
    <col min="7" max="7" width="11.421875" style="155" customWidth="1"/>
    <col min="8" max="8" width="17.28125" style="155" customWidth="1"/>
    <col min="9" max="14" width="11.421875" style="155" customWidth="1"/>
  </cols>
  <sheetData>
    <row r="1" spans="1:5" ht="15">
      <c r="A1" s="155" t="str">
        <f>Indice!C1</f>
        <v>IMPORT CENTER S.A.</v>
      </c>
      <c r="E1" s="178" t="s">
        <v>402</v>
      </c>
    </row>
    <row r="2" ht="15">
      <c r="C2" s="165"/>
    </row>
    <row r="5" spans="1:9" ht="15">
      <c r="A5" s="323" t="s">
        <v>424</v>
      </c>
      <c r="B5" s="323"/>
      <c r="C5" s="323"/>
      <c r="D5" s="323"/>
      <c r="E5" s="323"/>
      <c r="F5" s="323"/>
      <c r="G5" s="323"/>
      <c r="H5" s="323"/>
      <c r="I5" s="323"/>
    </row>
    <row r="6" spans="1:14" s="232" customFormat="1" ht="17.25" customHeight="1">
      <c r="A6" s="750" t="s">
        <v>200</v>
      </c>
      <c r="B6" s="750"/>
      <c r="C6" s="750"/>
      <c r="D6" s="750"/>
      <c r="E6" s="750"/>
      <c r="F6" s="750"/>
      <c r="G6" s="750"/>
      <c r="H6" s="750"/>
      <c r="I6" s="750"/>
      <c r="J6" s="231"/>
      <c r="K6" s="231"/>
      <c r="L6" s="231"/>
      <c r="M6" s="231"/>
      <c r="N6" s="231"/>
    </row>
    <row r="8" spans="1:14" s="216" customFormat="1" ht="15">
      <c r="A8" s="215"/>
      <c r="B8" s="215"/>
      <c r="C8" s="215"/>
      <c r="D8" s="215"/>
      <c r="E8" s="215"/>
      <c r="F8" s="215"/>
      <c r="G8" s="215"/>
      <c r="H8" s="215"/>
      <c r="I8" s="215"/>
      <c r="J8" s="215"/>
      <c r="K8" s="215"/>
      <c r="L8" s="215"/>
      <c r="M8" s="215"/>
      <c r="N8" s="215"/>
    </row>
    <row r="9" spans="1:9" s="215" customFormat="1" ht="39" customHeight="1">
      <c r="A9" s="759" t="s">
        <v>1015</v>
      </c>
      <c r="B9" s="759"/>
      <c r="C9" s="759"/>
      <c r="D9" s="759"/>
      <c r="E9" s="759"/>
      <c r="F9" s="759"/>
      <c r="G9" s="759"/>
      <c r="H9" s="759"/>
      <c r="I9" s="759"/>
    </row>
    <row r="10" spans="1:14" s="216" customFormat="1" ht="15">
      <c r="A10" s="215"/>
      <c r="B10" s="215"/>
      <c r="C10" s="215"/>
      <c r="D10" s="215"/>
      <c r="E10" s="215"/>
      <c r="F10" s="215"/>
      <c r="G10" s="215"/>
      <c r="H10" s="215"/>
      <c r="I10" s="215"/>
      <c r="J10" s="215"/>
      <c r="K10" s="215"/>
      <c r="L10" s="215"/>
      <c r="M10" s="215"/>
      <c r="N10" s="215"/>
    </row>
    <row r="11" spans="10:14" s="216" customFormat="1" ht="46.5" customHeight="1">
      <c r="J11" s="215"/>
      <c r="K11" s="215"/>
      <c r="L11" s="215"/>
      <c r="M11" s="215"/>
      <c r="N11" s="215"/>
    </row>
    <row r="12" spans="1:14" s="216" customFormat="1" ht="15">
      <c r="A12" s="215"/>
      <c r="B12" s="215"/>
      <c r="C12" s="215"/>
      <c r="D12" s="215"/>
      <c r="E12" s="215"/>
      <c r="F12" s="215"/>
      <c r="G12" s="215"/>
      <c r="H12" s="215"/>
      <c r="I12" s="215"/>
      <c r="J12" s="215"/>
      <c r="K12" s="215"/>
      <c r="L12" s="215"/>
      <c r="M12" s="215"/>
      <c r="N12" s="215"/>
    </row>
    <row r="13" spans="1:14" s="216" customFormat="1" ht="15">
      <c r="A13" s="764"/>
      <c r="B13" s="764"/>
      <c r="C13" s="764"/>
      <c r="D13" s="764"/>
      <c r="E13" s="764"/>
      <c r="F13" s="764"/>
      <c r="G13" s="764"/>
      <c r="H13" s="764"/>
      <c r="I13" s="764"/>
      <c r="J13" s="215"/>
      <c r="K13" s="215"/>
      <c r="L13" s="215"/>
      <c r="M13" s="215"/>
      <c r="N13" s="215"/>
    </row>
    <row r="14" spans="1:14" s="216" customFormat="1" ht="15">
      <c r="A14" s="215"/>
      <c r="B14" s="215"/>
      <c r="C14" s="215"/>
      <c r="D14" s="215"/>
      <c r="E14" s="215"/>
      <c r="F14" s="215"/>
      <c r="G14" s="215"/>
      <c r="H14" s="215"/>
      <c r="I14" s="215"/>
      <c r="J14" s="215"/>
      <c r="K14" s="215"/>
      <c r="L14" s="215"/>
      <c r="M14" s="215"/>
      <c r="N14" s="215"/>
    </row>
  </sheetData>
  <sheetProtection/>
  <mergeCells count="3">
    <mergeCell ref="A6:I6"/>
    <mergeCell ref="A9:I9"/>
    <mergeCell ref="A13:I13"/>
  </mergeCells>
  <hyperlinks>
    <hyperlink ref="E1" location="Indice!A1" display="Indice"/>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H36"/>
  <sheetViews>
    <sheetView showGridLines="0" zoomScalePageLayoutView="0" workbookViewId="0" topLeftCell="A19">
      <selection activeCell="F28" sqref="F28"/>
    </sheetView>
  </sheetViews>
  <sheetFormatPr defaultColWidth="11.421875" defaultRowHeight="15"/>
  <cols>
    <col min="1" max="1" width="42.57421875" style="0" customWidth="1"/>
    <col min="2" max="2" width="17.00390625" style="0" customWidth="1"/>
    <col min="3" max="3" width="17.57421875" style="0" customWidth="1"/>
  </cols>
  <sheetData>
    <row r="1" spans="1:8" ht="15">
      <c r="A1" t="str">
        <f>Indice!C1</f>
        <v>IMPORT CENTER S.A.</v>
      </c>
      <c r="C1" s="489" t="s">
        <v>402</v>
      </c>
      <c r="H1" s="177"/>
    </row>
    <row r="5" spans="1:7" ht="15">
      <c r="A5" s="487" t="s">
        <v>916</v>
      </c>
      <c r="B5" s="487"/>
      <c r="C5" s="487"/>
      <c r="D5" s="487"/>
      <c r="E5" s="488"/>
      <c r="F5" s="488"/>
      <c r="G5" s="488"/>
    </row>
    <row r="6" spans="1:7" ht="15">
      <c r="A6" s="486" t="s">
        <v>269</v>
      </c>
      <c r="B6" s="483"/>
      <c r="C6" s="483"/>
      <c r="D6" s="483"/>
      <c r="E6" s="483"/>
      <c r="F6" s="483"/>
      <c r="G6" s="483"/>
    </row>
    <row r="7" spans="1:7" ht="15">
      <c r="A7" s="483"/>
      <c r="B7" s="483"/>
      <c r="C7" s="483"/>
      <c r="D7" s="483"/>
      <c r="E7" s="483"/>
      <c r="F7" s="483"/>
      <c r="G7" s="483"/>
    </row>
    <row r="8" spans="1:7" ht="15">
      <c r="A8" s="765"/>
      <c r="B8" s="765"/>
      <c r="C8" s="765"/>
      <c r="D8" s="765"/>
      <c r="E8" s="765"/>
      <c r="F8" s="765"/>
      <c r="G8" s="765"/>
    </row>
    <row r="9" spans="1:7" ht="15">
      <c r="A9" s="483"/>
      <c r="B9" s="483"/>
      <c r="C9" s="483"/>
      <c r="D9" s="483"/>
      <c r="E9" s="483"/>
      <c r="F9" s="483"/>
      <c r="G9" s="483"/>
    </row>
    <row r="10" spans="1:7" ht="15">
      <c r="A10" s="484"/>
      <c r="B10" s="446">
        <f>_xlfn.IFERROR(IF(Indice!B6="","2XX2",YEAR(Indice!B6)),"2XX2")</f>
        <v>2021</v>
      </c>
      <c r="C10" s="446">
        <f>+_xlfn.IFERROR(YEAR(Indice!B6-365),"2XX1")</f>
        <v>2020</v>
      </c>
      <c r="D10" s="483"/>
      <c r="E10" s="483"/>
      <c r="F10" s="483"/>
      <c r="G10" s="483"/>
    </row>
    <row r="11" spans="1:7" ht="15">
      <c r="A11" s="610" t="s">
        <v>904</v>
      </c>
      <c r="B11" s="611"/>
      <c r="C11" s="611"/>
      <c r="D11" s="612"/>
      <c r="E11" s="612"/>
      <c r="F11" s="612"/>
      <c r="G11" s="483"/>
    </row>
    <row r="12" spans="1:7" ht="15">
      <c r="A12" s="611" t="s">
        <v>110</v>
      </c>
      <c r="B12" s="611"/>
      <c r="C12" s="611"/>
      <c r="D12" s="612"/>
      <c r="E12" s="612"/>
      <c r="F12" s="612"/>
      <c r="G12" s="483"/>
    </row>
    <row r="13" spans="1:7" ht="15">
      <c r="A13" s="611" t="s">
        <v>905</v>
      </c>
      <c r="B13" s="611">
        <v>465000</v>
      </c>
      <c r="C13" s="611"/>
      <c r="D13" s="612"/>
      <c r="E13" s="612"/>
      <c r="F13" s="612"/>
      <c r="G13" s="483"/>
    </row>
    <row r="14" spans="1:7" ht="15">
      <c r="A14" s="611" t="s">
        <v>40</v>
      </c>
      <c r="B14" s="611"/>
      <c r="C14" s="611"/>
      <c r="D14" s="612"/>
      <c r="E14" s="612"/>
      <c r="F14" s="612"/>
      <c r="G14" s="483"/>
    </row>
    <row r="15" spans="1:7" ht="15">
      <c r="A15" s="610" t="s">
        <v>906</v>
      </c>
      <c r="B15" s="619">
        <f>+B13</f>
        <v>465000</v>
      </c>
      <c r="C15" s="619">
        <f>+C13</f>
        <v>0</v>
      </c>
      <c r="D15" s="612"/>
      <c r="E15" s="612"/>
      <c r="F15" s="612"/>
      <c r="G15" s="483"/>
    </row>
    <row r="16" spans="1:7" ht="15">
      <c r="A16" s="610" t="s">
        <v>907</v>
      </c>
      <c r="B16" s="613"/>
      <c r="C16" s="613"/>
      <c r="D16" s="612"/>
      <c r="E16" s="612"/>
      <c r="F16" s="612"/>
      <c r="G16" s="483"/>
    </row>
    <row r="17" spans="1:7" ht="15">
      <c r="A17" s="611" t="s">
        <v>111</v>
      </c>
      <c r="B17" s="611"/>
      <c r="C17" s="611"/>
      <c r="D17" s="612"/>
      <c r="E17" s="612"/>
      <c r="F17" s="612"/>
      <c r="G17" s="483"/>
    </row>
    <row r="18" spans="1:7" ht="15">
      <c r="A18" s="611" t="s">
        <v>112</v>
      </c>
      <c r="B18" s="611"/>
      <c r="C18" s="611"/>
      <c r="D18" s="612"/>
      <c r="E18" s="612"/>
      <c r="F18" s="612"/>
      <c r="G18" s="483"/>
    </row>
    <row r="19" spans="1:7" ht="15">
      <c r="A19" s="611" t="s">
        <v>69</v>
      </c>
      <c r="B19" s="611"/>
      <c r="C19" s="611"/>
      <c r="D19" s="612"/>
      <c r="E19" s="612"/>
      <c r="F19" s="612"/>
      <c r="G19" s="483"/>
    </row>
    <row r="20" spans="1:7" ht="15">
      <c r="A20" s="611" t="s">
        <v>908</v>
      </c>
      <c r="B20" s="611">
        <v>650000</v>
      </c>
      <c r="C20" s="611">
        <v>650000</v>
      </c>
      <c r="D20" s="612"/>
      <c r="E20" s="612"/>
      <c r="F20" s="612"/>
      <c r="G20" s="483"/>
    </row>
    <row r="21" spans="1:7" ht="15">
      <c r="A21" s="611" t="s">
        <v>909</v>
      </c>
      <c r="B21" s="611"/>
      <c r="C21" s="611"/>
      <c r="D21" s="612"/>
      <c r="E21" s="612"/>
      <c r="F21" s="612"/>
      <c r="G21" s="483"/>
    </row>
    <row r="22" spans="1:7" ht="15">
      <c r="A22" s="610" t="s">
        <v>910</v>
      </c>
      <c r="B22" s="619">
        <f>+B20</f>
        <v>650000</v>
      </c>
      <c r="C22" s="619">
        <f>+C20</f>
        <v>650000</v>
      </c>
      <c r="D22" s="612"/>
      <c r="E22" s="612"/>
      <c r="F22" s="612"/>
      <c r="G22" s="483"/>
    </row>
    <row r="23" spans="1:7" ht="15">
      <c r="A23" s="612"/>
      <c r="B23" s="612"/>
      <c r="C23" s="612"/>
      <c r="D23" s="612"/>
      <c r="E23" s="612"/>
      <c r="F23" s="612"/>
      <c r="G23" s="483"/>
    </row>
    <row r="24" spans="1:7" ht="15">
      <c r="A24" s="766"/>
      <c r="B24" s="766"/>
      <c r="C24" s="766"/>
      <c r="D24" s="766"/>
      <c r="E24" s="766"/>
      <c r="F24" s="766"/>
      <c r="G24" s="485"/>
    </row>
    <row r="25" spans="1:7" ht="15">
      <c r="A25" s="614"/>
      <c r="B25" s="614"/>
      <c r="C25" s="614"/>
      <c r="D25" s="614"/>
      <c r="E25" s="614"/>
      <c r="F25" s="614"/>
      <c r="G25" s="485"/>
    </row>
    <row r="26" spans="1:7" ht="15">
      <c r="A26" s="615"/>
      <c r="B26" s="616">
        <f>_xlfn.IFERROR(IF(Indice!B6="","2XX2",YEAR(Indice!B6)),"2XX2")</f>
        <v>2021</v>
      </c>
      <c r="C26" s="616">
        <f>+_xlfn.IFERROR(YEAR(Indice!B6-365),"2XX1")</f>
        <v>2020</v>
      </c>
      <c r="D26" s="614"/>
      <c r="E26" s="614"/>
      <c r="F26" s="614"/>
      <c r="G26" s="485"/>
    </row>
    <row r="27" spans="1:7" ht="15">
      <c r="A27" s="617" t="s">
        <v>154</v>
      </c>
      <c r="B27" s="618"/>
      <c r="C27" s="618"/>
      <c r="D27" s="614"/>
      <c r="E27" s="614"/>
      <c r="F27" s="614"/>
      <c r="G27" s="485"/>
    </row>
    <row r="28" spans="1:7" ht="15">
      <c r="A28" s="618" t="s">
        <v>911</v>
      </c>
      <c r="B28" s="618"/>
      <c r="C28" s="618"/>
      <c r="D28" s="614"/>
      <c r="E28" s="614"/>
      <c r="F28" s="614"/>
      <c r="G28" s="485"/>
    </row>
    <row r="29" spans="1:7" ht="15">
      <c r="A29" s="618"/>
      <c r="B29" s="618"/>
      <c r="C29" s="618"/>
      <c r="D29" s="614"/>
      <c r="E29" s="614"/>
      <c r="F29" s="614"/>
      <c r="G29" s="485"/>
    </row>
    <row r="30" spans="1:7" ht="15">
      <c r="A30" s="617" t="s">
        <v>191</v>
      </c>
      <c r="B30" s="617">
        <f>+B31</f>
        <v>120000</v>
      </c>
      <c r="C30" s="617">
        <f>+C31</f>
        <v>120000</v>
      </c>
      <c r="D30" s="614"/>
      <c r="E30" s="614"/>
      <c r="F30" s="614"/>
      <c r="G30" s="485"/>
    </row>
    <row r="31" spans="1:7" ht="15">
      <c r="A31" s="618" t="s">
        <v>912</v>
      </c>
      <c r="B31" s="618">
        <v>120000</v>
      </c>
      <c r="C31" s="618">
        <v>120000</v>
      </c>
      <c r="D31" s="614"/>
      <c r="E31" s="614"/>
      <c r="F31" s="614"/>
      <c r="G31" s="485"/>
    </row>
    <row r="32" spans="1:7" ht="15">
      <c r="A32" s="618" t="s">
        <v>913</v>
      </c>
      <c r="B32" s="618"/>
      <c r="C32" s="618"/>
      <c r="D32" s="614"/>
      <c r="E32" s="614"/>
      <c r="F32" s="614"/>
      <c r="G32" s="485"/>
    </row>
    <row r="33" spans="1:7" ht="15">
      <c r="A33" s="617" t="s">
        <v>914</v>
      </c>
      <c r="B33" s="618"/>
      <c r="C33" s="618"/>
      <c r="D33" s="614"/>
      <c r="E33" s="614"/>
      <c r="F33" s="614"/>
      <c r="G33" s="485"/>
    </row>
    <row r="34" spans="1:7" ht="15">
      <c r="A34" s="618" t="s">
        <v>915</v>
      </c>
      <c r="B34" s="618"/>
      <c r="C34" s="618"/>
      <c r="D34" s="614"/>
      <c r="E34" s="614"/>
      <c r="F34" s="614"/>
      <c r="G34" s="485"/>
    </row>
    <row r="35" spans="1:7" ht="15">
      <c r="A35" s="485"/>
      <c r="B35" s="485"/>
      <c r="C35" s="485"/>
      <c r="D35" s="485"/>
      <c r="E35" s="485"/>
      <c r="F35" s="485"/>
      <c r="G35" s="485"/>
    </row>
    <row r="36" spans="1:7" ht="15">
      <c r="A36" s="485"/>
      <c r="B36" s="485"/>
      <c r="C36" s="485"/>
      <c r="D36" s="485"/>
      <c r="E36" s="485"/>
      <c r="F36" s="485"/>
      <c r="G36" s="485"/>
    </row>
  </sheetData>
  <sheetProtection/>
  <mergeCells count="2">
    <mergeCell ref="A8:G8"/>
    <mergeCell ref="A24:F24"/>
  </mergeCells>
  <hyperlinks>
    <hyperlink ref="C1" location="Indice!A1" display="Indice"/>
  </hyperlink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C179"/>
  <sheetViews>
    <sheetView zoomScalePageLayoutView="0" workbookViewId="0" topLeftCell="A1">
      <selection activeCell="C1" sqref="C1"/>
    </sheetView>
  </sheetViews>
  <sheetFormatPr defaultColWidth="11.421875" defaultRowHeight="15"/>
  <cols>
    <col min="1" max="1" width="11.421875" style="336" customWidth="1"/>
    <col min="2" max="2" width="66.140625" style="336" bestFit="1" customWidth="1"/>
  </cols>
  <sheetData>
    <row r="1" spans="1:3" ht="15">
      <c r="A1" s="336" t="s">
        <v>448</v>
      </c>
      <c r="B1" s="336" t="s">
        <v>772</v>
      </c>
      <c r="C1" s="177" t="s">
        <v>920</v>
      </c>
    </row>
    <row r="2" spans="1:2" ht="15">
      <c r="A2" s="336" t="s">
        <v>447</v>
      </c>
      <c r="B2" s="336" t="s">
        <v>638</v>
      </c>
    </row>
    <row r="3" spans="1:2" ht="15">
      <c r="A3" s="336" t="s">
        <v>540</v>
      </c>
      <c r="B3" s="336" t="s">
        <v>704</v>
      </c>
    </row>
    <row r="4" spans="1:2" ht="15">
      <c r="A4" s="336" t="s">
        <v>496</v>
      </c>
      <c r="B4" s="336" t="s">
        <v>497</v>
      </c>
    </row>
    <row r="5" spans="1:2" ht="15">
      <c r="A5" s="336" t="s">
        <v>498</v>
      </c>
      <c r="B5" s="336" t="s">
        <v>652</v>
      </c>
    </row>
    <row r="6" spans="1:2" ht="15">
      <c r="A6" s="336" t="s">
        <v>499</v>
      </c>
      <c r="B6" s="336" t="s">
        <v>653</v>
      </c>
    </row>
    <row r="7" spans="1:2" ht="15">
      <c r="A7" s="336" t="s">
        <v>500</v>
      </c>
      <c r="B7" s="336" t="s">
        <v>654</v>
      </c>
    </row>
    <row r="8" spans="1:2" ht="15">
      <c r="A8" s="336" t="s">
        <v>501</v>
      </c>
      <c r="B8" s="336" t="s">
        <v>655</v>
      </c>
    </row>
    <row r="9" spans="1:2" ht="15">
      <c r="A9" s="336" t="s">
        <v>502</v>
      </c>
      <c r="B9" s="336" t="s">
        <v>656</v>
      </c>
    </row>
    <row r="10" spans="1:2" ht="15">
      <c r="A10" s="336" t="s">
        <v>503</v>
      </c>
      <c r="B10" s="336" t="s">
        <v>657</v>
      </c>
    </row>
    <row r="11" spans="1:2" ht="15">
      <c r="A11" s="336" t="s">
        <v>504</v>
      </c>
      <c r="B11" s="336" t="s">
        <v>658</v>
      </c>
    </row>
    <row r="12" spans="1:2" ht="15">
      <c r="A12" s="336" t="s">
        <v>505</v>
      </c>
      <c r="B12" s="336" t="s">
        <v>659</v>
      </c>
    </row>
    <row r="13" spans="1:2" ht="15">
      <c r="A13" s="336" t="s">
        <v>506</v>
      </c>
      <c r="B13" s="336" t="s">
        <v>660</v>
      </c>
    </row>
    <row r="14" spans="1:2" ht="15">
      <c r="A14" s="336" t="s">
        <v>507</v>
      </c>
      <c r="B14" s="336" t="s">
        <v>661</v>
      </c>
    </row>
    <row r="15" spans="1:2" ht="15">
      <c r="A15" s="336" t="s">
        <v>508</v>
      </c>
      <c r="B15" s="336" t="s">
        <v>662</v>
      </c>
    </row>
    <row r="16" spans="1:2" ht="15">
      <c r="A16" s="336" t="s">
        <v>509</v>
      </c>
      <c r="B16" s="336" t="s">
        <v>663</v>
      </c>
    </row>
    <row r="17" spans="1:2" ht="15">
      <c r="A17" s="336" t="s">
        <v>510</v>
      </c>
      <c r="B17" s="336" t="s">
        <v>664</v>
      </c>
    </row>
    <row r="18" spans="1:2" ht="15">
      <c r="A18" s="336" t="s">
        <v>511</v>
      </c>
      <c r="B18" s="336" t="s">
        <v>665</v>
      </c>
    </row>
    <row r="19" spans="1:2" ht="15">
      <c r="A19" s="336" t="s">
        <v>512</v>
      </c>
      <c r="B19" s="336" t="s">
        <v>666</v>
      </c>
    </row>
    <row r="20" spans="1:2" ht="15">
      <c r="A20" s="336" t="s">
        <v>513</v>
      </c>
      <c r="B20" s="336" t="s">
        <v>667</v>
      </c>
    </row>
    <row r="21" spans="1:2" ht="15">
      <c r="A21" s="336" t="s">
        <v>514</v>
      </c>
      <c r="B21" s="336" t="s">
        <v>668</v>
      </c>
    </row>
    <row r="22" spans="1:2" ht="15">
      <c r="A22" s="336" t="s">
        <v>515</v>
      </c>
      <c r="B22" s="336" t="s">
        <v>669</v>
      </c>
    </row>
    <row r="23" spans="1:2" ht="15">
      <c r="A23" s="336" t="s">
        <v>670</v>
      </c>
      <c r="B23" s="336" t="s">
        <v>671</v>
      </c>
    </row>
    <row r="24" spans="1:2" ht="15">
      <c r="A24" s="336" t="s">
        <v>516</v>
      </c>
      <c r="B24" s="336" t="s">
        <v>672</v>
      </c>
    </row>
    <row r="25" spans="1:2" ht="15">
      <c r="A25" s="336" t="s">
        <v>517</v>
      </c>
      <c r="B25" s="336" t="s">
        <v>673</v>
      </c>
    </row>
    <row r="26" spans="1:2" ht="15">
      <c r="A26" s="336" t="s">
        <v>518</v>
      </c>
      <c r="B26" s="336" t="s">
        <v>674</v>
      </c>
    </row>
    <row r="27" spans="1:2" ht="15">
      <c r="A27" s="336" t="s">
        <v>519</v>
      </c>
      <c r="B27" s="336" t="s">
        <v>675</v>
      </c>
    </row>
    <row r="28" spans="1:2" ht="15">
      <c r="A28" s="336" t="s">
        <v>520</v>
      </c>
      <c r="B28" s="336" t="s">
        <v>676</v>
      </c>
    </row>
    <row r="29" spans="1:2" ht="15">
      <c r="A29" s="336" t="s">
        <v>521</v>
      </c>
      <c r="B29" s="336" t="s">
        <v>677</v>
      </c>
    </row>
    <row r="30" spans="1:2" ht="15">
      <c r="A30" s="336" t="s">
        <v>522</v>
      </c>
      <c r="B30" s="336" t="s">
        <v>678</v>
      </c>
    </row>
    <row r="31" spans="1:2" ht="15">
      <c r="A31" s="336" t="s">
        <v>523</v>
      </c>
      <c r="B31" s="336" t="s">
        <v>679</v>
      </c>
    </row>
    <row r="32" spans="1:2" ht="15">
      <c r="A32" s="336" t="s">
        <v>680</v>
      </c>
      <c r="B32" s="336" t="s">
        <v>681</v>
      </c>
    </row>
    <row r="33" spans="1:2" ht="15">
      <c r="A33" s="336" t="s">
        <v>524</v>
      </c>
      <c r="B33" s="336" t="s">
        <v>682</v>
      </c>
    </row>
    <row r="34" spans="1:2" ht="15">
      <c r="A34" s="336" t="s">
        <v>683</v>
      </c>
      <c r="B34" s="336" t="s">
        <v>684</v>
      </c>
    </row>
    <row r="35" spans="1:2" ht="15">
      <c r="A35" s="336" t="s">
        <v>685</v>
      </c>
      <c r="B35" s="336" t="s">
        <v>686</v>
      </c>
    </row>
    <row r="36" spans="1:2" ht="15">
      <c r="A36" s="336" t="s">
        <v>525</v>
      </c>
      <c r="B36" s="336" t="s">
        <v>687</v>
      </c>
    </row>
    <row r="37" spans="1:2" ht="15">
      <c r="A37" s="336" t="s">
        <v>526</v>
      </c>
      <c r="B37" s="336" t="s">
        <v>688</v>
      </c>
    </row>
    <row r="38" spans="1:2" ht="15">
      <c r="A38" s="336" t="s">
        <v>527</v>
      </c>
      <c r="B38" s="336" t="s">
        <v>689</v>
      </c>
    </row>
    <row r="39" spans="1:2" ht="15">
      <c r="A39" s="336" t="s">
        <v>690</v>
      </c>
      <c r="B39" s="336" t="s">
        <v>691</v>
      </c>
    </row>
    <row r="40" spans="1:2" ht="15">
      <c r="A40" s="336" t="s">
        <v>528</v>
      </c>
      <c r="B40" s="336" t="s">
        <v>692</v>
      </c>
    </row>
    <row r="41" spans="1:2" ht="15">
      <c r="A41" s="336" t="s">
        <v>529</v>
      </c>
      <c r="B41" s="336" t="s">
        <v>693</v>
      </c>
    </row>
    <row r="42" spans="1:2" ht="15">
      <c r="A42" s="336" t="s">
        <v>530</v>
      </c>
      <c r="B42" s="336" t="s">
        <v>694</v>
      </c>
    </row>
    <row r="43" spans="1:2" ht="15">
      <c r="A43" s="336" t="s">
        <v>531</v>
      </c>
      <c r="B43" s="336" t="s">
        <v>695</v>
      </c>
    </row>
    <row r="44" spans="1:2" ht="15">
      <c r="A44" s="336" t="s">
        <v>532</v>
      </c>
      <c r="B44" s="336" t="s">
        <v>696</v>
      </c>
    </row>
    <row r="45" spans="1:2" ht="15">
      <c r="A45" s="336" t="s">
        <v>533</v>
      </c>
      <c r="B45" s="336" t="s">
        <v>697</v>
      </c>
    </row>
    <row r="46" spans="1:2" ht="15">
      <c r="A46" s="336" t="s">
        <v>534</v>
      </c>
      <c r="B46" s="336" t="s">
        <v>698</v>
      </c>
    </row>
    <row r="47" spans="1:2" ht="15">
      <c r="A47" s="336" t="s">
        <v>535</v>
      </c>
      <c r="B47" s="336" t="s">
        <v>699</v>
      </c>
    </row>
    <row r="48" spans="1:2" ht="15">
      <c r="A48" s="336" t="s">
        <v>536</v>
      </c>
      <c r="B48" s="336" t="s">
        <v>700</v>
      </c>
    </row>
    <row r="49" spans="1:2" ht="15">
      <c r="A49" s="336" t="s">
        <v>537</v>
      </c>
      <c r="B49" s="336" t="s">
        <v>701</v>
      </c>
    </row>
    <row r="50" spans="1:2" ht="15">
      <c r="A50" s="336" t="s">
        <v>538</v>
      </c>
      <c r="B50" s="336" t="s">
        <v>702</v>
      </c>
    </row>
    <row r="51" spans="1:2" ht="15">
      <c r="A51" s="336" t="s">
        <v>539</v>
      </c>
      <c r="B51" s="336" t="s">
        <v>703</v>
      </c>
    </row>
    <row r="52" spans="1:2" ht="15">
      <c r="A52" s="336" t="s">
        <v>541</v>
      </c>
      <c r="B52" s="336" t="s">
        <v>705</v>
      </c>
    </row>
    <row r="53" spans="1:2" ht="15">
      <c r="A53" s="336" t="s">
        <v>542</v>
      </c>
      <c r="B53" s="336" t="s">
        <v>706</v>
      </c>
    </row>
    <row r="54" spans="1:2" ht="15">
      <c r="A54" s="336" t="s">
        <v>543</v>
      </c>
      <c r="B54" s="336" t="s">
        <v>707</v>
      </c>
    </row>
    <row r="55" spans="1:2" ht="15">
      <c r="A55" s="336" t="s">
        <v>544</v>
      </c>
      <c r="B55" s="336" t="s">
        <v>708</v>
      </c>
    </row>
    <row r="56" spans="1:2" ht="15">
      <c r="A56" s="336" t="s">
        <v>545</v>
      </c>
      <c r="B56" s="336" t="s">
        <v>709</v>
      </c>
    </row>
    <row r="57" spans="1:2" ht="15">
      <c r="A57" s="336" t="s">
        <v>546</v>
      </c>
      <c r="B57" s="336" t="s">
        <v>710</v>
      </c>
    </row>
    <row r="58" spans="1:2" ht="15">
      <c r="A58" s="336" t="s">
        <v>547</v>
      </c>
      <c r="B58" s="336" t="s">
        <v>711</v>
      </c>
    </row>
    <row r="59" spans="1:2" ht="15">
      <c r="A59" s="336" t="s">
        <v>548</v>
      </c>
      <c r="B59" s="336" t="s">
        <v>712</v>
      </c>
    </row>
    <row r="60" spans="1:2" ht="15">
      <c r="A60" s="336" t="s">
        <v>549</v>
      </c>
      <c r="B60" s="336" t="s">
        <v>713</v>
      </c>
    </row>
    <row r="61" spans="1:2" ht="15">
      <c r="A61" s="336" t="s">
        <v>550</v>
      </c>
      <c r="B61" s="336" t="s">
        <v>714</v>
      </c>
    </row>
    <row r="62" spans="1:2" ht="15">
      <c r="A62" s="336" t="s">
        <v>551</v>
      </c>
      <c r="B62" s="336" t="s">
        <v>715</v>
      </c>
    </row>
    <row r="63" spans="1:2" ht="15">
      <c r="A63" s="336" t="s">
        <v>552</v>
      </c>
      <c r="B63" s="336" t="s">
        <v>716</v>
      </c>
    </row>
    <row r="64" spans="1:2" ht="15">
      <c r="A64" s="336" t="s">
        <v>553</v>
      </c>
      <c r="B64" s="336" t="s">
        <v>717</v>
      </c>
    </row>
    <row r="65" spans="1:2" ht="15">
      <c r="A65" s="336" t="s">
        <v>554</v>
      </c>
      <c r="B65" s="336" t="s">
        <v>718</v>
      </c>
    </row>
    <row r="66" spans="1:2" ht="15">
      <c r="A66" s="336" t="s">
        <v>555</v>
      </c>
      <c r="B66" s="336" t="s">
        <v>719</v>
      </c>
    </row>
    <row r="67" spans="1:2" ht="15">
      <c r="A67" s="336" t="s">
        <v>556</v>
      </c>
      <c r="B67" s="336" t="s">
        <v>720</v>
      </c>
    </row>
    <row r="68" spans="1:2" ht="15">
      <c r="A68" s="336" t="s">
        <v>557</v>
      </c>
      <c r="B68" s="336" t="s">
        <v>721</v>
      </c>
    </row>
    <row r="69" spans="1:2" ht="15">
      <c r="A69" s="336" t="s">
        <v>558</v>
      </c>
      <c r="B69" s="336" t="s">
        <v>722</v>
      </c>
    </row>
    <row r="70" spans="1:2" ht="15">
      <c r="A70" s="336" t="s">
        <v>559</v>
      </c>
      <c r="B70" s="336" t="s">
        <v>723</v>
      </c>
    </row>
    <row r="71" spans="1:2" ht="15">
      <c r="A71" s="336" t="s">
        <v>560</v>
      </c>
      <c r="B71" s="336" t="s">
        <v>724</v>
      </c>
    </row>
    <row r="72" spans="1:2" ht="15">
      <c r="A72" s="336" t="s">
        <v>561</v>
      </c>
      <c r="B72" s="336" t="s">
        <v>725</v>
      </c>
    </row>
    <row r="73" spans="1:2" ht="15">
      <c r="A73" s="336" t="s">
        <v>562</v>
      </c>
      <c r="B73" s="336" t="s">
        <v>726</v>
      </c>
    </row>
    <row r="74" spans="1:2" ht="15">
      <c r="A74" s="336" t="s">
        <v>563</v>
      </c>
      <c r="B74" s="336" t="s">
        <v>727</v>
      </c>
    </row>
    <row r="75" spans="1:2" ht="15">
      <c r="A75" s="336" t="s">
        <v>564</v>
      </c>
      <c r="B75" s="336" t="s">
        <v>728</v>
      </c>
    </row>
    <row r="76" spans="1:2" ht="15">
      <c r="A76" s="336" t="s">
        <v>565</v>
      </c>
      <c r="B76" s="336" t="s">
        <v>729</v>
      </c>
    </row>
    <row r="77" spans="1:2" ht="15">
      <c r="A77" s="336" t="s">
        <v>566</v>
      </c>
      <c r="B77" s="336" t="s">
        <v>730</v>
      </c>
    </row>
    <row r="78" spans="1:2" ht="15">
      <c r="A78" s="336" t="s">
        <v>567</v>
      </c>
      <c r="B78" s="336" t="s">
        <v>731</v>
      </c>
    </row>
    <row r="79" spans="1:2" ht="15">
      <c r="A79" s="336" t="s">
        <v>568</v>
      </c>
      <c r="B79" s="336" t="s">
        <v>732</v>
      </c>
    </row>
    <row r="80" spans="1:2" ht="15">
      <c r="A80" s="336" t="s">
        <v>569</v>
      </c>
      <c r="B80" s="336" t="s">
        <v>733</v>
      </c>
    </row>
    <row r="81" spans="1:2" ht="15">
      <c r="A81" s="336" t="s">
        <v>570</v>
      </c>
      <c r="B81" s="336" t="s">
        <v>734</v>
      </c>
    </row>
    <row r="82" spans="1:2" ht="15">
      <c r="A82" s="336" t="s">
        <v>571</v>
      </c>
      <c r="B82" s="336" t="s">
        <v>735</v>
      </c>
    </row>
    <row r="83" spans="1:2" ht="15">
      <c r="A83" s="336" t="s">
        <v>572</v>
      </c>
      <c r="B83" s="336" t="s">
        <v>736</v>
      </c>
    </row>
    <row r="84" spans="1:2" ht="15">
      <c r="A84" s="336" t="s">
        <v>573</v>
      </c>
      <c r="B84" s="336" t="s">
        <v>737</v>
      </c>
    </row>
    <row r="85" spans="1:2" ht="15">
      <c r="A85" s="336" t="s">
        <v>574</v>
      </c>
      <c r="B85" s="336" t="s">
        <v>738</v>
      </c>
    </row>
    <row r="86" spans="1:2" ht="15">
      <c r="A86" s="336" t="s">
        <v>575</v>
      </c>
      <c r="B86" s="336" t="s">
        <v>739</v>
      </c>
    </row>
    <row r="87" spans="1:2" ht="15">
      <c r="A87" s="336" t="s">
        <v>576</v>
      </c>
      <c r="B87" s="336" t="s">
        <v>740</v>
      </c>
    </row>
    <row r="88" spans="1:2" ht="15">
      <c r="A88" s="336" t="s">
        <v>577</v>
      </c>
      <c r="B88" s="336" t="s">
        <v>741</v>
      </c>
    </row>
    <row r="89" spans="1:2" ht="15">
      <c r="A89" s="336" t="s">
        <v>578</v>
      </c>
      <c r="B89" s="336" t="s">
        <v>742</v>
      </c>
    </row>
    <row r="90" spans="1:2" ht="15">
      <c r="A90" s="336" t="s">
        <v>579</v>
      </c>
      <c r="B90" s="336" t="s">
        <v>743</v>
      </c>
    </row>
    <row r="91" spans="1:2" ht="15">
      <c r="A91" s="336" t="s">
        <v>580</v>
      </c>
      <c r="B91" s="336" t="s">
        <v>744</v>
      </c>
    </row>
    <row r="92" spans="1:2" ht="15">
      <c r="A92" s="336" t="s">
        <v>581</v>
      </c>
      <c r="B92" s="336" t="s">
        <v>745</v>
      </c>
    </row>
    <row r="93" spans="1:2" ht="15">
      <c r="A93" s="336" t="s">
        <v>582</v>
      </c>
      <c r="B93" s="336" t="s">
        <v>746</v>
      </c>
    </row>
    <row r="94" spans="1:2" ht="15">
      <c r="A94" s="336" t="s">
        <v>583</v>
      </c>
      <c r="B94" s="336" t="s">
        <v>747</v>
      </c>
    </row>
    <row r="95" spans="1:2" ht="15">
      <c r="A95" s="336" t="s">
        <v>584</v>
      </c>
      <c r="B95" s="336" t="s">
        <v>748</v>
      </c>
    </row>
    <row r="96" spans="1:2" ht="15">
      <c r="A96" s="336" t="s">
        <v>585</v>
      </c>
      <c r="B96" s="336" t="s">
        <v>749</v>
      </c>
    </row>
    <row r="97" spans="1:2" ht="15">
      <c r="A97" s="336" t="s">
        <v>586</v>
      </c>
      <c r="B97" s="336" t="s">
        <v>750</v>
      </c>
    </row>
    <row r="98" spans="1:2" ht="15">
      <c r="A98" s="336" t="s">
        <v>587</v>
      </c>
      <c r="B98" s="336" t="s">
        <v>751</v>
      </c>
    </row>
    <row r="99" spans="1:2" ht="15">
      <c r="A99" s="336" t="s">
        <v>588</v>
      </c>
      <c r="B99" s="336" t="s">
        <v>752</v>
      </c>
    </row>
    <row r="100" spans="1:2" ht="15">
      <c r="A100" s="336" t="s">
        <v>589</v>
      </c>
      <c r="B100" s="336" t="s">
        <v>753</v>
      </c>
    </row>
    <row r="101" spans="1:2" ht="15">
      <c r="A101" s="336" t="s">
        <v>590</v>
      </c>
      <c r="B101" s="336" t="s">
        <v>754</v>
      </c>
    </row>
    <row r="102" spans="1:2" ht="15">
      <c r="A102" s="336" t="s">
        <v>591</v>
      </c>
      <c r="B102" s="336" t="s">
        <v>755</v>
      </c>
    </row>
    <row r="103" spans="1:2" ht="15">
      <c r="A103" s="336" t="s">
        <v>756</v>
      </c>
      <c r="B103" s="336" t="s">
        <v>757</v>
      </c>
    </row>
    <row r="104" spans="1:2" ht="15">
      <c r="A104" s="336" t="s">
        <v>592</v>
      </c>
      <c r="B104" s="336" t="s">
        <v>758</v>
      </c>
    </row>
    <row r="105" spans="1:2" ht="15">
      <c r="A105" s="336" t="s">
        <v>593</v>
      </c>
      <c r="B105" s="336" t="s">
        <v>759</v>
      </c>
    </row>
    <row r="106" spans="1:2" ht="15">
      <c r="A106" s="336" t="s">
        <v>594</v>
      </c>
      <c r="B106" s="336" t="s">
        <v>760</v>
      </c>
    </row>
    <row r="107" spans="1:2" ht="15">
      <c r="A107" s="336" t="s">
        <v>595</v>
      </c>
      <c r="B107" s="336" t="s">
        <v>761</v>
      </c>
    </row>
    <row r="108" spans="1:2" ht="15">
      <c r="A108" s="336" t="s">
        <v>596</v>
      </c>
      <c r="B108" s="336" t="s">
        <v>762</v>
      </c>
    </row>
    <row r="109" spans="1:2" ht="15">
      <c r="A109" s="336" t="s">
        <v>597</v>
      </c>
      <c r="B109" s="336" t="s">
        <v>763</v>
      </c>
    </row>
    <row r="110" spans="1:2" ht="15">
      <c r="A110" s="336" t="s">
        <v>598</v>
      </c>
      <c r="B110" s="336" t="s">
        <v>764</v>
      </c>
    </row>
    <row r="111" spans="1:2" ht="15">
      <c r="A111" s="336" t="s">
        <v>599</v>
      </c>
      <c r="B111" s="336" t="s">
        <v>600</v>
      </c>
    </row>
    <row r="112" spans="1:2" ht="15">
      <c r="A112" s="336" t="s">
        <v>601</v>
      </c>
      <c r="B112" s="336" t="s">
        <v>765</v>
      </c>
    </row>
    <row r="113" spans="1:2" ht="15">
      <c r="A113" s="336" t="s">
        <v>602</v>
      </c>
      <c r="B113" s="336" t="s">
        <v>766</v>
      </c>
    </row>
    <row r="114" spans="1:2" ht="15">
      <c r="A114" s="336" t="s">
        <v>603</v>
      </c>
      <c r="B114" s="336" t="s">
        <v>767</v>
      </c>
    </row>
    <row r="115" spans="1:2" ht="15">
      <c r="A115" s="336" t="s">
        <v>604</v>
      </c>
      <c r="B115" s="336" t="s">
        <v>768</v>
      </c>
    </row>
    <row r="116" spans="1:2" ht="15">
      <c r="A116" s="336" t="s">
        <v>605</v>
      </c>
      <c r="B116" s="336" t="s">
        <v>769</v>
      </c>
    </row>
    <row r="117" spans="1:2" ht="15">
      <c r="A117" s="336" t="s">
        <v>606</v>
      </c>
      <c r="B117" s="336" t="s">
        <v>770</v>
      </c>
    </row>
    <row r="118" spans="1:2" ht="15">
      <c r="A118" s="336" t="s">
        <v>607</v>
      </c>
      <c r="B118" s="336" t="s">
        <v>771</v>
      </c>
    </row>
    <row r="119" spans="1:2" ht="15">
      <c r="A119" s="336" t="s">
        <v>608</v>
      </c>
      <c r="B119" s="336" t="s">
        <v>773</v>
      </c>
    </row>
    <row r="120" spans="1:2" ht="15">
      <c r="A120" s="336" t="s">
        <v>609</v>
      </c>
      <c r="B120" s="336" t="s">
        <v>774</v>
      </c>
    </row>
    <row r="121" spans="1:2" ht="15">
      <c r="A121" s="336" t="s">
        <v>610</v>
      </c>
      <c r="B121" s="336" t="s">
        <v>775</v>
      </c>
    </row>
    <row r="122" spans="1:2" ht="15">
      <c r="A122" s="336" t="s">
        <v>611</v>
      </c>
      <c r="B122" s="336" t="s">
        <v>776</v>
      </c>
    </row>
    <row r="123" spans="1:2" ht="15">
      <c r="A123" s="336" t="s">
        <v>612</v>
      </c>
      <c r="B123" s="336" t="s">
        <v>777</v>
      </c>
    </row>
    <row r="124" spans="1:2" ht="15">
      <c r="A124" s="336" t="s">
        <v>613</v>
      </c>
      <c r="B124" s="336" t="s">
        <v>778</v>
      </c>
    </row>
    <row r="125" spans="1:2" ht="15">
      <c r="A125" s="336" t="s">
        <v>614</v>
      </c>
      <c r="B125" s="336" t="s">
        <v>779</v>
      </c>
    </row>
    <row r="126" spans="1:2" ht="15">
      <c r="A126" s="336" t="s">
        <v>615</v>
      </c>
      <c r="B126" s="336" t="s">
        <v>780</v>
      </c>
    </row>
    <row r="127" spans="1:2" ht="15">
      <c r="A127" s="336" t="s">
        <v>616</v>
      </c>
      <c r="B127" s="336" t="s">
        <v>781</v>
      </c>
    </row>
    <row r="128" spans="1:2" ht="15">
      <c r="A128" s="336" t="s">
        <v>617</v>
      </c>
      <c r="B128" s="336" t="s">
        <v>782</v>
      </c>
    </row>
    <row r="129" spans="1:2" ht="15">
      <c r="A129" s="336" t="s">
        <v>618</v>
      </c>
      <c r="B129" s="336" t="s">
        <v>783</v>
      </c>
    </row>
    <row r="130" spans="1:2" ht="15">
      <c r="A130" s="336" t="s">
        <v>619</v>
      </c>
      <c r="B130" s="336" t="s">
        <v>784</v>
      </c>
    </row>
    <row r="131" spans="1:2" ht="15">
      <c r="A131" s="336" t="s">
        <v>620</v>
      </c>
      <c r="B131" s="336" t="s">
        <v>785</v>
      </c>
    </row>
    <row r="132" spans="1:2" ht="15">
      <c r="A132" s="336" t="s">
        <v>621</v>
      </c>
      <c r="B132" s="336" t="s">
        <v>786</v>
      </c>
    </row>
    <row r="133" spans="1:2" ht="15">
      <c r="A133" s="336" t="s">
        <v>622</v>
      </c>
      <c r="B133" s="336" t="s">
        <v>787</v>
      </c>
    </row>
    <row r="134" spans="1:2" ht="15">
      <c r="A134" s="336" t="s">
        <v>788</v>
      </c>
      <c r="B134" s="336" t="s">
        <v>789</v>
      </c>
    </row>
    <row r="135" spans="1:2" ht="15">
      <c r="A135" s="336" t="s">
        <v>623</v>
      </c>
      <c r="B135" s="336" t="s">
        <v>790</v>
      </c>
    </row>
    <row r="136" spans="1:2" ht="15">
      <c r="A136" s="336" t="s">
        <v>624</v>
      </c>
      <c r="B136" s="336" t="s">
        <v>791</v>
      </c>
    </row>
    <row r="137" spans="1:2" ht="15">
      <c r="A137" s="336" t="s">
        <v>625</v>
      </c>
      <c r="B137" s="336" t="s">
        <v>792</v>
      </c>
    </row>
    <row r="138" spans="1:2" ht="15">
      <c r="A138" s="336" t="s">
        <v>626</v>
      </c>
      <c r="B138" s="336" t="s">
        <v>793</v>
      </c>
    </row>
    <row r="139" spans="1:2" ht="15">
      <c r="A139" s="336" t="s">
        <v>627</v>
      </c>
      <c r="B139" s="336" t="s">
        <v>794</v>
      </c>
    </row>
    <row r="140" spans="1:2" ht="15">
      <c r="A140" s="336" t="s">
        <v>628</v>
      </c>
      <c r="B140" s="336" t="s">
        <v>795</v>
      </c>
    </row>
    <row r="141" spans="1:2" ht="15">
      <c r="A141" s="336" t="s">
        <v>629</v>
      </c>
      <c r="B141" s="336" t="s">
        <v>796</v>
      </c>
    </row>
    <row r="142" spans="1:2" ht="15">
      <c r="A142" s="336" t="s">
        <v>630</v>
      </c>
      <c r="B142" s="336" t="s">
        <v>797</v>
      </c>
    </row>
    <row r="143" spans="1:2" ht="15">
      <c r="A143" s="336" t="s">
        <v>631</v>
      </c>
      <c r="B143" s="336" t="s">
        <v>798</v>
      </c>
    </row>
    <row r="144" spans="1:2" ht="15">
      <c r="A144" s="336" t="s">
        <v>632</v>
      </c>
      <c r="B144" s="336" t="s">
        <v>799</v>
      </c>
    </row>
    <row r="145" spans="1:2" ht="15">
      <c r="A145" s="336" t="s">
        <v>633</v>
      </c>
      <c r="B145" s="336" t="s">
        <v>800</v>
      </c>
    </row>
    <row r="146" spans="1:2" ht="15">
      <c r="A146" s="336" t="s">
        <v>634</v>
      </c>
      <c r="B146" s="336" t="s">
        <v>801</v>
      </c>
    </row>
    <row r="147" spans="1:2" ht="15">
      <c r="A147" s="336" t="s">
        <v>635</v>
      </c>
      <c r="B147" s="336" t="s">
        <v>802</v>
      </c>
    </row>
    <row r="148" spans="1:2" ht="15">
      <c r="A148" s="336" t="s">
        <v>636</v>
      </c>
      <c r="B148" s="336" t="s">
        <v>803</v>
      </c>
    </row>
    <row r="149" spans="1:2" ht="15">
      <c r="A149" s="336" t="s">
        <v>637</v>
      </c>
      <c r="B149" s="336" t="s">
        <v>804</v>
      </c>
    </row>
    <row r="150" spans="1:2" ht="15">
      <c r="A150" s="336" t="s">
        <v>805</v>
      </c>
      <c r="B150" s="336" t="s">
        <v>806</v>
      </c>
    </row>
    <row r="151" spans="1:2" ht="15">
      <c r="A151" s="336" t="s">
        <v>807</v>
      </c>
      <c r="B151" s="336" t="s">
        <v>808</v>
      </c>
    </row>
    <row r="152" spans="1:2" ht="15">
      <c r="A152" s="336" t="s">
        <v>639</v>
      </c>
      <c r="B152" s="336" t="s">
        <v>809</v>
      </c>
    </row>
    <row r="153" spans="1:2" ht="15">
      <c r="A153" s="336" t="s">
        <v>810</v>
      </c>
      <c r="B153" s="336" t="s">
        <v>811</v>
      </c>
    </row>
    <row r="154" spans="1:2" ht="15">
      <c r="A154" s="336" t="s">
        <v>640</v>
      </c>
      <c r="B154" s="336" t="s">
        <v>812</v>
      </c>
    </row>
    <row r="155" spans="1:2" ht="15">
      <c r="A155" s="336" t="s">
        <v>813</v>
      </c>
      <c r="B155" s="336" t="s">
        <v>814</v>
      </c>
    </row>
    <row r="156" spans="1:2" ht="15">
      <c r="A156" s="336" t="s">
        <v>641</v>
      </c>
      <c r="B156" s="336" t="s">
        <v>815</v>
      </c>
    </row>
    <row r="157" spans="1:2" ht="15">
      <c r="A157" s="336" t="s">
        <v>642</v>
      </c>
      <c r="B157" s="336" t="s">
        <v>816</v>
      </c>
    </row>
    <row r="158" spans="1:2" ht="15">
      <c r="A158" s="336" t="s">
        <v>643</v>
      </c>
      <c r="B158" s="336" t="s">
        <v>817</v>
      </c>
    </row>
    <row r="159" spans="1:2" ht="15">
      <c r="A159" s="336" t="s">
        <v>644</v>
      </c>
      <c r="B159" s="336" t="s">
        <v>818</v>
      </c>
    </row>
    <row r="160" spans="1:2" ht="15">
      <c r="A160" s="336" t="s">
        <v>819</v>
      </c>
      <c r="B160" s="336" t="s">
        <v>820</v>
      </c>
    </row>
    <row r="161" spans="1:2" ht="15">
      <c r="A161" s="336" t="s">
        <v>821</v>
      </c>
      <c r="B161" s="336" t="s">
        <v>822</v>
      </c>
    </row>
    <row r="162" spans="1:2" ht="15">
      <c r="A162" s="336" t="s">
        <v>823</v>
      </c>
      <c r="B162" s="336" t="s">
        <v>824</v>
      </c>
    </row>
    <row r="163" spans="1:2" ht="15">
      <c r="A163" s="336" t="s">
        <v>825</v>
      </c>
      <c r="B163" s="336" t="s">
        <v>826</v>
      </c>
    </row>
    <row r="164" spans="1:2" ht="15">
      <c r="A164" s="336" t="s">
        <v>827</v>
      </c>
      <c r="B164" s="336" t="s">
        <v>828</v>
      </c>
    </row>
    <row r="165" spans="1:2" ht="15">
      <c r="A165" s="336" t="s">
        <v>829</v>
      </c>
      <c r="B165" s="336" t="s">
        <v>830</v>
      </c>
    </row>
    <row r="166" spans="1:2" ht="15">
      <c r="A166" s="336" t="s">
        <v>645</v>
      </c>
      <c r="B166" s="336" t="s">
        <v>831</v>
      </c>
    </row>
    <row r="167" spans="1:2" ht="15">
      <c r="A167" s="336" t="s">
        <v>646</v>
      </c>
      <c r="B167" s="336" t="s">
        <v>832</v>
      </c>
    </row>
    <row r="168" spans="1:2" ht="15">
      <c r="A168" s="336" t="s">
        <v>647</v>
      </c>
      <c r="B168" s="336" t="s">
        <v>833</v>
      </c>
    </row>
    <row r="169" spans="1:2" ht="15">
      <c r="A169" s="336" t="s">
        <v>834</v>
      </c>
      <c r="B169" s="336" t="s">
        <v>835</v>
      </c>
    </row>
    <row r="170" spans="1:2" ht="15">
      <c r="A170" s="336" t="s">
        <v>648</v>
      </c>
      <c r="B170" s="336" t="s">
        <v>836</v>
      </c>
    </row>
    <row r="171" spans="1:2" ht="15">
      <c r="A171" s="336" t="s">
        <v>837</v>
      </c>
      <c r="B171" s="336" t="s">
        <v>838</v>
      </c>
    </row>
    <row r="172" spans="1:2" ht="15">
      <c r="A172" s="336" t="s">
        <v>839</v>
      </c>
      <c r="B172" s="336" t="s">
        <v>840</v>
      </c>
    </row>
    <row r="173" spans="1:2" ht="15">
      <c r="A173" s="336" t="s">
        <v>841</v>
      </c>
      <c r="B173" s="336" t="s">
        <v>842</v>
      </c>
    </row>
    <row r="174" spans="1:2" ht="15">
      <c r="A174" s="336" t="s">
        <v>843</v>
      </c>
      <c r="B174" s="336" t="s">
        <v>844</v>
      </c>
    </row>
    <row r="175" spans="1:2" ht="15">
      <c r="A175" s="336" t="s">
        <v>845</v>
      </c>
      <c r="B175" s="336" t="s">
        <v>846</v>
      </c>
    </row>
    <row r="176" spans="1:2" ht="15">
      <c r="A176" s="336" t="s">
        <v>649</v>
      </c>
      <c r="B176" s="336" t="s">
        <v>847</v>
      </c>
    </row>
    <row r="177" spans="1:2" ht="15">
      <c r="A177" s="336" t="s">
        <v>650</v>
      </c>
      <c r="B177" s="336" t="s">
        <v>848</v>
      </c>
    </row>
    <row r="178" spans="1:2" ht="15">
      <c r="A178" s="336" t="s">
        <v>651</v>
      </c>
      <c r="B178" s="336" t="s">
        <v>849</v>
      </c>
    </row>
    <row r="179" spans="1:2" ht="15">
      <c r="A179" s="336" t="s">
        <v>850</v>
      </c>
      <c r="B179" s="336" t="s">
        <v>851</v>
      </c>
    </row>
  </sheetData>
  <sheetProtection/>
  <hyperlinks>
    <hyperlink ref="C1" location="Indice!A1" display="Índic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U41"/>
  <sheetViews>
    <sheetView showGridLines="0" zoomScale="90" zoomScaleNormal="90" zoomScalePageLayoutView="0" workbookViewId="0" topLeftCell="B1">
      <selection activeCell="C3" sqref="C3"/>
    </sheetView>
  </sheetViews>
  <sheetFormatPr defaultColWidth="11.421875" defaultRowHeight="15"/>
  <cols>
    <col min="1" max="1" width="40.7109375" style="2" customWidth="1"/>
    <col min="2" max="2" width="0.85546875" style="2" customWidth="1"/>
    <col min="3" max="3" width="19.57421875" style="86" customWidth="1"/>
    <col min="4" max="4" width="2.57421875" style="86" hidden="1" customWidth="1"/>
    <col min="5" max="5" width="0.9921875" style="113" customWidth="1"/>
    <col min="6" max="6" width="18.140625" style="86" customWidth="1"/>
    <col min="7" max="7" width="0.85546875" style="113" customWidth="1"/>
    <col min="8" max="8" width="18.8515625" style="86" customWidth="1"/>
    <col min="9" max="9" width="0.9921875" style="113" customWidth="1"/>
    <col min="10" max="10" width="20.00390625" style="86" customWidth="1"/>
    <col min="11" max="11" width="0.71875" style="113" customWidth="1"/>
    <col min="12" max="12" width="18.421875" style="86" customWidth="1"/>
    <col min="13" max="13" width="0.71875" style="113" customWidth="1"/>
    <col min="14" max="14" width="20.421875" style="86" customWidth="1"/>
    <col min="15" max="15" width="1.1484375" style="113" customWidth="1"/>
    <col min="16" max="16" width="19.7109375" style="86" customWidth="1"/>
    <col min="17" max="17" width="1.1484375" style="74" customWidth="1"/>
    <col min="18" max="18" width="17.421875" style="2" bestFit="1" customWidth="1"/>
    <col min="19" max="19" width="1.1484375" style="2" customWidth="1"/>
    <col min="20" max="20" width="16.421875" style="2" customWidth="1"/>
    <col min="21" max="16384" width="11.421875" style="2" customWidth="1"/>
  </cols>
  <sheetData>
    <row r="1" spans="1:8" ht="15">
      <c r="A1" s="2" t="str">
        <f>Indice!C1</f>
        <v>IMPORT CENTER S.A.</v>
      </c>
      <c r="H1" s="371" t="s">
        <v>402</v>
      </c>
    </row>
    <row r="2" ht="12.75">
      <c r="C2" s="86" t="str">
        <f>+Indice!C1</f>
        <v>IMPORT CENTER S.A.</v>
      </c>
    </row>
    <row r="3" spans="14:18" ht="15">
      <c r="N3" s="416"/>
      <c r="R3" s="73"/>
    </row>
    <row r="4" spans="2:18" ht="15">
      <c r="B4" s="416"/>
      <c r="C4" s="416"/>
      <c r="D4" s="416"/>
      <c r="E4" s="416"/>
      <c r="F4" s="416" t="s">
        <v>891</v>
      </c>
      <c r="G4" s="416"/>
      <c r="H4" s="416"/>
      <c r="I4" s="416"/>
      <c r="J4" s="416"/>
      <c r="K4" s="416"/>
      <c r="L4" s="416"/>
      <c r="M4" s="416"/>
      <c r="N4" s="416"/>
      <c r="O4" s="416"/>
      <c r="P4" s="416"/>
      <c r="R4" s="73"/>
    </row>
    <row r="5" spans="1:18" ht="15">
      <c r="A5" s="416"/>
      <c r="B5" s="416"/>
      <c r="C5" s="416"/>
      <c r="D5" s="416"/>
      <c r="E5" s="416"/>
      <c r="F5" s="416"/>
      <c r="G5" s="416"/>
      <c r="H5" s="416" t="str">
        <f>_xlfn.IFERROR(IF(Indice!B6="","Al dia... de mes… de año 2XX2…","Al "&amp;DAY(Indice!B6)&amp;" de "&amp;VLOOKUP(MONTH(Indice!B6),Indice!S:T,2,0)&amp;" de "&amp;YEAR(Indice!B6)),"Al dia... de mes… de año 2XX2…")</f>
        <v>Al 31 de Marzo de 2021</v>
      </c>
      <c r="I5" s="416"/>
      <c r="J5" s="416"/>
      <c r="K5" s="416"/>
      <c r="L5" s="416"/>
      <c r="M5" s="416"/>
      <c r="N5" s="416"/>
      <c r="O5" s="416"/>
      <c r="P5" s="416"/>
      <c r="R5" s="73"/>
    </row>
    <row r="6" spans="1:18" ht="14.25">
      <c r="A6" s="673" t="s">
        <v>314</v>
      </c>
      <c r="B6" s="673"/>
      <c r="C6" s="673"/>
      <c r="D6" s="673"/>
      <c r="E6" s="673"/>
      <c r="F6" s="673"/>
      <c r="G6" s="673"/>
      <c r="H6" s="673"/>
      <c r="I6" s="673"/>
      <c r="J6" s="673"/>
      <c r="K6" s="673"/>
      <c r="L6" s="673"/>
      <c r="M6" s="673"/>
      <c r="N6" s="673"/>
      <c r="O6" s="673"/>
      <c r="P6" s="673"/>
      <c r="R6" s="73"/>
    </row>
    <row r="7" spans="1:18" ht="14.25">
      <c r="A7" s="673" t="s">
        <v>282</v>
      </c>
      <c r="B7" s="673"/>
      <c r="C7" s="673"/>
      <c r="D7" s="673"/>
      <c r="E7" s="673"/>
      <c r="F7" s="673"/>
      <c r="G7" s="673"/>
      <c r="H7" s="673"/>
      <c r="I7" s="673"/>
      <c r="J7" s="673"/>
      <c r="K7" s="673"/>
      <c r="L7" s="673"/>
      <c r="M7" s="673"/>
      <c r="N7" s="673"/>
      <c r="O7" s="673"/>
      <c r="P7" s="673"/>
      <c r="R7" s="73"/>
    </row>
    <row r="8" spans="1:18" ht="14.25">
      <c r="A8" s="262"/>
      <c r="B8" s="262"/>
      <c r="C8" s="262"/>
      <c r="D8" s="262"/>
      <c r="E8" s="262"/>
      <c r="F8" s="262"/>
      <c r="G8" s="262"/>
      <c r="H8" s="262"/>
      <c r="I8" s="262"/>
      <c r="J8" s="262"/>
      <c r="K8" s="262"/>
      <c r="L8" s="262"/>
      <c r="M8" s="262"/>
      <c r="N8" s="262"/>
      <c r="O8" s="262"/>
      <c r="P8" s="262"/>
      <c r="R8" s="73"/>
    </row>
    <row r="9" spans="1:18" ht="14.25">
      <c r="A9" s="262"/>
      <c r="B9" s="262"/>
      <c r="C9" s="262"/>
      <c r="D9" s="262"/>
      <c r="E9" s="262"/>
      <c r="F9" s="262"/>
      <c r="G9" s="262"/>
      <c r="H9" s="262"/>
      <c r="I9" s="262"/>
      <c r="J9" s="262"/>
      <c r="K9" s="262"/>
      <c r="L9" s="262"/>
      <c r="M9" s="262"/>
      <c r="N9" s="262"/>
      <c r="O9" s="262"/>
      <c r="P9" s="262"/>
      <c r="R9" s="73"/>
    </row>
    <row r="10" spans="1:18" ht="25.5" customHeight="1">
      <c r="A10" s="87"/>
      <c r="B10" s="101"/>
      <c r="C10" s="677" t="s">
        <v>291</v>
      </c>
      <c r="D10" s="677"/>
      <c r="E10" s="677"/>
      <c r="F10" s="677"/>
      <c r="G10" s="114"/>
      <c r="H10" s="87"/>
      <c r="I10" s="114"/>
      <c r="J10" s="87"/>
      <c r="K10" s="114"/>
      <c r="L10" s="677" t="s">
        <v>438</v>
      </c>
      <c r="M10" s="677"/>
      <c r="N10" s="677"/>
      <c r="O10" s="677"/>
      <c r="P10" s="677"/>
      <c r="R10" s="73"/>
    </row>
    <row r="11" spans="1:20" ht="15" customHeight="1">
      <c r="A11" s="676"/>
      <c r="C11" s="674" t="s">
        <v>78</v>
      </c>
      <c r="D11" s="88" t="s">
        <v>47</v>
      </c>
      <c r="E11" s="115"/>
      <c r="F11" s="674" t="s">
        <v>79</v>
      </c>
      <c r="G11" s="115"/>
      <c r="H11" s="674" t="s">
        <v>43</v>
      </c>
      <c r="I11" s="115"/>
      <c r="J11" s="674" t="s">
        <v>80</v>
      </c>
      <c r="K11" s="115"/>
      <c r="L11" s="674" t="s">
        <v>81</v>
      </c>
      <c r="M11" s="115"/>
      <c r="N11" s="674" t="s">
        <v>82</v>
      </c>
      <c r="O11" s="115"/>
      <c r="P11" s="674" t="s">
        <v>44</v>
      </c>
      <c r="R11" s="674" t="s">
        <v>83</v>
      </c>
      <c r="S11" s="115"/>
      <c r="T11" s="674" t="s">
        <v>3</v>
      </c>
    </row>
    <row r="12" spans="1:20" ht="15.75" customHeight="1">
      <c r="A12" s="676"/>
      <c r="C12" s="675"/>
      <c r="D12" s="88" t="s">
        <v>48</v>
      </c>
      <c r="E12" s="115"/>
      <c r="F12" s="675"/>
      <c r="G12" s="115"/>
      <c r="H12" s="675"/>
      <c r="I12" s="115"/>
      <c r="J12" s="675"/>
      <c r="K12" s="115"/>
      <c r="L12" s="675"/>
      <c r="M12" s="115"/>
      <c r="N12" s="675"/>
      <c r="O12" s="115"/>
      <c r="P12" s="675" t="s">
        <v>3</v>
      </c>
      <c r="R12" s="675"/>
      <c r="S12" s="115"/>
      <c r="T12" s="675"/>
    </row>
    <row r="13" ht="7.5" customHeight="1">
      <c r="R13" s="73"/>
    </row>
    <row r="14" spans="1:21" ht="12.75">
      <c r="A14" s="134" t="str">
        <f>_xlfn.IFERROR(IF(Indice!B6="","Saldo al .. de  de 20X0 ","Saldo al "&amp;DAY(Indice!B6)&amp;" de "&amp;VLOOKUP(MONTH(Indice!B6),Indice!S:T,2,0)&amp;" de "&amp;YEAR(Indice!B6-730)),"Saldo al .. de  de 20X0 ")</f>
        <v>Saldo al 31 de Marzo de 2019</v>
      </c>
      <c r="B14" s="35"/>
      <c r="C14" s="135">
        <v>15000000</v>
      </c>
      <c r="F14" s="135">
        <v>0</v>
      </c>
      <c r="H14" s="135">
        <v>5959213</v>
      </c>
      <c r="J14" s="135"/>
      <c r="L14" s="135">
        <v>1407997</v>
      </c>
      <c r="N14" s="135">
        <v>0</v>
      </c>
      <c r="P14" s="135">
        <v>9194822</v>
      </c>
      <c r="R14" s="135"/>
      <c r="S14" s="74"/>
      <c r="T14" s="135">
        <f>+C14+H14+L14+P14</f>
        <v>31562032</v>
      </c>
      <c r="U14" s="74"/>
    </row>
    <row r="15" spans="1:21" ht="12.75">
      <c r="A15" s="2" t="s">
        <v>439</v>
      </c>
      <c r="R15" s="86"/>
      <c r="S15" s="74"/>
      <c r="T15" s="86"/>
      <c r="U15" s="74"/>
    </row>
    <row r="16" spans="1:21" ht="12.75">
      <c r="A16" s="134" t="s">
        <v>77</v>
      </c>
      <c r="C16" s="135"/>
      <c r="F16" s="135"/>
      <c r="H16" s="135"/>
      <c r="J16" s="135"/>
      <c r="L16" s="135"/>
      <c r="N16" s="135"/>
      <c r="P16" s="135"/>
      <c r="R16" s="135"/>
      <c r="S16" s="74"/>
      <c r="T16" s="135"/>
      <c r="U16" s="74"/>
    </row>
    <row r="17" spans="1:18" ht="25.5">
      <c r="A17" s="149" t="s">
        <v>288</v>
      </c>
      <c r="N17" s="77"/>
      <c r="R17" s="73"/>
    </row>
    <row r="18" spans="1:20" ht="12.75">
      <c r="A18" s="134" t="s">
        <v>84</v>
      </c>
      <c r="C18" s="135">
        <v>0</v>
      </c>
      <c r="F18" s="135"/>
      <c r="H18" s="135"/>
      <c r="J18" s="135"/>
      <c r="L18" s="135"/>
      <c r="N18" s="135"/>
      <c r="P18" s="135"/>
      <c r="R18" s="135"/>
      <c r="S18" s="74"/>
      <c r="T18" s="135"/>
    </row>
    <row r="19" spans="1:18" ht="38.25">
      <c r="A19" s="149" t="s">
        <v>289</v>
      </c>
      <c r="L19" s="77"/>
      <c r="P19" s="77"/>
      <c r="Q19" s="78"/>
      <c r="R19" s="73"/>
    </row>
    <row r="20" spans="1:20" ht="12.75">
      <c r="A20" s="134" t="s">
        <v>85</v>
      </c>
      <c r="C20" s="135"/>
      <c r="F20" s="135"/>
      <c r="H20" s="135">
        <v>340802</v>
      </c>
      <c r="J20" s="135"/>
      <c r="L20" s="135"/>
      <c r="N20" s="135"/>
      <c r="P20" s="135"/>
      <c r="R20" s="135"/>
      <c r="S20" s="74"/>
      <c r="T20" s="135">
        <v>0</v>
      </c>
    </row>
    <row r="21" spans="1:20" ht="12.75">
      <c r="A21" s="134" t="s">
        <v>86</v>
      </c>
      <c r="C21" s="135"/>
      <c r="F21" s="135"/>
      <c r="H21" s="135"/>
      <c r="J21" s="135"/>
      <c r="L21" s="135"/>
      <c r="N21" s="135"/>
      <c r="P21" s="135"/>
      <c r="R21" s="135"/>
      <c r="S21" s="74"/>
      <c r="T21" s="135">
        <v>0</v>
      </c>
    </row>
    <row r="22" spans="1:20" ht="12.75">
      <c r="A22" s="134" t="s">
        <v>87</v>
      </c>
      <c r="C22" s="135"/>
      <c r="F22" s="135"/>
      <c r="H22" s="135"/>
      <c r="J22" s="135"/>
      <c r="L22" s="135">
        <v>9546</v>
      </c>
      <c r="N22" s="135"/>
      <c r="P22" s="135">
        <v>181371</v>
      </c>
      <c r="R22" s="135"/>
      <c r="S22" s="74"/>
      <c r="T22" s="135">
        <v>0</v>
      </c>
    </row>
    <row r="23" ht="12.75">
      <c r="R23" s="73"/>
    </row>
    <row r="24" spans="1:20" ht="13.5" thickBot="1">
      <c r="A24" s="134" t="str">
        <f>_xlfn.IFERROR(IF(Indice!B6="","Saldo al .. de  de 20X1 ","Saldo al "&amp;DAY(Indice!B6)&amp;" de "&amp;VLOOKUP(MONTH(Indice!B6),Indice!S:T,2,0)&amp;" de "&amp;YEAR(Indice!B6-365)),"Saldo al .. de  de 20X1 ")</f>
        <v>Saldo al 31 de Marzo de 2020</v>
      </c>
      <c r="B24" s="35"/>
      <c r="C24" s="136">
        <f>+C14</f>
        <v>15000000</v>
      </c>
      <c r="D24" s="75">
        <f>SUM(D14:D22)</f>
        <v>0</v>
      </c>
      <c r="E24" s="116"/>
      <c r="F24" s="136">
        <f>F16+F17+F18+F19+F20+F21+F22</f>
        <v>0</v>
      </c>
      <c r="G24" s="116">
        <f>SUM(G14:G23)</f>
        <v>0</v>
      </c>
      <c r="H24" s="136">
        <f>+H14+H20</f>
        <v>6300015</v>
      </c>
      <c r="I24" s="116"/>
      <c r="J24" s="136">
        <f>J16+J17+J18+J19+J20+J21+J22</f>
        <v>0</v>
      </c>
      <c r="K24" s="116"/>
      <c r="L24" s="136">
        <f>+L14+L22</f>
        <v>1417543</v>
      </c>
      <c r="M24" s="116"/>
      <c r="N24" s="136">
        <f>N16+N17+N18+N19+N20+N21+N22</f>
        <v>0</v>
      </c>
      <c r="O24" s="116"/>
      <c r="P24" s="136">
        <f>+P14+P22</f>
        <v>9376193</v>
      </c>
      <c r="Q24" s="78"/>
      <c r="R24" s="136">
        <f>R16+R17+R18+R19+R20+R21+R22</f>
        <v>0</v>
      </c>
      <c r="S24" s="78"/>
      <c r="T24" s="136">
        <f>SUM(C24:R24)</f>
        <v>32093751</v>
      </c>
    </row>
    <row r="25" spans="1:19" ht="41.25" customHeight="1" thickTop="1">
      <c r="A25" s="149" t="s">
        <v>290</v>
      </c>
      <c r="N25" s="77"/>
      <c r="R25" s="79"/>
      <c r="S25" s="65"/>
    </row>
    <row r="26" spans="1:20" ht="12.75">
      <c r="A26" s="134" t="s">
        <v>85</v>
      </c>
      <c r="B26" s="85"/>
      <c r="C26" s="135"/>
      <c r="F26" s="135"/>
      <c r="H26" s="135"/>
      <c r="J26" s="135"/>
      <c r="L26" s="135"/>
      <c r="N26" s="135"/>
      <c r="P26" s="135"/>
      <c r="R26" s="135"/>
      <c r="S26" s="74"/>
      <c r="T26" s="135"/>
    </row>
    <row r="27" spans="1:19" ht="12.75">
      <c r="A27" s="85" t="s">
        <v>88</v>
      </c>
      <c r="B27" s="85"/>
      <c r="L27" s="77"/>
      <c r="S27" s="86"/>
    </row>
    <row r="28" spans="1:20" ht="12.75">
      <c r="A28" s="134" t="s">
        <v>84</v>
      </c>
      <c r="C28" s="135"/>
      <c r="F28" s="135"/>
      <c r="H28" s="135"/>
      <c r="J28" s="135"/>
      <c r="L28" s="135"/>
      <c r="N28" s="135"/>
      <c r="P28" s="135"/>
      <c r="R28" s="135"/>
      <c r="S28" s="74"/>
      <c r="T28" s="135">
        <f>+C28+H28+L28+P28</f>
        <v>0</v>
      </c>
    </row>
    <row r="29" spans="1:20" ht="12.75">
      <c r="A29" s="620" t="s">
        <v>1016</v>
      </c>
      <c r="B29" s="48"/>
      <c r="C29" s="621">
        <v>5000000</v>
      </c>
      <c r="D29" s="108"/>
      <c r="E29" s="622"/>
      <c r="F29" s="621"/>
      <c r="G29" s="622"/>
      <c r="H29" s="621"/>
      <c r="I29" s="622"/>
      <c r="J29" s="621"/>
      <c r="K29" s="622"/>
      <c r="L29" s="621"/>
      <c r="M29" s="622"/>
      <c r="N29" s="621"/>
      <c r="O29" s="622"/>
      <c r="P29" s="621">
        <v>-5000000</v>
      </c>
      <c r="Q29" s="108"/>
      <c r="R29" s="621"/>
      <c r="S29" s="108"/>
      <c r="T29" s="621"/>
    </row>
    <row r="30" spans="1:20" ht="12.75">
      <c r="A30" s="134" t="s">
        <v>87</v>
      </c>
      <c r="C30" s="135"/>
      <c r="F30" s="135"/>
      <c r="H30" s="135"/>
      <c r="J30" s="135"/>
      <c r="L30" s="135">
        <v>106971</v>
      </c>
      <c r="N30" s="135">
        <v>1882449</v>
      </c>
      <c r="P30" s="135">
        <v>675407</v>
      </c>
      <c r="R30" s="135"/>
      <c r="S30" s="74"/>
      <c r="T30" s="135">
        <f>+C30+H30+L30+P30+N30</f>
        <v>2664827</v>
      </c>
    </row>
    <row r="31" ht="12.75">
      <c r="R31" s="73"/>
    </row>
    <row r="32" spans="1:20" ht="13.5" thickBot="1">
      <c r="A32" s="134" t="str">
        <f>_xlfn.IFERROR(IF(Indice!B6="","Saldo al .. de  de 20X2 ","Saldo al "&amp;DAY(Indice!B6)&amp;" de "&amp;VLOOKUP(MONTH(Indice!B6),Indice!S:T,2,0)&amp;" de "&amp;YEAR(Indice!B6)),"Saldo al .. de  de 20X2 ")</f>
        <v>Saldo al 31 de Marzo de 2021</v>
      </c>
      <c r="B32" s="35"/>
      <c r="C32" s="136">
        <f>+C24+C28</f>
        <v>15000000</v>
      </c>
      <c r="D32" s="75">
        <f>SUM(D24:D30)</f>
        <v>0</v>
      </c>
      <c r="E32" s="117"/>
      <c r="F32" s="136">
        <f>F24+F25+F26+F27+F30</f>
        <v>0</v>
      </c>
      <c r="G32" s="117"/>
      <c r="H32" s="136">
        <f>+H14+H24</f>
        <v>12259228</v>
      </c>
      <c r="I32" s="117"/>
      <c r="J32" s="136">
        <f>J24+J25+J26+J27+J30</f>
        <v>0</v>
      </c>
      <c r="K32" s="117"/>
      <c r="L32" s="136">
        <f>+L14+L22+L30</f>
        <v>1524514</v>
      </c>
      <c r="M32" s="117"/>
      <c r="N32" s="136">
        <f>N24+N25+N26+N27+N30</f>
        <v>1882449</v>
      </c>
      <c r="O32" s="117"/>
      <c r="P32" s="136">
        <f>P24+P25+P26+P27+P30+P29</f>
        <v>5051600</v>
      </c>
      <c r="R32" s="136">
        <f>R24+R25+R26+R27+R30</f>
        <v>0</v>
      </c>
      <c r="S32" s="78"/>
      <c r="T32" s="136">
        <f>T24+T25+T26+T27+T30</f>
        <v>34758578</v>
      </c>
    </row>
    <row r="33" spans="1:18" ht="13.5" thickTop="1">
      <c r="A33" s="35"/>
      <c r="B33" s="35"/>
      <c r="C33" s="82"/>
      <c r="D33" s="81"/>
      <c r="E33" s="117"/>
      <c r="F33" s="82"/>
      <c r="G33" s="117"/>
      <c r="H33" s="82"/>
      <c r="I33" s="117"/>
      <c r="J33" s="82"/>
      <c r="K33" s="117"/>
      <c r="L33" s="82"/>
      <c r="M33" s="117"/>
      <c r="N33" s="82"/>
      <c r="O33" s="117"/>
      <c r="P33" s="82"/>
      <c r="R33" s="76"/>
    </row>
    <row r="34" spans="1:16" ht="12.75">
      <c r="A34" s="2" t="s">
        <v>427</v>
      </c>
      <c r="C34" s="78"/>
      <c r="D34" s="78"/>
      <c r="E34" s="118"/>
      <c r="F34" s="78"/>
      <c r="G34" s="118"/>
      <c r="H34" s="2"/>
      <c r="I34" s="45"/>
      <c r="K34" s="118"/>
      <c r="L34" s="78"/>
      <c r="M34" s="118"/>
      <c r="N34" s="78"/>
      <c r="O34" s="118"/>
      <c r="P34" s="78"/>
    </row>
    <row r="35" spans="3:16" ht="12.75">
      <c r="C35" s="78"/>
      <c r="D35" s="78"/>
      <c r="E35" s="118"/>
      <c r="F35" s="78"/>
      <c r="G35" s="118"/>
      <c r="H35" s="2"/>
      <c r="I35" s="45"/>
      <c r="K35" s="118"/>
      <c r="L35" s="78"/>
      <c r="M35" s="118"/>
      <c r="N35" s="78"/>
      <c r="O35" s="118"/>
      <c r="P35" s="78"/>
    </row>
    <row r="36" spans="3:16" ht="12.75">
      <c r="C36" s="78"/>
      <c r="D36" s="78"/>
      <c r="E36" s="118"/>
      <c r="F36" s="78"/>
      <c r="G36" s="118"/>
      <c r="H36" s="2"/>
      <c r="I36" s="45"/>
      <c r="K36" s="118"/>
      <c r="L36" s="78"/>
      <c r="M36" s="118"/>
      <c r="N36" s="78"/>
      <c r="O36" s="118"/>
      <c r="P36" s="78"/>
    </row>
    <row r="37" spans="3:16" ht="12.75">
      <c r="C37" s="78"/>
      <c r="D37" s="78"/>
      <c r="E37" s="118"/>
      <c r="F37" s="78"/>
      <c r="G37" s="118"/>
      <c r="H37" s="2"/>
      <c r="I37" s="45"/>
      <c r="K37" s="118"/>
      <c r="L37" s="78"/>
      <c r="M37" s="118"/>
      <c r="N37" s="78"/>
      <c r="O37" s="118"/>
      <c r="P37" s="78"/>
    </row>
    <row r="38" spans="3:16" ht="12.75">
      <c r="C38" s="78"/>
      <c r="D38" s="78"/>
      <c r="E38" s="118"/>
      <c r="F38" s="78"/>
      <c r="G38" s="118"/>
      <c r="H38" s="2"/>
      <c r="I38" s="45"/>
      <c r="K38" s="118"/>
      <c r="L38" s="78"/>
      <c r="M38" s="118"/>
      <c r="N38" s="78"/>
      <c r="O38" s="118"/>
      <c r="P38" s="78"/>
    </row>
    <row r="40" spans="3:16" ht="12.75">
      <c r="C40" s="78"/>
      <c r="D40" s="78"/>
      <c r="E40" s="118"/>
      <c r="F40" s="78"/>
      <c r="G40" s="118"/>
      <c r="H40" s="2"/>
      <c r="I40" s="45"/>
      <c r="K40" s="118"/>
      <c r="L40" s="78"/>
      <c r="M40" s="118"/>
      <c r="N40" s="78"/>
      <c r="O40" s="118"/>
      <c r="P40" s="78"/>
    </row>
    <row r="41" spans="6:10" ht="12.75">
      <c r="F41" s="78"/>
      <c r="H41" s="2"/>
      <c r="I41" s="45"/>
      <c r="J41" s="80"/>
    </row>
  </sheetData>
  <sheetProtection/>
  <mergeCells count="14">
    <mergeCell ref="C10:F10"/>
    <mergeCell ref="L10:P10"/>
    <mergeCell ref="R11:R12"/>
    <mergeCell ref="T11:T12"/>
    <mergeCell ref="A6:P6"/>
    <mergeCell ref="A7:P7"/>
    <mergeCell ref="C11:C12"/>
    <mergeCell ref="F11:F12"/>
    <mergeCell ref="H11:H12"/>
    <mergeCell ref="J11:J12"/>
    <mergeCell ref="L11:L12"/>
    <mergeCell ref="N11:N12"/>
    <mergeCell ref="P11:P12"/>
    <mergeCell ref="A11:A12"/>
  </mergeCells>
  <hyperlinks>
    <hyperlink ref="H1" location="Indice!A1" display="Indice"/>
  </hyperlink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Hoja5"/>
  <dimension ref="A1:I46"/>
  <sheetViews>
    <sheetView showGridLines="0" zoomScale="90" zoomScaleNormal="90" zoomScalePageLayoutView="0" workbookViewId="0" topLeftCell="A1">
      <selection activeCell="C38" sqref="C38"/>
    </sheetView>
  </sheetViews>
  <sheetFormatPr defaultColWidth="10.8515625" defaultRowHeight="15"/>
  <cols>
    <col min="1" max="1" width="78.00390625" style="38" customWidth="1"/>
    <col min="2" max="2" width="21.140625" style="97" customWidth="1"/>
    <col min="3" max="3" width="27.57421875" style="97" customWidth="1"/>
    <col min="4" max="4" width="2.421875" style="38" customWidth="1"/>
    <col min="5" max="5" width="5.421875" style="38" customWidth="1"/>
    <col min="6" max="6" width="2.28125" style="38" customWidth="1"/>
    <col min="7" max="7" width="4.421875" style="38" customWidth="1"/>
    <col min="8" max="8" width="21.421875" style="38" customWidth="1"/>
    <col min="9" max="9" width="16.421875" style="97" bestFit="1" customWidth="1"/>
    <col min="10" max="16384" width="10.8515625" style="38" customWidth="1"/>
  </cols>
  <sheetData>
    <row r="1" ht="14.25">
      <c r="A1" s="38" t="str">
        <f>Indice!C1</f>
        <v>IMPORT CENTER S.A.</v>
      </c>
    </row>
    <row r="2" spans="1:9" ht="14.25">
      <c r="A2" s="83"/>
      <c r="B2" s="84"/>
      <c r="C2" s="84"/>
      <c r="I2" s="38"/>
    </row>
    <row r="3" spans="1:9" ht="14.25" hidden="1">
      <c r="A3" s="678"/>
      <c r="B3" s="678"/>
      <c r="C3" s="678"/>
      <c r="I3" s="38"/>
    </row>
    <row r="4" spans="1:9" ht="14.25">
      <c r="A4" s="83"/>
      <c r="B4" s="84"/>
      <c r="C4" s="84"/>
      <c r="I4" s="38"/>
    </row>
    <row r="5" spans="1:3" s="2" customFormat="1" ht="15">
      <c r="A5" s="679" t="s">
        <v>892</v>
      </c>
      <c r="B5" s="679"/>
      <c r="C5" s="679"/>
    </row>
    <row r="6" spans="1:3" s="2" customFormat="1" ht="15">
      <c r="A6" s="679" t="str">
        <f>_xlfn.IFERROR(IF(Indice!B6="","Al dia... de mes… de año 2XX2…","Al "&amp;DAY(Indice!B6)&amp;" de "&amp;VLOOKUP(MONTH(Indice!B6),Indice!S:T,2,0)&amp;" de "&amp;YEAR(Indice!B6)),"Al dia... de mes… de año 2XX2…")</f>
        <v>Al 31 de Marzo de 2021</v>
      </c>
      <c r="B6" s="679"/>
      <c r="C6" s="679"/>
    </row>
    <row r="7" spans="1:3" s="2" customFormat="1" ht="14.25">
      <c r="A7" s="680" t="s">
        <v>314</v>
      </c>
      <c r="B7" s="680"/>
      <c r="C7" s="680"/>
    </row>
    <row r="8" spans="1:3" s="2" customFormat="1" ht="14.25">
      <c r="A8" s="680" t="s">
        <v>282</v>
      </c>
      <c r="B8" s="680"/>
      <c r="C8" s="680"/>
    </row>
    <row r="9" spans="1:3" s="2" customFormat="1" ht="14.25">
      <c r="A9" s="110"/>
      <c r="B9" s="110"/>
      <c r="C9" s="110"/>
    </row>
    <row r="10" spans="1:3" s="2" customFormat="1" ht="14.25">
      <c r="A10" s="110"/>
      <c r="B10" s="110"/>
      <c r="C10" s="110"/>
    </row>
    <row r="11" spans="1:3" s="2" customFormat="1" ht="15">
      <c r="A11" s="137"/>
      <c r="B11" s="347">
        <f>_xlfn.IFERROR(IF(Indice!B6="","2XX2",YEAR(Indice!B6)),"2XX2")</f>
        <v>2021</v>
      </c>
      <c r="C11" s="347">
        <f>_xlfn.IFERROR(YEAR(Indice!B6-365),"2XX1")</f>
        <v>2020</v>
      </c>
    </row>
    <row r="12" spans="1:3" s="2" customFormat="1" ht="14.25">
      <c r="A12" s="38"/>
      <c r="B12" s="111"/>
      <c r="C12" s="111"/>
    </row>
    <row r="13" spans="1:9" s="2" customFormat="1" ht="15">
      <c r="A13" s="112" t="s">
        <v>284</v>
      </c>
      <c r="B13" s="97"/>
      <c r="C13" s="97"/>
      <c r="I13" s="86"/>
    </row>
    <row r="14" spans="1:9" s="2" customFormat="1" ht="14.25">
      <c r="A14" s="38" t="s">
        <v>440</v>
      </c>
      <c r="B14" s="150">
        <v>8715627</v>
      </c>
      <c r="C14" s="97">
        <v>6247263</v>
      </c>
      <c r="I14" s="86"/>
    </row>
    <row r="15" spans="1:9" s="2" customFormat="1" ht="14.25">
      <c r="A15" s="38" t="s">
        <v>49</v>
      </c>
      <c r="B15" s="151">
        <f>-5553631-769355</f>
        <v>-6322986</v>
      </c>
      <c r="C15" s="637">
        <f>-4616702-753458</f>
        <v>-5370160</v>
      </c>
      <c r="F15" s="65"/>
      <c r="H15" s="66"/>
      <c r="I15" s="86"/>
    </row>
    <row r="16" spans="1:9" s="2" customFormat="1" ht="14.25">
      <c r="A16" s="38" t="s">
        <v>50</v>
      </c>
      <c r="B16" s="151">
        <v>-305148</v>
      </c>
      <c r="C16" s="637">
        <v>-2129317</v>
      </c>
      <c r="F16" s="65"/>
      <c r="H16" s="66"/>
      <c r="I16" s="86"/>
    </row>
    <row r="17" spans="1:9" s="2" customFormat="1" ht="14.25">
      <c r="A17" s="38" t="s">
        <v>89</v>
      </c>
      <c r="B17" s="152"/>
      <c r="C17" s="638"/>
      <c r="F17" s="65"/>
      <c r="H17" s="66"/>
      <c r="I17" s="86"/>
    </row>
    <row r="18" spans="1:9" s="2" customFormat="1" ht="14.25">
      <c r="A18" s="38" t="s">
        <v>441</v>
      </c>
      <c r="B18" s="152">
        <f>-24962+5007</f>
        <v>-19955</v>
      </c>
      <c r="C18" s="638">
        <f>-20223-1375</f>
        <v>-21598</v>
      </c>
      <c r="F18" s="65"/>
      <c r="I18" s="86"/>
    </row>
    <row r="19" spans="1:9" s="2" customFormat="1" ht="14.25">
      <c r="A19" s="38" t="s">
        <v>283</v>
      </c>
      <c r="B19" s="152">
        <v>-22340</v>
      </c>
      <c r="C19" s="638">
        <v>-20487</v>
      </c>
      <c r="F19" s="65"/>
      <c r="I19" s="86"/>
    </row>
    <row r="20" spans="1:9" s="2" customFormat="1" ht="15">
      <c r="A20" s="479" t="s">
        <v>51</v>
      </c>
      <c r="B20" s="639">
        <f>SUM(B14:B19)</f>
        <v>2045198</v>
      </c>
      <c r="C20" s="639">
        <f>SUM(C14:C19)</f>
        <v>-1294299</v>
      </c>
      <c r="I20" s="86"/>
    </row>
    <row r="21" spans="1:9" s="2" customFormat="1" ht="14.25">
      <c r="A21" s="38"/>
      <c r="B21" s="640"/>
      <c r="C21" s="640"/>
      <c r="I21" s="86"/>
    </row>
    <row r="22" spans="1:9" s="2" customFormat="1" ht="15">
      <c r="A22" s="112" t="s">
        <v>285</v>
      </c>
      <c r="B22" s="640"/>
      <c r="C22" s="640"/>
      <c r="I22" s="86"/>
    </row>
    <row r="23" spans="1:9" s="2" customFormat="1" ht="14.25">
      <c r="A23" s="38" t="s">
        <v>442</v>
      </c>
      <c r="B23" s="640">
        <v>-116007</v>
      </c>
      <c r="C23" s="640">
        <v>2516270</v>
      </c>
      <c r="F23" s="65"/>
      <c r="I23" s="86"/>
    </row>
    <row r="24" spans="1:9" s="2" customFormat="1" ht="14.25" hidden="1">
      <c r="A24" s="38" t="s">
        <v>52</v>
      </c>
      <c r="B24" s="640"/>
      <c r="C24" s="640"/>
      <c r="F24" s="65"/>
      <c r="I24" s="86"/>
    </row>
    <row r="25" spans="1:9" s="2" customFormat="1" ht="14.25" hidden="1">
      <c r="A25" s="38" t="s">
        <v>53</v>
      </c>
      <c r="B25" s="640">
        <v>0</v>
      </c>
      <c r="C25" s="640">
        <v>0</v>
      </c>
      <c r="I25" s="86"/>
    </row>
    <row r="26" spans="1:9" s="2" customFormat="1" ht="14.25">
      <c r="A26" s="38" t="s">
        <v>90</v>
      </c>
      <c r="B26" s="640"/>
      <c r="C26" s="640"/>
      <c r="I26" s="86"/>
    </row>
    <row r="27" spans="1:9" s="2" customFormat="1" ht="14.25">
      <c r="A27" s="38" t="s">
        <v>91</v>
      </c>
      <c r="B27" s="640"/>
      <c r="C27" s="640"/>
      <c r="I27" s="86"/>
    </row>
    <row r="28" spans="1:9" s="2" customFormat="1" ht="14.25">
      <c r="A28" s="38" t="s">
        <v>286</v>
      </c>
      <c r="B28" s="640"/>
      <c r="C28" s="640"/>
      <c r="I28" s="86"/>
    </row>
    <row r="29" spans="1:9" s="2" customFormat="1" ht="15">
      <c r="A29" s="479" t="s">
        <v>54</v>
      </c>
      <c r="B29" s="639">
        <f>SUM(B23:B28)</f>
        <v>-116007</v>
      </c>
      <c r="C29" s="639">
        <f>SUM(C23:C28)</f>
        <v>2516270</v>
      </c>
      <c r="I29" s="86"/>
    </row>
    <row r="30" spans="1:9" s="2" customFormat="1" ht="14.25">
      <c r="A30" s="38"/>
      <c r="B30" s="640"/>
      <c r="C30" s="640"/>
      <c r="I30" s="86"/>
    </row>
    <row r="31" spans="1:9" s="2" customFormat="1" ht="15">
      <c r="A31" s="112" t="s">
        <v>287</v>
      </c>
      <c r="B31" s="640"/>
      <c r="C31" s="640"/>
      <c r="I31" s="86"/>
    </row>
    <row r="32" spans="1:9" s="2" customFormat="1" ht="14.25">
      <c r="A32" s="38" t="s">
        <v>443</v>
      </c>
      <c r="B32" s="640">
        <f>-2450000-728636</f>
        <v>-3178636</v>
      </c>
      <c r="C32" s="640">
        <f>-305700-578827</f>
        <v>-884527</v>
      </c>
      <c r="I32" s="86"/>
    </row>
    <row r="33" spans="1:9" s="2" customFormat="1" ht="14.25">
      <c r="A33" s="38" t="s">
        <v>93</v>
      </c>
      <c r="B33" s="640"/>
      <c r="C33" s="640"/>
      <c r="I33" s="86"/>
    </row>
    <row r="34" spans="1:9" s="2" customFormat="1" ht="14.25">
      <c r="A34" s="38" t="s">
        <v>92</v>
      </c>
      <c r="B34" s="640"/>
      <c r="C34" s="640"/>
      <c r="I34" s="86"/>
    </row>
    <row r="35" spans="1:9" s="2" customFormat="1" ht="15">
      <c r="A35" s="479" t="s">
        <v>444</v>
      </c>
      <c r="B35" s="639">
        <f>B32+B33+B34</f>
        <v>-3178636</v>
      </c>
      <c r="C35" s="639">
        <f>C32+C33+C34</f>
        <v>-884527</v>
      </c>
      <c r="I35" s="86"/>
    </row>
    <row r="36" spans="1:9" s="48" customFormat="1" ht="15">
      <c r="A36" s="417"/>
      <c r="B36" s="641"/>
      <c r="C36" s="641"/>
      <c r="I36" s="94"/>
    </row>
    <row r="37" spans="1:9" s="2" customFormat="1" ht="14.25">
      <c r="A37" s="418" t="s">
        <v>94</v>
      </c>
      <c r="B37" s="640">
        <v>-1249445</v>
      </c>
      <c r="C37" s="640">
        <v>337444</v>
      </c>
      <c r="I37" s="86"/>
    </row>
    <row r="38" spans="1:3" ht="14.25">
      <c r="A38" s="418" t="s">
        <v>95</v>
      </c>
      <c r="B38" s="640">
        <v>-433426</v>
      </c>
      <c r="C38" s="640">
        <v>12859</v>
      </c>
    </row>
    <row r="39" spans="1:9" s="2" customFormat="1" ht="14.25">
      <c r="A39" s="418" t="s">
        <v>96</v>
      </c>
      <c r="B39" s="640">
        <v>7283345</v>
      </c>
      <c r="C39" s="640">
        <v>660221</v>
      </c>
      <c r="H39" s="86"/>
      <c r="I39" s="86"/>
    </row>
    <row r="40" spans="1:9" s="2" customFormat="1" ht="14.25">
      <c r="A40" s="38"/>
      <c r="B40" s="640"/>
      <c r="C40" s="640"/>
      <c r="H40" s="86"/>
      <c r="I40" s="86"/>
    </row>
    <row r="41" spans="1:9" s="2" customFormat="1" ht="18.75">
      <c r="A41" s="138" t="s">
        <v>55</v>
      </c>
      <c r="B41" s="642">
        <f>+SUM(B37:B39)</f>
        <v>5600474</v>
      </c>
      <c r="C41" s="642">
        <f>+SUM(C37:C39)</f>
        <v>1010524</v>
      </c>
      <c r="I41" s="86"/>
    </row>
    <row r="42" spans="1:9" s="2" customFormat="1" ht="14.25">
      <c r="A42" s="38"/>
      <c r="B42" s="643" t="e">
        <v>#REF!</v>
      </c>
      <c r="C42" s="644"/>
      <c r="I42" s="86"/>
    </row>
    <row r="43" spans="1:3" ht="14.25">
      <c r="A43" s="38" t="s">
        <v>427</v>
      </c>
      <c r="B43" s="645"/>
      <c r="C43" s="645"/>
    </row>
    <row r="44" spans="2:3" ht="14.25">
      <c r="B44" s="78"/>
      <c r="C44" s="78"/>
    </row>
    <row r="45" spans="2:3" ht="14.25">
      <c r="B45" s="78"/>
      <c r="C45" s="78"/>
    </row>
    <row r="46" spans="2:3" ht="14.25">
      <c r="B46" s="78"/>
      <c r="C46" s="78"/>
    </row>
  </sheetData>
  <sheetProtection/>
  <mergeCells count="5">
    <mergeCell ref="A3:C3"/>
    <mergeCell ref="A5:C5"/>
    <mergeCell ref="A6:C6"/>
    <mergeCell ref="A7:C7"/>
    <mergeCell ref="A8:C8"/>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L80"/>
  <sheetViews>
    <sheetView showGridLines="0" zoomScalePageLayoutView="0" workbookViewId="0" topLeftCell="A1">
      <selection activeCell="A1" sqref="A1"/>
    </sheetView>
  </sheetViews>
  <sheetFormatPr defaultColWidth="11.421875" defaultRowHeight="15"/>
  <cols>
    <col min="1" max="8" width="11.421875" style="38" customWidth="1"/>
    <col min="9" max="9" width="21.140625" style="38" customWidth="1"/>
    <col min="10" max="16384" width="11.421875" style="38" customWidth="1"/>
  </cols>
  <sheetData>
    <row r="1" spans="1:9" ht="15" customHeight="1">
      <c r="A1" s="500" t="str">
        <f>+Indice!C1</f>
        <v>IMPORT CENTER S.A.</v>
      </c>
      <c r="I1" s="177" t="s">
        <v>130</v>
      </c>
    </row>
    <row r="5" spans="1:9" ht="15" customHeight="1">
      <c r="A5" s="40"/>
      <c r="B5" s="40"/>
      <c r="C5" s="40"/>
      <c r="D5" s="40"/>
      <c r="E5" s="40"/>
      <c r="F5" s="40"/>
      <c r="G5" s="40"/>
      <c r="H5" s="40"/>
      <c r="I5" s="40"/>
    </row>
    <row r="6" spans="1:12" ht="15" customHeight="1">
      <c r="A6" s="386" t="s">
        <v>875</v>
      </c>
      <c r="B6" s="386"/>
      <c r="C6" s="386"/>
      <c r="D6" s="386"/>
      <c r="E6" s="386"/>
      <c r="F6" s="386"/>
      <c r="G6" s="386"/>
      <c r="H6" s="386" t="str">
        <f>_xlfn.IFERROR(IF(Indice!B6="","Al dia... de mes… de año 2XX2…","Al "&amp;DAY(Indice!B6)&amp;" de "&amp;VLOOKUP(MONTH(Indice!B6),Indice!S:T,2,0)&amp;" de "&amp;YEAR(Indice!B6)),"Al dia... de mes… de año 2XX2…")</f>
        <v>Al 31 de Marzo de 2021</v>
      </c>
      <c r="I6" s="386"/>
      <c r="J6" s="3"/>
      <c r="K6" s="3"/>
      <c r="L6" s="3"/>
    </row>
    <row r="7" spans="1:12" ht="15" customHeight="1">
      <c r="A7" s="387" t="s">
        <v>876</v>
      </c>
      <c r="B7" s="387"/>
      <c r="C7" s="387"/>
      <c r="D7" s="387"/>
      <c r="E7" s="387"/>
      <c r="F7" s="387" t="str">
        <f>_xlfn.IFERROR("Al "&amp;DAY(Indice!B6)&amp;" de "&amp;VLOOKUP(MONTH(Indice!B6),Indice!S:T,2,0)&amp;" de "&amp;YEAR(Indice!B6-365),"Al dia... de mes… de año 2XX1…")</f>
        <v>Al 31 de Marzo de 2020</v>
      </c>
      <c r="G7" s="387"/>
      <c r="H7" s="387"/>
      <c r="I7" s="387"/>
      <c r="J7" s="3"/>
      <c r="K7" s="3"/>
      <c r="L7" s="3"/>
    </row>
    <row r="8" spans="1:12" ht="15" customHeight="1">
      <c r="A8" s="681" t="s">
        <v>45</v>
      </c>
      <c r="B8" s="681"/>
      <c r="C8" s="681"/>
      <c r="D8" s="681"/>
      <c r="E8" s="681"/>
      <c r="F8" s="681"/>
      <c r="G8" s="681"/>
      <c r="H8" s="681"/>
      <c r="I8" s="681"/>
      <c r="J8" s="1"/>
      <c r="K8" s="1"/>
      <c r="L8" s="1"/>
    </row>
    <row r="9" spans="1:12" ht="15" customHeight="1">
      <c r="A9" s="37"/>
      <c r="B9" s="37"/>
      <c r="C9" s="37"/>
      <c r="D9" s="37"/>
      <c r="E9" s="37"/>
      <c r="F9" s="37"/>
      <c r="G9" s="37"/>
      <c r="H9" s="37"/>
      <c r="I9" s="37"/>
      <c r="J9" s="1"/>
      <c r="K9" s="1"/>
      <c r="L9" s="1"/>
    </row>
    <row r="10" spans="1:9" ht="15" customHeight="1">
      <c r="A10" s="40"/>
      <c r="B10" s="40"/>
      <c r="C10" s="40"/>
      <c r="D10" s="40"/>
      <c r="E10" s="40"/>
      <c r="F10" s="40"/>
      <c r="G10" s="40"/>
      <c r="H10" s="40"/>
      <c r="I10" s="40"/>
    </row>
    <row r="11" spans="1:12" ht="15" customHeight="1">
      <c r="A11" s="383" t="s">
        <v>0</v>
      </c>
      <c r="B11" s="384"/>
      <c r="C11" s="384"/>
      <c r="D11" s="384"/>
      <c r="E11" s="384"/>
      <c r="F11" s="384"/>
      <c r="G11" s="384"/>
      <c r="H11" s="384"/>
      <c r="I11" s="385"/>
      <c r="J11" s="685"/>
      <c r="K11" s="685"/>
      <c r="L11" s="685"/>
    </row>
    <row r="12" spans="1:9" ht="15" customHeight="1">
      <c r="A12" s="686"/>
      <c r="B12" s="687"/>
      <c r="C12" s="687"/>
      <c r="D12" s="687"/>
      <c r="E12" s="687"/>
      <c r="F12" s="687"/>
      <c r="G12" s="687"/>
      <c r="H12" s="687"/>
      <c r="I12" s="688"/>
    </row>
    <row r="13" spans="1:12" ht="15" customHeight="1">
      <c r="A13" s="39" t="s">
        <v>921</v>
      </c>
      <c r="B13" s="40"/>
      <c r="C13" s="40"/>
      <c r="D13" s="40"/>
      <c r="E13" s="40"/>
      <c r="F13" s="40"/>
      <c r="G13" s="40"/>
      <c r="H13" s="40"/>
      <c r="I13" s="41"/>
      <c r="J13" s="1"/>
      <c r="K13" s="1"/>
      <c r="L13" s="1"/>
    </row>
    <row r="14" spans="1:9" ht="15" customHeight="1">
      <c r="A14" s="39" t="s">
        <v>922</v>
      </c>
      <c r="B14" s="40"/>
      <c r="C14" s="40"/>
      <c r="D14" s="40"/>
      <c r="E14" s="40"/>
      <c r="F14" s="40"/>
      <c r="G14" s="40"/>
      <c r="H14" s="40"/>
      <c r="I14" s="41"/>
    </row>
    <row r="15" spans="1:9" ht="15" customHeight="1">
      <c r="A15" s="682" t="s">
        <v>929</v>
      </c>
      <c r="B15" s="683"/>
      <c r="C15" s="683"/>
      <c r="D15" s="683"/>
      <c r="E15" s="683"/>
      <c r="F15" s="683"/>
      <c r="G15" s="683"/>
      <c r="H15" s="683"/>
      <c r="I15" s="684"/>
    </row>
    <row r="16" spans="1:9" ht="15" customHeight="1">
      <c r="A16" s="682" t="s">
        <v>923</v>
      </c>
      <c r="B16" s="683"/>
      <c r="C16" s="683"/>
      <c r="D16" s="683"/>
      <c r="E16" s="683"/>
      <c r="F16" s="683"/>
      <c r="G16" s="683"/>
      <c r="H16" s="683"/>
      <c r="I16" s="684"/>
    </row>
    <row r="17" spans="1:9" ht="15" customHeight="1">
      <c r="A17" s="682" t="s">
        <v>927</v>
      </c>
      <c r="B17" s="683"/>
      <c r="C17" s="683"/>
      <c r="D17" s="683"/>
      <c r="E17" s="683"/>
      <c r="F17" s="683"/>
      <c r="G17" s="683"/>
      <c r="H17" s="683"/>
      <c r="I17" s="684"/>
    </row>
    <row r="18" spans="1:9" ht="15" customHeight="1">
      <c r="A18" s="682" t="s">
        <v>928</v>
      </c>
      <c r="B18" s="683"/>
      <c r="C18" s="683"/>
      <c r="D18" s="683"/>
      <c r="E18" s="683"/>
      <c r="F18" s="683"/>
      <c r="G18" s="683"/>
      <c r="H18" s="683"/>
      <c r="I18" s="684"/>
    </row>
    <row r="19" spans="1:9" ht="15" customHeight="1">
      <c r="A19" s="682" t="s">
        <v>930</v>
      </c>
      <c r="B19" s="683"/>
      <c r="C19" s="683"/>
      <c r="D19" s="683"/>
      <c r="E19" s="683"/>
      <c r="F19" s="683"/>
      <c r="G19" s="683"/>
      <c r="H19" s="683"/>
      <c r="I19" s="684"/>
    </row>
    <row r="20" spans="1:9" ht="15" customHeight="1">
      <c r="A20" s="682" t="s">
        <v>924</v>
      </c>
      <c r="B20" s="683"/>
      <c r="C20" s="683"/>
      <c r="D20" s="683"/>
      <c r="E20" s="683"/>
      <c r="F20" s="683"/>
      <c r="G20" s="683"/>
      <c r="H20" s="683"/>
      <c r="I20" s="684"/>
    </row>
    <row r="21" spans="1:9" ht="15" customHeight="1">
      <c r="A21" s="682"/>
      <c r="B21" s="683"/>
      <c r="C21" s="683"/>
      <c r="D21" s="683"/>
      <c r="E21" s="683"/>
      <c r="F21" s="683"/>
      <c r="G21" s="683"/>
      <c r="H21" s="683"/>
      <c r="I21" s="684"/>
    </row>
    <row r="22" spans="1:9" ht="15" customHeight="1">
      <c r="A22" s="682" t="s">
        <v>925</v>
      </c>
      <c r="B22" s="683"/>
      <c r="C22" s="683"/>
      <c r="D22" s="683"/>
      <c r="E22" s="683"/>
      <c r="F22" s="683"/>
      <c r="G22" s="683"/>
      <c r="H22" s="683"/>
      <c r="I22" s="684"/>
    </row>
    <row r="23" spans="1:9" ht="15" customHeight="1">
      <c r="A23" s="39" t="s">
        <v>931</v>
      </c>
      <c r="B23" s="40"/>
      <c r="C23" s="40"/>
      <c r="D23" s="40"/>
      <c r="E23" s="40"/>
      <c r="F23" s="40"/>
      <c r="G23" s="40"/>
      <c r="H23" s="40"/>
      <c r="I23" s="41"/>
    </row>
    <row r="24" spans="1:9" ht="15" customHeight="1">
      <c r="A24" s="39" t="s">
        <v>932</v>
      </c>
      <c r="B24" s="40"/>
      <c r="C24" s="40"/>
      <c r="D24" s="40"/>
      <c r="E24" s="40"/>
      <c r="F24" s="40"/>
      <c r="G24" s="40"/>
      <c r="H24" s="40"/>
      <c r="I24" s="41"/>
    </row>
    <row r="25" spans="1:9" ht="15" customHeight="1">
      <c r="A25" s="39" t="s">
        <v>933</v>
      </c>
      <c r="B25" s="40"/>
      <c r="C25" s="40"/>
      <c r="D25" s="40"/>
      <c r="E25" s="40"/>
      <c r="F25" s="40"/>
      <c r="G25" s="40"/>
      <c r="H25" s="40"/>
      <c r="I25" s="41"/>
    </row>
    <row r="26" spans="1:9" ht="15" customHeight="1">
      <c r="A26" s="39"/>
      <c r="B26" s="40"/>
      <c r="C26" s="40"/>
      <c r="D26" s="40"/>
      <c r="E26" s="40"/>
      <c r="F26" s="40"/>
      <c r="G26" s="40"/>
      <c r="H26" s="40"/>
      <c r="I26" s="41"/>
    </row>
    <row r="27" spans="1:9" ht="15" customHeight="1">
      <c r="A27" s="497" t="s">
        <v>934</v>
      </c>
      <c r="B27" s="498"/>
      <c r="C27" s="498"/>
      <c r="D27" s="498"/>
      <c r="E27" s="498"/>
      <c r="F27" s="498"/>
      <c r="G27" s="498"/>
      <c r="H27" s="498"/>
      <c r="I27" s="499"/>
    </row>
    <row r="28" spans="1:9" ht="15" customHeight="1">
      <c r="A28" s="497" t="s">
        <v>935</v>
      </c>
      <c r="B28" s="498"/>
      <c r="C28" s="498"/>
      <c r="D28" s="498"/>
      <c r="E28" s="498"/>
      <c r="F28" s="498"/>
      <c r="G28" s="498"/>
      <c r="H28" s="498"/>
      <c r="I28" s="499"/>
    </row>
    <row r="29" spans="1:9" ht="15" customHeight="1">
      <c r="A29" s="497" t="s">
        <v>936</v>
      </c>
      <c r="B29" s="498"/>
      <c r="C29" s="498"/>
      <c r="D29" s="498"/>
      <c r="E29" s="498"/>
      <c r="F29" s="498"/>
      <c r="G29" s="498"/>
      <c r="H29" s="498"/>
      <c r="I29" s="499"/>
    </row>
    <row r="30" spans="1:9" ht="15" customHeight="1">
      <c r="A30" s="497" t="s">
        <v>937</v>
      </c>
      <c r="B30" s="498"/>
      <c r="C30" s="498"/>
      <c r="D30" s="498"/>
      <c r="E30" s="498"/>
      <c r="F30" s="498"/>
      <c r="G30" s="498"/>
      <c r="H30" s="498"/>
      <c r="I30" s="499"/>
    </row>
    <row r="31" spans="1:9" ht="15" customHeight="1">
      <c r="A31" s="497" t="s">
        <v>938</v>
      </c>
      <c r="B31" s="498"/>
      <c r="C31" s="498"/>
      <c r="D31" s="498"/>
      <c r="E31" s="498"/>
      <c r="F31" s="498"/>
      <c r="G31" s="498"/>
      <c r="H31" s="498"/>
      <c r="I31" s="499"/>
    </row>
    <row r="32" spans="1:9" ht="15" customHeight="1">
      <c r="A32" s="497" t="s">
        <v>926</v>
      </c>
      <c r="B32" s="498"/>
      <c r="C32" s="498"/>
      <c r="D32" s="498"/>
      <c r="E32" s="498"/>
      <c r="F32" s="498"/>
      <c r="G32" s="498"/>
      <c r="H32" s="498"/>
      <c r="I32" s="499"/>
    </row>
    <row r="33" spans="1:9" ht="15" customHeight="1">
      <c r="A33" s="39"/>
      <c r="B33" s="40"/>
      <c r="C33" s="40"/>
      <c r="D33" s="40"/>
      <c r="E33" s="40"/>
      <c r="F33" s="40"/>
      <c r="G33" s="40"/>
      <c r="H33" s="40"/>
      <c r="I33" s="41"/>
    </row>
    <row r="34" spans="1:9" ht="15" customHeight="1">
      <c r="A34" s="39"/>
      <c r="B34" s="40"/>
      <c r="C34" s="40"/>
      <c r="D34" s="40"/>
      <c r="E34" s="40"/>
      <c r="F34" s="40"/>
      <c r="G34" s="40"/>
      <c r="H34" s="40"/>
      <c r="I34" s="41"/>
    </row>
    <row r="35" spans="1:9" ht="15" customHeight="1">
      <c r="A35" s="39"/>
      <c r="B35" s="40"/>
      <c r="C35" s="40"/>
      <c r="D35" s="40"/>
      <c r="E35" s="40"/>
      <c r="F35" s="40"/>
      <c r="G35" s="40"/>
      <c r="H35" s="40"/>
      <c r="I35" s="41"/>
    </row>
    <row r="36" spans="1:9" ht="15" customHeight="1">
      <c r="A36" s="39"/>
      <c r="B36" s="40"/>
      <c r="C36" s="40"/>
      <c r="D36" s="40"/>
      <c r="E36" s="40"/>
      <c r="F36" s="40"/>
      <c r="G36" s="40"/>
      <c r="H36" s="40"/>
      <c r="I36" s="41"/>
    </row>
    <row r="37" spans="1:9" ht="15" customHeight="1">
      <c r="A37" s="39"/>
      <c r="B37" s="40"/>
      <c r="C37" s="40"/>
      <c r="D37" s="40"/>
      <c r="E37" s="40"/>
      <c r="F37" s="40"/>
      <c r="G37" s="40"/>
      <c r="H37" s="40"/>
      <c r="I37" s="41"/>
    </row>
    <row r="38" spans="1:9" ht="15" customHeight="1">
      <c r="A38" s="39"/>
      <c r="B38" s="40"/>
      <c r="C38" s="40"/>
      <c r="D38" s="40"/>
      <c r="E38" s="40"/>
      <c r="F38" s="40"/>
      <c r="G38" s="40"/>
      <c r="H38" s="40"/>
      <c r="I38" s="41"/>
    </row>
    <row r="39" spans="1:9" ht="15" customHeight="1">
      <c r="A39" s="39"/>
      <c r="B39" s="40"/>
      <c r="C39" s="40"/>
      <c r="D39" s="40"/>
      <c r="E39" s="40"/>
      <c r="F39" s="40"/>
      <c r="G39" s="40"/>
      <c r="H39" s="40"/>
      <c r="I39" s="41"/>
    </row>
    <row r="40" spans="1:9" ht="15" customHeight="1">
      <c r="A40" s="39"/>
      <c r="B40" s="40"/>
      <c r="C40" s="40"/>
      <c r="D40" s="40"/>
      <c r="E40" s="40"/>
      <c r="F40" s="40"/>
      <c r="G40" s="40"/>
      <c r="H40" s="40"/>
      <c r="I40" s="41"/>
    </row>
    <row r="41" spans="1:9" ht="15" customHeight="1">
      <c r="A41" s="39"/>
      <c r="B41" s="40"/>
      <c r="C41" s="40"/>
      <c r="D41" s="40"/>
      <c r="E41" s="40"/>
      <c r="F41" s="40"/>
      <c r="G41" s="40"/>
      <c r="H41" s="40"/>
      <c r="I41" s="41"/>
    </row>
    <row r="42" spans="1:9" ht="15" customHeight="1">
      <c r="A42" s="39"/>
      <c r="B42" s="40"/>
      <c r="C42" s="40"/>
      <c r="D42" s="40"/>
      <c r="E42" s="40"/>
      <c r="F42" s="40"/>
      <c r="G42" s="40"/>
      <c r="H42" s="40"/>
      <c r="I42" s="41"/>
    </row>
    <row r="43" spans="1:9" ht="15" customHeight="1">
      <c r="A43" s="39"/>
      <c r="B43" s="40"/>
      <c r="C43" s="40"/>
      <c r="D43" s="40"/>
      <c r="E43" s="40"/>
      <c r="F43" s="40"/>
      <c r="G43" s="40"/>
      <c r="H43" s="40"/>
      <c r="I43" s="41"/>
    </row>
    <row r="44" spans="1:9" ht="15" customHeight="1">
      <c r="A44" s="39"/>
      <c r="B44" s="40"/>
      <c r="C44" s="40"/>
      <c r="D44" s="40"/>
      <c r="E44" s="40"/>
      <c r="F44" s="40"/>
      <c r="G44" s="40"/>
      <c r="H44" s="40"/>
      <c r="I44" s="41"/>
    </row>
    <row r="45" spans="1:9" ht="15" customHeight="1">
      <c r="A45" s="39"/>
      <c r="B45" s="40"/>
      <c r="C45" s="40"/>
      <c r="D45" s="40"/>
      <c r="E45" s="40"/>
      <c r="F45" s="40"/>
      <c r="G45" s="40"/>
      <c r="H45" s="40"/>
      <c r="I45" s="41"/>
    </row>
    <row r="46" spans="1:9" ht="15" customHeight="1">
      <c r="A46" s="39"/>
      <c r="B46" s="40"/>
      <c r="C46" s="40"/>
      <c r="D46" s="40"/>
      <c r="E46" s="40"/>
      <c r="F46" s="40"/>
      <c r="G46" s="40"/>
      <c r="H46" s="40"/>
      <c r="I46" s="41"/>
    </row>
    <row r="47" spans="1:9" ht="15" customHeight="1">
      <c r="A47" s="39"/>
      <c r="B47" s="40"/>
      <c r="C47" s="40"/>
      <c r="D47" s="40"/>
      <c r="E47" s="40"/>
      <c r="F47" s="40"/>
      <c r="G47" s="40"/>
      <c r="H47" s="40"/>
      <c r="I47" s="41"/>
    </row>
    <row r="48" spans="1:9" ht="15" customHeight="1">
      <c r="A48" s="39"/>
      <c r="B48" s="40"/>
      <c r="C48" s="40"/>
      <c r="D48" s="40"/>
      <c r="E48" s="40"/>
      <c r="F48" s="40"/>
      <c r="G48" s="40"/>
      <c r="H48" s="40"/>
      <c r="I48" s="41"/>
    </row>
    <row r="49" spans="1:9" ht="15" customHeight="1">
      <c r="A49" s="39"/>
      <c r="B49" s="40"/>
      <c r="C49" s="40"/>
      <c r="D49" s="40"/>
      <c r="E49" s="40"/>
      <c r="F49" s="40"/>
      <c r="G49" s="40"/>
      <c r="H49" s="40"/>
      <c r="I49" s="41"/>
    </row>
    <row r="50" spans="1:9" ht="15" customHeight="1">
      <c r="A50" s="39"/>
      <c r="B50" s="40"/>
      <c r="C50" s="40"/>
      <c r="D50" s="40"/>
      <c r="E50" s="40"/>
      <c r="F50" s="40"/>
      <c r="G50" s="40"/>
      <c r="H50" s="40"/>
      <c r="I50" s="41"/>
    </row>
    <row r="51" spans="1:9" ht="15" customHeight="1">
      <c r="A51" s="39"/>
      <c r="B51" s="40"/>
      <c r="C51" s="40"/>
      <c r="D51" s="40"/>
      <c r="E51" s="40"/>
      <c r="F51" s="40"/>
      <c r="G51" s="40"/>
      <c r="H51" s="40"/>
      <c r="I51" s="41"/>
    </row>
    <row r="52" spans="1:9" ht="15" customHeight="1">
      <c r="A52" s="39"/>
      <c r="B52" s="40"/>
      <c r="C52" s="40"/>
      <c r="D52" s="40"/>
      <c r="E52" s="40"/>
      <c r="F52" s="40"/>
      <c r="G52" s="40"/>
      <c r="H52" s="40"/>
      <c r="I52" s="41"/>
    </row>
    <row r="53" spans="1:9" ht="15" customHeight="1">
      <c r="A53" s="39"/>
      <c r="B53" s="40"/>
      <c r="C53" s="40"/>
      <c r="D53" s="40"/>
      <c r="E53" s="40"/>
      <c r="F53" s="40"/>
      <c r="G53" s="40"/>
      <c r="H53" s="40"/>
      <c r="I53" s="41"/>
    </row>
    <row r="54" spans="1:9" ht="15" customHeight="1">
      <c r="A54" s="39"/>
      <c r="B54" s="40"/>
      <c r="C54" s="40"/>
      <c r="D54" s="40"/>
      <c r="E54" s="40"/>
      <c r="F54" s="40"/>
      <c r="G54" s="40"/>
      <c r="H54" s="40"/>
      <c r="I54" s="41"/>
    </row>
    <row r="55" spans="1:9" ht="15" customHeight="1">
      <c r="A55" s="39"/>
      <c r="B55" s="40"/>
      <c r="C55" s="40"/>
      <c r="D55" s="40"/>
      <c r="E55" s="40"/>
      <c r="F55" s="40"/>
      <c r="G55" s="40"/>
      <c r="H55" s="40"/>
      <c r="I55" s="41"/>
    </row>
    <row r="56" spans="1:9" ht="15" customHeight="1">
      <c r="A56" s="39"/>
      <c r="B56" s="40"/>
      <c r="C56" s="40"/>
      <c r="D56" s="40"/>
      <c r="E56" s="40"/>
      <c r="F56" s="40"/>
      <c r="G56" s="40"/>
      <c r="H56" s="40"/>
      <c r="I56" s="41"/>
    </row>
    <row r="57" spans="1:9" ht="15" customHeight="1">
      <c r="A57" s="39"/>
      <c r="B57" s="40"/>
      <c r="C57" s="40"/>
      <c r="D57" s="40"/>
      <c r="E57" s="40"/>
      <c r="F57" s="40"/>
      <c r="G57" s="40"/>
      <c r="H57" s="40"/>
      <c r="I57" s="41"/>
    </row>
    <row r="58" spans="1:9" ht="15" customHeight="1">
      <c r="A58" s="39"/>
      <c r="B58" s="40"/>
      <c r="C58" s="40"/>
      <c r="D58" s="40"/>
      <c r="E58" s="40"/>
      <c r="F58" s="40"/>
      <c r="G58" s="40"/>
      <c r="H58" s="40"/>
      <c r="I58" s="41"/>
    </row>
    <row r="59" spans="1:9" ht="15" customHeight="1">
      <c r="A59" s="39"/>
      <c r="B59" s="40"/>
      <c r="C59" s="40"/>
      <c r="D59" s="40"/>
      <c r="E59" s="40"/>
      <c r="F59" s="40"/>
      <c r="G59" s="40"/>
      <c r="H59" s="40"/>
      <c r="I59" s="41"/>
    </row>
    <row r="60" spans="1:9" ht="15" customHeight="1">
      <c r="A60" s="39"/>
      <c r="B60" s="40"/>
      <c r="C60" s="40"/>
      <c r="D60" s="40"/>
      <c r="E60" s="40"/>
      <c r="F60" s="40"/>
      <c r="G60" s="40"/>
      <c r="H60" s="40"/>
      <c r="I60" s="41"/>
    </row>
    <row r="61" spans="1:9" ht="15" customHeight="1">
      <c r="A61" s="39"/>
      <c r="B61" s="40"/>
      <c r="C61" s="40"/>
      <c r="D61" s="40"/>
      <c r="E61" s="40"/>
      <c r="F61" s="40"/>
      <c r="G61" s="40"/>
      <c r="H61" s="40"/>
      <c r="I61" s="41"/>
    </row>
    <row r="62" spans="1:9" ht="15" customHeight="1">
      <c r="A62" s="39"/>
      <c r="B62" s="40"/>
      <c r="C62" s="40"/>
      <c r="D62" s="40"/>
      <c r="E62" s="40"/>
      <c r="F62" s="40"/>
      <c r="G62" s="40"/>
      <c r="H62" s="40"/>
      <c r="I62" s="41"/>
    </row>
    <row r="63" spans="1:9" ht="15" customHeight="1">
      <c r="A63" s="39"/>
      <c r="B63" s="40"/>
      <c r="C63" s="40"/>
      <c r="D63" s="40"/>
      <c r="E63" s="40"/>
      <c r="F63" s="40"/>
      <c r="G63" s="40"/>
      <c r="H63" s="40"/>
      <c r="I63" s="41"/>
    </row>
    <row r="64" spans="1:9" ht="15" customHeight="1">
      <c r="A64" s="39"/>
      <c r="B64" s="40"/>
      <c r="C64" s="40"/>
      <c r="D64" s="40"/>
      <c r="E64" s="40"/>
      <c r="F64" s="40"/>
      <c r="G64" s="40"/>
      <c r="H64" s="40"/>
      <c r="I64" s="41"/>
    </row>
    <row r="65" spans="1:9" ht="15" customHeight="1">
      <c r="A65" s="39"/>
      <c r="B65" s="40"/>
      <c r="C65" s="40"/>
      <c r="D65" s="40"/>
      <c r="E65" s="40"/>
      <c r="F65" s="40"/>
      <c r="G65" s="40"/>
      <c r="H65" s="40"/>
      <c r="I65" s="41"/>
    </row>
    <row r="66" spans="1:9" ht="15" customHeight="1">
      <c r="A66" s="39"/>
      <c r="B66" s="40"/>
      <c r="C66" s="40"/>
      <c r="D66" s="40"/>
      <c r="E66" s="40"/>
      <c r="F66" s="40"/>
      <c r="G66" s="40"/>
      <c r="H66" s="40"/>
      <c r="I66" s="41"/>
    </row>
    <row r="67" spans="1:9" ht="15" customHeight="1">
      <c r="A67" s="39"/>
      <c r="B67" s="40"/>
      <c r="C67" s="40"/>
      <c r="D67" s="40"/>
      <c r="E67" s="40"/>
      <c r="F67" s="40"/>
      <c r="G67" s="40"/>
      <c r="H67" s="40"/>
      <c r="I67" s="41"/>
    </row>
    <row r="68" spans="1:9" ht="15" customHeight="1">
      <c r="A68" s="39"/>
      <c r="B68" s="40"/>
      <c r="C68" s="40"/>
      <c r="D68" s="40"/>
      <c r="E68" s="40"/>
      <c r="F68" s="40"/>
      <c r="G68" s="40"/>
      <c r="H68" s="40"/>
      <c r="I68" s="41"/>
    </row>
    <row r="69" spans="1:9" ht="15" customHeight="1">
      <c r="A69" s="39"/>
      <c r="B69" s="40"/>
      <c r="C69" s="40"/>
      <c r="D69" s="40"/>
      <c r="E69" s="40"/>
      <c r="F69" s="40"/>
      <c r="G69" s="40"/>
      <c r="H69" s="40"/>
      <c r="I69" s="41"/>
    </row>
    <row r="70" spans="1:9" ht="15" customHeight="1">
      <c r="A70" s="39"/>
      <c r="B70" s="40"/>
      <c r="C70" s="40"/>
      <c r="D70" s="40"/>
      <c r="E70" s="40"/>
      <c r="F70" s="40"/>
      <c r="G70" s="40"/>
      <c r="H70" s="40"/>
      <c r="I70" s="41"/>
    </row>
    <row r="71" spans="1:9" ht="15" customHeight="1">
      <c r="A71" s="39"/>
      <c r="B71" s="40"/>
      <c r="C71" s="40"/>
      <c r="D71" s="40"/>
      <c r="E71" s="40"/>
      <c r="F71" s="40"/>
      <c r="G71" s="40"/>
      <c r="H71" s="40"/>
      <c r="I71" s="41"/>
    </row>
    <row r="72" spans="1:9" ht="15" customHeight="1">
      <c r="A72" s="39"/>
      <c r="B72" s="40"/>
      <c r="C72" s="40"/>
      <c r="D72" s="40"/>
      <c r="E72" s="40"/>
      <c r="F72" s="40"/>
      <c r="G72" s="40"/>
      <c r="H72" s="40"/>
      <c r="I72" s="41"/>
    </row>
    <row r="73" spans="1:9" ht="15" customHeight="1">
      <c r="A73" s="39"/>
      <c r="B73" s="40"/>
      <c r="C73" s="40"/>
      <c r="D73" s="40"/>
      <c r="E73" s="40"/>
      <c r="F73" s="40"/>
      <c r="G73" s="40"/>
      <c r="H73" s="40"/>
      <c r="I73" s="41"/>
    </row>
    <row r="74" spans="1:9" ht="15" customHeight="1">
      <c r="A74" s="39"/>
      <c r="B74" s="40"/>
      <c r="C74" s="40"/>
      <c r="D74" s="40"/>
      <c r="E74" s="40"/>
      <c r="F74" s="40"/>
      <c r="G74" s="40"/>
      <c r="H74" s="40"/>
      <c r="I74" s="41"/>
    </row>
    <row r="75" spans="1:9" ht="15" customHeight="1">
      <c r="A75" s="39"/>
      <c r="B75" s="40"/>
      <c r="C75" s="40"/>
      <c r="D75" s="40"/>
      <c r="E75" s="40"/>
      <c r="F75" s="40"/>
      <c r="G75" s="40"/>
      <c r="H75" s="40"/>
      <c r="I75" s="41"/>
    </row>
    <row r="76" spans="1:9" ht="15" customHeight="1">
      <c r="A76" s="39"/>
      <c r="B76" s="40"/>
      <c r="C76" s="40"/>
      <c r="D76" s="40"/>
      <c r="E76" s="40"/>
      <c r="F76" s="40"/>
      <c r="G76" s="40"/>
      <c r="H76" s="40"/>
      <c r="I76" s="41"/>
    </row>
    <row r="77" spans="1:9" ht="15" customHeight="1">
      <c r="A77" s="39"/>
      <c r="B77" s="40"/>
      <c r="C77" s="40"/>
      <c r="D77" s="40"/>
      <c r="E77" s="40"/>
      <c r="F77" s="40"/>
      <c r="G77" s="40"/>
      <c r="H77" s="40"/>
      <c r="I77" s="41"/>
    </row>
    <row r="78" spans="1:9" ht="15" customHeight="1">
      <c r="A78" s="39"/>
      <c r="B78" s="40"/>
      <c r="C78" s="40"/>
      <c r="D78" s="40"/>
      <c r="E78" s="40"/>
      <c r="F78" s="40"/>
      <c r="G78" s="40"/>
      <c r="H78" s="40"/>
      <c r="I78" s="41"/>
    </row>
    <row r="79" spans="1:9" ht="15" customHeight="1">
      <c r="A79" s="39"/>
      <c r="B79" s="40"/>
      <c r="C79" s="40"/>
      <c r="D79" s="40"/>
      <c r="E79" s="40"/>
      <c r="F79" s="40"/>
      <c r="G79" s="40"/>
      <c r="H79" s="40"/>
      <c r="I79" s="41"/>
    </row>
    <row r="80" spans="1:9" ht="15" customHeight="1">
      <c r="A80" s="42"/>
      <c r="B80" s="43"/>
      <c r="C80" s="43"/>
      <c r="D80" s="43"/>
      <c r="E80" s="43"/>
      <c r="F80" s="43"/>
      <c r="G80" s="43"/>
      <c r="H80" s="43"/>
      <c r="I80" s="44"/>
    </row>
  </sheetData>
  <sheetProtection/>
  <mergeCells count="11">
    <mergeCell ref="A20:I20"/>
    <mergeCell ref="A22:I22"/>
    <mergeCell ref="A21:I21"/>
    <mergeCell ref="A12:I12"/>
    <mergeCell ref="A19:I19"/>
    <mergeCell ref="A8:I8"/>
    <mergeCell ref="A16:I16"/>
    <mergeCell ref="A17:I17"/>
    <mergeCell ref="J11:L11"/>
    <mergeCell ref="A15:I15"/>
    <mergeCell ref="A18:I18"/>
  </mergeCells>
  <hyperlinks>
    <hyperlink ref="I1" location="BG!A1" display="BG"/>
  </hyperlinks>
  <printOptions/>
  <pageMargins left="0.7086614173228347" right="0.7086614173228347" top="0.7480314960629921" bottom="0.7480314960629921" header="0.31496062992125984" footer="0.31496062992125984"/>
  <pageSetup fitToHeight="1" fitToWidth="1" horizontalDpi="1200" verticalDpi="1200" orientation="portrait" paperSize="5" scale="61" r:id="rId1"/>
</worksheet>
</file>

<file path=xl/worksheets/sheet8.xml><?xml version="1.0" encoding="utf-8"?>
<worksheet xmlns="http://schemas.openxmlformats.org/spreadsheetml/2006/main" xmlns:r="http://schemas.openxmlformats.org/officeDocument/2006/relationships">
  <sheetPr codeName="Hoja7"/>
  <dimension ref="A1:N117"/>
  <sheetViews>
    <sheetView showGridLines="0" zoomScalePageLayoutView="0" workbookViewId="0" topLeftCell="A1">
      <selection activeCell="A107" sqref="A107"/>
    </sheetView>
  </sheetViews>
  <sheetFormatPr defaultColWidth="11.421875" defaultRowHeight="15"/>
  <cols>
    <col min="1" max="1" width="31.421875" style="2" customWidth="1"/>
    <col min="2" max="2" width="14.8515625" style="2" customWidth="1"/>
    <col min="3" max="3" width="15.421875" style="2" customWidth="1"/>
    <col min="4" max="5" width="11.421875" style="2" customWidth="1"/>
    <col min="6" max="6" width="14.421875" style="2" customWidth="1"/>
    <col min="7" max="7" width="15.421875" style="2" customWidth="1"/>
    <col min="8" max="8" width="11.421875" style="2" customWidth="1"/>
    <col min="9" max="9" width="12.28125" style="2" customWidth="1"/>
    <col min="10" max="16384" width="11.421875" style="2" customWidth="1"/>
  </cols>
  <sheetData>
    <row r="1" spans="1:9" ht="15" customHeight="1">
      <c r="A1" s="500" t="s">
        <v>939</v>
      </c>
      <c r="I1" s="177" t="s">
        <v>130</v>
      </c>
    </row>
    <row r="2" ht="15" customHeight="1"/>
    <row r="3" ht="15" customHeight="1"/>
    <row r="4" ht="15" customHeight="1"/>
    <row r="5" ht="15" customHeight="1"/>
    <row r="6" spans="1:9" s="48" customFormat="1" ht="15" customHeight="1">
      <c r="A6" s="710" t="s">
        <v>1</v>
      </c>
      <c r="B6" s="711"/>
      <c r="C6" s="711"/>
      <c r="D6" s="711"/>
      <c r="E6" s="711"/>
      <c r="F6" s="711"/>
      <c r="G6" s="711"/>
      <c r="H6" s="711"/>
      <c r="I6" s="712"/>
    </row>
    <row r="7" spans="1:11" s="48" customFormat="1" ht="26.25" customHeight="1">
      <c r="A7" s="716"/>
      <c r="B7" s="717"/>
      <c r="C7" s="717"/>
      <c r="D7" s="717"/>
      <c r="E7" s="717"/>
      <c r="F7" s="717"/>
      <c r="G7" s="717"/>
      <c r="H7" s="717"/>
      <c r="I7" s="718"/>
      <c r="J7" s="71"/>
      <c r="K7" s="71"/>
    </row>
    <row r="8" spans="1:9" s="48" customFormat="1" ht="15" customHeight="1">
      <c r="A8" s="119"/>
      <c r="B8" s="68"/>
      <c r="C8" s="68"/>
      <c r="D8" s="68"/>
      <c r="E8" s="68"/>
      <c r="F8" s="68"/>
      <c r="G8" s="68"/>
      <c r="H8" s="68"/>
      <c r="I8" s="120"/>
    </row>
    <row r="9" spans="1:9" s="48" customFormat="1" ht="15" customHeight="1">
      <c r="A9" s="119"/>
      <c r="B9" s="68"/>
      <c r="C9" s="68"/>
      <c r="D9" s="68"/>
      <c r="E9" s="68"/>
      <c r="F9" s="68"/>
      <c r="G9" s="68"/>
      <c r="H9" s="68"/>
      <c r="I9" s="120"/>
    </row>
    <row r="10" spans="1:11" s="48" customFormat="1" ht="15" customHeight="1">
      <c r="A10" s="704" t="s">
        <v>226</v>
      </c>
      <c r="B10" s="705"/>
      <c r="C10" s="705"/>
      <c r="D10" s="705"/>
      <c r="E10" s="705"/>
      <c r="F10" s="705"/>
      <c r="G10" s="705"/>
      <c r="H10" s="705"/>
      <c r="I10" s="706"/>
      <c r="J10" s="71"/>
      <c r="K10" s="71"/>
    </row>
    <row r="11" spans="1:9" s="72" customFormat="1" ht="55.5" customHeight="1">
      <c r="A11" s="698" t="s">
        <v>940</v>
      </c>
      <c r="B11" s="699"/>
      <c r="C11" s="699"/>
      <c r="D11" s="699"/>
      <c r="E11" s="699"/>
      <c r="F11" s="699"/>
      <c r="G11" s="699"/>
      <c r="H11" s="699"/>
      <c r="I11" s="700"/>
    </row>
    <row r="12" spans="1:9" s="72" customFormat="1" ht="37.5" customHeight="1">
      <c r="A12" s="701" t="s">
        <v>941</v>
      </c>
      <c r="B12" s="702"/>
      <c r="C12" s="702"/>
      <c r="D12" s="702"/>
      <c r="E12" s="702"/>
      <c r="F12" s="702"/>
      <c r="G12" s="702"/>
      <c r="H12" s="702"/>
      <c r="I12" s="703"/>
    </row>
    <row r="13" spans="1:9" s="72" customFormat="1" ht="15" customHeight="1">
      <c r="A13" s="274"/>
      <c r="B13" s="275"/>
      <c r="C13" s="275"/>
      <c r="D13" s="275"/>
      <c r="E13" s="275"/>
      <c r="F13" s="275"/>
      <c r="G13" s="275"/>
      <c r="H13" s="275"/>
      <c r="I13" s="276"/>
    </row>
    <row r="14" spans="1:9" s="48" customFormat="1" ht="15" customHeight="1">
      <c r="A14" s="692"/>
      <c r="B14" s="693"/>
      <c r="C14" s="693"/>
      <c r="D14" s="693"/>
      <c r="E14" s="693"/>
      <c r="F14" s="693"/>
      <c r="G14" s="693"/>
      <c r="H14" s="693"/>
      <c r="I14" s="694"/>
    </row>
    <row r="15" spans="1:11" s="48" customFormat="1" ht="15" customHeight="1">
      <c r="A15" s="695" t="s">
        <v>104</v>
      </c>
      <c r="B15" s="696"/>
      <c r="C15" s="696"/>
      <c r="D15" s="696"/>
      <c r="E15" s="696"/>
      <c r="F15" s="696"/>
      <c r="G15" s="696"/>
      <c r="H15" s="696"/>
      <c r="I15" s="697"/>
      <c r="J15" s="71"/>
      <c r="K15" s="71"/>
    </row>
    <row r="16" spans="1:9" s="48" customFormat="1" ht="42.75" customHeight="1">
      <c r="A16" s="701" t="s">
        <v>166</v>
      </c>
      <c r="B16" s="702"/>
      <c r="C16" s="702"/>
      <c r="D16" s="702"/>
      <c r="E16" s="702"/>
      <c r="F16" s="702"/>
      <c r="G16" s="702"/>
      <c r="H16" s="702"/>
      <c r="I16" s="703"/>
    </row>
    <row r="17" spans="1:9" s="48" customFormat="1" ht="15" customHeight="1">
      <c r="A17" s="692"/>
      <c r="B17" s="693"/>
      <c r="C17" s="693"/>
      <c r="D17" s="693"/>
      <c r="E17" s="693"/>
      <c r="F17" s="693"/>
      <c r="G17" s="693"/>
      <c r="H17" s="693"/>
      <c r="I17" s="694"/>
    </row>
    <row r="18" spans="1:11" s="48" customFormat="1" ht="15" customHeight="1">
      <c r="A18" s="695" t="s">
        <v>105</v>
      </c>
      <c r="B18" s="696"/>
      <c r="C18" s="696"/>
      <c r="D18" s="696"/>
      <c r="E18" s="696"/>
      <c r="F18" s="696"/>
      <c r="G18" s="696"/>
      <c r="H18" s="696"/>
      <c r="I18" s="697"/>
      <c r="J18" s="71"/>
      <c r="K18" s="71"/>
    </row>
    <row r="19" spans="1:9" s="48" customFormat="1" ht="15" customHeight="1">
      <c r="A19" s="689" t="s">
        <v>393</v>
      </c>
      <c r="B19" s="690"/>
      <c r="C19" s="690"/>
      <c r="D19" s="690"/>
      <c r="E19" s="690"/>
      <c r="F19" s="690"/>
      <c r="G19" s="690"/>
      <c r="H19" s="690"/>
      <c r="I19" s="691"/>
    </row>
    <row r="20" spans="1:9" s="48" customFormat="1" ht="28.5" customHeight="1">
      <c r="A20" s="698" t="s">
        <v>167</v>
      </c>
      <c r="B20" s="699"/>
      <c r="C20" s="699"/>
      <c r="D20" s="699"/>
      <c r="E20" s="699"/>
      <c r="F20" s="699"/>
      <c r="G20" s="699"/>
      <c r="H20" s="699"/>
      <c r="I20" s="700"/>
    </row>
    <row r="21" spans="1:9" s="48" customFormat="1" ht="15" customHeight="1">
      <c r="A21" s="306"/>
      <c r="B21" s="307"/>
      <c r="C21" s="307"/>
      <c r="D21" s="307"/>
      <c r="E21" s="307"/>
      <c r="F21" s="307"/>
      <c r="G21" s="307"/>
      <c r="H21" s="307"/>
      <c r="I21" s="308"/>
    </row>
    <row r="22" spans="1:9" s="48" customFormat="1" ht="15" customHeight="1">
      <c r="A22" s="213"/>
      <c r="B22" s="212"/>
      <c r="C22" s="68"/>
      <c r="D22" s="68"/>
      <c r="E22" s="68"/>
      <c r="F22" s="68"/>
      <c r="G22" s="212"/>
      <c r="H22" s="68"/>
      <c r="I22" s="120"/>
    </row>
    <row r="23" spans="1:11" s="48" customFormat="1" ht="15" customHeight="1">
      <c r="A23" s="213"/>
      <c r="B23" s="443"/>
      <c r="C23" s="443">
        <f>_xlfn.IFERROR(IF(Indice!B6="","2XX2",YEAR(Indice!B6)),"2XX2")</f>
        <v>2021</v>
      </c>
      <c r="D23" s="443"/>
      <c r="E23" s="314"/>
      <c r="F23" s="443"/>
      <c r="G23" s="443">
        <f>_xlfn.IFERROR(YEAR(Indice!B6-365),"2XX1")</f>
        <v>2020</v>
      </c>
      <c r="H23" s="443"/>
      <c r="I23" s="316"/>
      <c r="J23" s="314"/>
      <c r="K23" s="155"/>
    </row>
    <row r="24" spans="1:9" s="48" customFormat="1" ht="15" customHeight="1">
      <c r="A24" s="213"/>
      <c r="B24" s="159" t="s">
        <v>107</v>
      </c>
      <c r="C24" s="235" t="s">
        <v>188</v>
      </c>
      <c r="D24" s="235" t="s">
        <v>189</v>
      </c>
      <c r="E24" s="68"/>
      <c r="F24" s="159" t="s">
        <v>107</v>
      </c>
      <c r="G24" s="235" t="s">
        <v>188</v>
      </c>
      <c r="H24" s="235" t="s">
        <v>189</v>
      </c>
      <c r="I24" s="120"/>
    </row>
    <row r="25" spans="1:11" s="48" customFormat="1" ht="15" customHeight="1">
      <c r="A25" s="501" t="s">
        <v>106</v>
      </c>
      <c r="B25" s="212" t="s">
        <v>1026</v>
      </c>
      <c r="C25" s="558" t="s">
        <v>1027</v>
      </c>
      <c r="D25" s="646">
        <v>8529369</v>
      </c>
      <c r="E25" s="212"/>
      <c r="F25" s="212" t="s">
        <v>1026</v>
      </c>
      <c r="G25" s="558" t="s">
        <v>1027</v>
      </c>
      <c r="H25" s="646">
        <v>10209403</v>
      </c>
      <c r="I25" s="214"/>
      <c r="J25" s="155"/>
      <c r="K25" s="165"/>
    </row>
    <row r="26" spans="1:11" s="48" customFormat="1" ht="15" customHeight="1">
      <c r="A26" s="501"/>
      <c r="B26" s="212"/>
      <c r="C26" s="212"/>
      <c r="D26" s="646"/>
      <c r="E26" s="212"/>
      <c r="F26" s="212"/>
      <c r="G26" s="558"/>
      <c r="H26" s="646"/>
      <c r="I26" s="214"/>
      <c r="J26" s="155"/>
      <c r="K26" s="165"/>
    </row>
    <row r="27" spans="1:11" s="48" customFormat="1" ht="15" customHeight="1">
      <c r="A27" s="501" t="s">
        <v>108</v>
      </c>
      <c r="B27" s="212" t="s">
        <v>1026</v>
      </c>
      <c r="C27" s="558" t="s">
        <v>1027</v>
      </c>
      <c r="D27" s="646">
        <v>302844</v>
      </c>
      <c r="E27" s="212"/>
      <c r="F27" s="212" t="s">
        <v>1026</v>
      </c>
      <c r="G27" s="558" t="s">
        <v>1027</v>
      </c>
      <c r="H27" s="646">
        <v>356920</v>
      </c>
      <c r="I27" s="214"/>
      <c r="J27" s="155"/>
      <c r="K27" s="165"/>
    </row>
    <row r="28" spans="1:9" s="48" customFormat="1" ht="15" customHeight="1">
      <c r="A28" s="501"/>
      <c r="B28" s="158"/>
      <c r="C28" s="158"/>
      <c r="D28" s="647"/>
      <c r="E28" s="68"/>
      <c r="F28" s="158"/>
      <c r="G28" s="158"/>
      <c r="H28" s="647"/>
      <c r="I28" s="120"/>
    </row>
    <row r="29" spans="1:9" s="48" customFormat="1" ht="15" customHeight="1">
      <c r="A29" s="502" t="s">
        <v>109</v>
      </c>
      <c r="B29" s="317"/>
      <c r="C29" s="317"/>
      <c r="D29" s="648">
        <f>+D25-D27</f>
        <v>8226525</v>
      </c>
      <c r="E29" s="68"/>
      <c r="F29" s="317"/>
      <c r="G29" s="317"/>
      <c r="H29" s="648">
        <f>+H25-H27</f>
        <v>9852483</v>
      </c>
      <c r="I29" s="120"/>
    </row>
    <row r="30" spans="1:11" s="48" customFormat="1" ht="15" customHeight="1">
      <c r="A30" s="213"/>
      <c r="B30" s="212"/>
      <c r="C30" s="212"/>
      <c r="D30" s="212"/>
      <c r="E30" s="212"/>
      <c r="F30" s="212"/>
      <c r="G30" s="212"/>
      <c r="H30" s="212"/>
      <c r="I30" s="214"/>
      <c r="J30" s="155"/>
      <c r="K30" s="155"/>
    </row>
    <row r="31" spans="1:11" s="48" customFormat="1" ht="15" customHeight="1">
      <c r="A31" s="213"/>
      <c r="B31" s="212"/>
      <c r="C31" s="212"/>
      <c r="D31" s="212"/>
      <c r="E31" s="212"/>
      <c r="F31" s="212"/>
      <c r="G31" s="212"/>
      <c r="H31" s="212"/>
      <c r="I31" s="214"/>
      <c r="J31" s="155"/>
      <c r="K31" s="155"/>
    </row>
    <row r="32" spans="1:11" s="48" customFormat="1" ht="33" customHeight="1">
      <c r="A32" s="707" t="s">
        <v>1028</v>
      </c>
      <c r="B32" s="708"/>
      <c r="C32" s="708"/>
      <c r="D32" s="708"/>
      <c r="E32" s="708"/>
      <c r="F32" s="708"/>
      <c r="G32" s="708"/>
      <c r="H32" s="708"/>
      <c r="I32" s="709"/>
      <c r="J32" s="315"/>
      <c r="K32" s="155"/>
    </row>
    <row r="33" spans="1:9" s="48" customFormat="1" ht="15" customHeight="1">
      <c r="A33" s="306"/>
      <c r="B33" s="307"/>
      <c r="C33" s="307"/>
      <c r="D33" s="307"/>
      <c r="E33" s="307"/>
      <c r="F33" s="307"/>
      <c r="G33" s="307"/>
      <c r="H33" s="307"/>
      <c r="I33" s="308"/>
    </row>
    <row r="34" spans="1:11" s="48" customFormat="1" ht="15" customHeight="1">
      <c r="A34" s="695" t="s">
        <v>42</v>
      </c>
      <c r="B34" s="696"/>
      <c r="C34" s="696"/>
      <c r="D34" s="696"/>
      <c r="E34" s="696"/>
      <c r="F34" s="696"/>
      <c r="G34" s="696"/>
      <c r="H34" s="696"/>
      <c r="I34" s="697"/>
      <c r="J34" s="71"/>
      <c r="K34" s="71"/>
    </row>
    <row r="35" spans="1:9" s="48" customFormat="1" ht="28.5" customHeight="1">
      <c r="A35" s="689" t="s">
        <v>295</v>
      </c>
      <c r="B35" s="690"/>
      <c r="C35" s="690"/>
      <c r="D35" s="690"/>
      <c r="E35" s="690"/>
      <c r="F35" s="690"/>
      <c r="G35" s="690"/>
      <c r="H35" s="690"/>
      <c r="I35" s="691"/>
    </row>
    <row r="36" spans="1:9" s="48" customFormat="1" ht="15" customHeight="1">
      <c r="A36" s="268"/>
      <c r="B36" s="269"/>
      <c r="C36" s="269"/>
      <c r="D36" s="269"/>
      <c r="E36" s="269"/>
      <c r="F36" s="269"/>
      <c r="G36" s="269"/>
      <c r="H36" s="269"/>
      <c r="I36" s="270"/>
    </row>
    <row r="37" spans="1:9" s="48" customFormat="1" ht="15" customHeight="1">
      <c r="A37" s="692"/>
      <c r="B37" s="693"/>
      <c r="C37" s="693"/>
      <c r="D37" s="693"/>
      <c r="E37" s="693"/>
      <c r="F37" s="693"/>
      <c r="G37" s="693"/>
      <c r="H37" s="693"/>
      <c r="I37" s="694"/>
    </row>
    <row r="38" spans="1:11" s="48" customFormat="1" ht="15" customHeight="1">
      <c r="A38" s="704" t="s">
        <v>171</v>
      </c>
      <c r="B38" s="705"/>
      <c r="C38" s="705"/>
      <c r="D38" s="705"/>
      <c r="E38" s="705"/>
      <c r="F38" s="705"/>
      <c r="G38" s="705"/>
      <c r="H38" s="705"/>
      <c r="I38" s="706"/>
      <c r="J38" s="71"/>
      <c r="K38" s="71"/>
    </row>
    <row r="39" spans="1:11" s="48" customFormat="1" ht="122.25" customHeight="1">
      <c r="A39" s="698" t="s">
        <v>296</v>
      </c>
      <c r="B39" s="724"/>
      <c r="C39" s="724"/>
      <c r="D39" s="724"/>
      <c r="E39" s="724"/>
      <c r="F39" s="724"/>
      <c r="G39" s="724"/>
      <c r="H39" s="724"/>
      <c r="I39" s="725"/>
      <c r="J39" s="71"/>
      <c r="K39" s="71"/>
    </row>
    <row r="40" spans="1:11" s="48" customFormat="1" ht="27" customHeight="1">
      <c r="A40" s="726" t="s">
        <v>398</v>
      </c>
      <c r="B40" s="727"/>
      <c r="C40" s="727"/>
      <c r="D40" s="727"/>
      <c r="E40" s="727"/>
      <c r="F40" s="727"/>
      <c r="G40" s="727"/>
      <c r="H40" s="727"/>
      <c r="I40" s="728"/>
      <c r="J40" s="71"/>
      <c r="K40" s="71"/>
    </row>
    <row r="41" spans="1:11" s="96" customFormat="1" ht="15" customHeight="1">
      <c r="A41" s="207"/>
      <c r="B41" s="208"/>
      <c r="C41" s="208"/>
      <c r="D41" s="208"/>
      <c r="E41" s="208"/>
      <c r="F41" s="208"/>
      <c r="G41" s="208"/>
      <c r="H41" s="208"/>
      <c r="I41" s="209"/>
      <c r="J41" s="210"/>
      <c r="K41" s="210"/>
    </row>
    <row r="42" spans="1:9" s="48" customFormat="1" ht="15" customHeight="1">
      <c r="A42" s="283"/>
      <c r="B42" s="284"/>
      <c r="C42" s="284"/>
      <c r="D42" s="284"/>
      <c r="E42" s="284"/>
      <c r="F42" s="284"/>
      <c r="G42" s="284"/>
      <c r="H42" s="284"/>
      <c r="I42" s="285"/>
    </row>
    <row r="43" spans="1:9" s="48" customFormat="1" ht="15" customHeight="1">
      <c r="A43" s="692"/>
      <c r="B43" s="693"/>
      <c r="C43" s="693"/>
      <c r="D43" s="693"/>
      <c r="E43" s="693"/>
      <c r="F43" s="693"/>
      <c r="G43" s="693"/>
      <c r="H43" s="693"/>
      <c r="I43" s="694"/>
    </row>
    <row r="44" spans="1:11" s="48" customFormat="1" ht="15" customHeight="1">
      <c r="A44" s="695" t="s">
        <v>168</v>
      </c>
      <c r="B44" s="696"/>
      <c r="C44" s="696"/>
      <c r="D44" s="696"/>
      <c r="E44" s="696"/>
      <c r="F44" s="696"/>
      <c r="G44" s="696"/>
      <c r="H44" s="696"/>
      <c r="I44" s="697"/>
      <c r="J44" s="71"/>
      <c r="K44" s="71"/>
    </row>
    <row r="45" spans="1:9" s="48" customFormat="1" ht="43.5" customHeight="1">
      <c r="A45" s="689" t="s">
        <v>297</v>
      </c>
      <c r="B45" s="690"/>
      <c r="C45" s="690"/>
      <c r="D45" s="690"/>
      <c r="E45" s="690"/>
      <c r="F45" s="690"/>
      <c r="G45" s="690"/>
      <c r="H45" s="690"/>
      <c r="I45" s="691"/>
    </row>
    <row r="46" spans="1:9" s="48" customFormat="1" ht="24.75" customHeight="1">
      <c r="A46" s="280"/>
      <c r="B46" s="281"/>
      <c r="C46" s="281"/>
      <c r="D46" s="281"/>
      <c r="E46" s="281"/>
      <c r="F46" s="281"/>
      <c r="G46" s="281"/>
      <c r="H46" s="281"/>
      <c r="I46" s="282"/>
    </row>
    <row r="47" spans="1:9" s="48" customFormat="1" ht="15" customHeight="1">
      <c r="A47" s="119"/>
      <c r="B47" s="68"/>
      <c r="C47" s="68"/>
      <c r="D47" s="68"/>
      <c r="E47" s="68"/>
      <c r="F47" s="68"/>
      <c r="G47" s="68"/>
      <c r="H47" s="68"/>
      <c r="I47" s="120"/>
    </row>
    <row r="48" spans="1:9" s="48" customFormat="1" ht="15" customHeight="1">
      <c r="A48" s="713"/>
      <c r="B48" s="714"/>
      <c r="C48" s="714"/>
      <c r="D48" s="714"/>
      <c r="E48" s="714"/>
      <c r="F48" s="714"/>
      <c r="G48" s="714"/>
      <c r="H48" s="714"/>
      <c r="I48" s="715"/>
    </row>
    <row r="49" spans="1:11" s="48" customFormat="1" ht="15" customHeight="1">
      <c r="A49" s="695" t="s">
        <v>162</v>
      </c>
      <c r="B49" s="696"/>
      <c r="C49" s="696"/>
      <c r="D49" s="696"/>
      <c r="E49" s="696"/>
      <c r="F49" s="696"/>
      <c r="G49" s="696"/>
      <c r="H49" s="696"/>
      <c r="I49" s="697"/>
      <c r="J49" s="71"/>
      <c r="K49" s="71"/>
    </row>
    <row r="50" spans="1:11" s="48" customFormat="1" ht="40.5" customHeight="1">
      <c r="A50" s="689" t="s">
        <v>298</v>
      </c>
      <c r="B50" s="690"/>
      <c r="C50" s="690"/>
      <c r="D50" s="690"/>
      <c r="E50" s="690"/>
      <c r="F50" s="690"/>
      <c r="G50" s="690"/>
      <c r="H50" s="690"/>
      <c r="I50" s="691"/>
      <c r="J50" s="71"/>
      <c r="K50" s="71"/>
    </row>
    <row r="51" spans="1:9" s="48" customFormat="1" ht="15" customHeight="1">
      <c r="A51" s="119"/>
      <c r="B51" s="68"/>
      <c r="C51" s="68"/>
      <c r="D51" s="68"/>
      <c r="E51" s="68"/>
      <c r="F51" s="68"/>
      <c r="G51" s="68"/>
      <c r="H51" s="68"/>
      <c r="I51" s="120"/>
    </row>
    <row r="52" spans="1:9" s="48" customFormat="1" ht="15" customHeight="1">
      <c r="A52" s="271"/>
      <c r="B52" s="272"/>
      <c r="C52" s="272"/>
      <c r="D52" s="272"/>
      <c r="E52" s="272"/>
      <c r="F52" s="272"/>
      <c r="G52" s="272"/>
      <c r="H52" s="272"/>
      <c r="I52" s="273"/>
    </row>
    <row r="53" spans="1:11" s="48" customFormat="1" ht="15" customHeight="1">
      <c r="A53" s="695" t="s">
        <v>169</v>
      </c>
      <c r="B53" s="696"/>
      <c r="C53" s="696"/>
      <c r="D53" s="696"/>
      <c r="E53" s="696"/>
      <c r="F53" s="696"/>
      <c r="G53" s="696"/>
      <c r="H53" s="696"/>
      <c r="I53" s="697"/>
      <c r="J53" s="71"/>
      <c r="K53" s="71"/>
    </row>
    <row r="54" spans="1:9" s="48" customFormat="1" ht="40.5" customHeight="1">
      <c r="A54" s="698" t="s">
        <v>172</v>
      </c>
      <c r="B54" s="699"/>
      <c r="C54" s="699"/>
      <c r="D54" s="699"/>
      <c r="E54" s="699"/>
      <c r="F54" s="699"/>
      <c r="G54" s="699"/>
      <c r="H54" s="699"/>
      <c r="I54" s="700"/>
    </row>
    <row r="55" spans="1:9" s="48" customFormat="1" ht="15" customHeight="1">
      <c r="A55" s="283"/>
      <c r="B55" s="284"/>
      <c r="C55" s="284"/>
      <c r="D55" s="284"/>
      <c r="E55" s="284"/>
      <c r="F55" s="284"/>
      <c r="G55" s="284"/>
      <c r="H55" s="284"/>
      <c r="I55" s="285"/>
    </row>
    <row r="56" spans="1:9" s="48" customFormat="1" ht="15" customHeight="1">
      <c r="A56" s="119"/>
      <c r="B56" s="68"/>
      <c r="C56" s="68"/>
      <c r="D56" s="68"/>
      <c r="E56" s="68"/>
      <c r="F56" s="68"/>
      <c r="G56" s="68"/>
      <c r="H56" s="68"/>
      <c r="I56" s="120"/>
    </row>
    <row r="57" spans="1:9" s="48" customFormat="1" ht="15" customHeight="1">
      <c r="A57" s="119"/>
      <c r="B57" s="68"/>
      <c r="C57" s="68"/>
      <c r="D57" s="68"/>
      <c r="E57" s="68"/>
      <c r="F57" s="68"/>
      <c r="G57" s="68"/>
      <c r="H57" s="68"/>
      <c r="I57" s="120"/>
    </row>
    <row r="58" spans="1:11" s="48" customFormat="1" ht="15" customHeight="1">
      <c r="A58" s="695" t="s">
        <v>170</v>
      </c>
      <c r="B58" s="696"/>
      <c r="C58" s="696"/>
      <c r="D58" s="696"/>
      <c r="E58" s="696"/>
      <c r="F58" s="696"/>
      <c r="G58" s="696"/>
      <c r="H58" s="696"/>
      <c r="I58" s="697"/>
      <c r="J58" s="730"/>
      <c r="K58" s="730"/>
    </row>
    <row r="59" spans="1:11" s="48" customFormat="1" ht="30" customHeight="1">
      <c r="A59" s="698" t="s">
        <v>173</v>
      </c>
      <c r="B59" s="699"/>
      <c r="C59" s="699"/>
      <c r="D59" s="699"/>
      <c r="E59" s="699"/>
      <c r="F59" s="699"/>
      <c r="G59" s="699"/>
      <c r="H59" s="699"/>
      <c r="I59" s="700"/>
      <c r="J59" s="730"/>
      <c r="K59" s="730"/>
    </row>
    <row r="60" spans="1:11" s="48" customFormat="1" ht="15" customHeight="1">
      <c r="A60" s="268"/>
      <c r="B60" s="269"/>
      <c r="C60" s="269"/>
      <c r="D60" s="269"/>
      <c r="E60" s="269"/>
      <c r="F60" s="269"/>
      <c r="G60" s="269"/>
      <c r="H60" s="269"/>
      <c r="I60" s="270"/>
      <c r="J60" s="233"/>
      <c r="K60" s="233"/>
    </row>
    <row r="61" spans="1:11" s="48" customFormat="1" ht="15" customHeight="1">
      <c r="A61" s="119"/>
      <c r="B61" s="68"/>
      <c r="C61" s="68"/>
      <c r="D61" s="68"/>
      <c r="E61" s="68"/>
      <c r="F61" s="68"/>
      <c r="G61" s="68"/>
      <c r="H61" s="68"/>
      <c r="I61" s="120"/>
      <c r="J61" s="730"/>
      <c r="K61" s="730"/>
    </row>
    <row r="62" spans="1:11" s="48" customFormat="1" ht="15" customHeight="1">
      <c r="A62" s="692"/>
      <c r="B62" s="693"/>
      <c r="C62" s="693"/>
      <c r="D62" s="693"/>
      <c r="E62" s="693"/>
      <c r="F62" s="693"/>
      <c r="G62" s="693"/>
      <c r="H62" s="693"/>
      <c r="I62" s="694"/>
      <c r="J62" s="730"/>
      <c r="K62" s="730"/>
    </row>
    <row r="63" spans="1:11" s="48" customFormat="1" ht="15" customHeight="1">
      <c r="A63" s="695" t="s">
        <v>174</v>
      </c>
      <c r="B63" s="696"/>
      <c r="C63" s="696"/>
      <c r="D63" s="696"/>
      <c r="E63" s="696"/>
      <c r="F63" s="696"/>
      <c r="G63" s="696"/>
      <c r="H63" s="696"/>
      <c r="I63" s="697"/>
      <c r="J63" s="730"/>
      <c r="K63" s="730"/>
    </row>
    <row r="64" spans="1:11" s="48" customFormat="1" ht="41.25" customHeight="1">
      <c r="A64" s="698" t="s">
        <v>175</v>
      </c>
      <c r="B64" s="699"/>
      <c r="C64" s="699"/>
      <c r="D64" s="699"/>
      <c r="E64" s="699"/>
      <c r="F64" s="699"/>
      <c r="G64" s="699"/>
      <c r="H64" s="699"/>
      <c r="I64" s="700"/>
      <c r="J64" s="730"/>
      <c r="K64" s="730"/>
    </row>
    <row r="65" spans="1:11" s="48" customFormat="1" ht="25.5" customHeight="1">
      <c r="A65" s="698" t="s">
        <v>176</v>
      </c>
      <c r="B65" s="699"/>
      <c r="C65" s="699"/>
      <c r="D65" s="699"/>
      <c r="E65" s="699"/>
      <c r="F65" s="699"/>
      <c r="G65" s="699"/>
      <c r="H65" s="699"/>
      <c r="I65" s="700"/>
      <c r="J65" s="730"/>
      <c r="K65" s="730"/>
    </row>
    <row r="66" spans="1:11" s="48" customFormat="1" ht="42.75" customHeight="1">
      <c r="A66" s="698" t="s">
        <v>299</v>
      </c>
      <c r="B66" s="699"/>
      <c r="C66" s="699"/>
      <c r="D66" s="699"/>
      <c r="E66" s="699"/>
      <c r="F66" s="699"/>
      <c r="G66" s="699"/>
      <c r="H66" s="699"/>
      <c r="I66" s="700"/>
      <c r="J66" s="206"/>
      <c r="K66" s="206"/>
    </row>
    <row r="67" spans="1:11" s="48" customFormat="1" ht="26.25" customHeight="1">
      <c r="A67" s="698" t="s">
        <v>177</v>
      </c>
      <c r="B67" s="699"/>
      <c r="C67" s="699"/>
      <c r="D67" s="699"/>
      <c r="E67" s="699"/>
      <c r="F67" s="699"/>
      <c r="G67" s="699"/>
      <c r="H67" s="699"/>
      <c r="I67" s="700"/>
      <c r="J67" s="206"/>
      <c r="K67" s="206"/>
    </row>
    <row r="68" spans="1:11" s="48" customFormat="1" ht="15" customHeight="1">
      <c r="A68" s="283"/>
      <c r="B68" s="284"/>
      <c r="C68" s="284"/>
      <c r="D68" s="284"/>
      <c r="E68" s="284"/>
      <c r="F68" s="284"/>
      <c r="G68" s="284"/>
      <c r="H68" s="284"/>
      <c r="I68" s="285"/>
      <c r="J68" s="206"/>
      <c r="K68" s="206"/>
    </row>
    <row r="69" spans="1:11" s="48" customFormat="1" ht="15" customHeight="1">
      <c r="A69" s="119"/>
      <c r="B69" s="68"/>
      <c r="C69" s="68"/>
      <c r="D69" s="68"/>
      <c r="E69" s="68"/>
      <c r="F69" s="68"/>
      <c r="G69" s="68"/>
      <c r="H69" s="68"/>
      <c r="I69" s="120"/>
      <c r="J69" s="206"/>
      <c r="K69" s="206"/>
    </row>
    <row r="70" spans="1:11" s="48" customFormat="1" ht="15" customHeight="1">
      <c r="A70" s="692"/>
      <c r="B70" s="693"/>
      <c r="C70" s="693"/>
      <c r="D70" s="693"/>
      <c r="E70" s="693"/>
      <c r="F70" s="693"/>
      <c r="G70" s="693"/>
      <c r="H70" s="693"/>
      <c r="I70" s="694"/>
      <c r="J70" s="730"/>
      <c r="K70" s="730"/>
    </row>
    <row r="71" spans="1:11" s="48" customFormat="1" ht="15" customHeight="1">
      <c r="A71" s="695" t="s">
        <v>163</v>
      </c>
      <c r="B71" s="696"/>
      <c r="C71" s="696"/>
      <c r="D71" s="696"/>
      <c r="E71" s="696"/>
      <c r="F71" s="696"/>
      <c r="G71" s="696"/>
      <c r="H71" s="696"/>
      <c r="I71" s="697"/>
      <c r="J71" s="730"/>
      <c r="K71" s="730"/>
    </row>
    <row r="72" spans="1:11" s="72" customFormat="1" ht="15" customHeight="1">
      <c r="A72" s="698" t="s">
        <v>178</v>
      </c>
      <c r="B72" s="699"/>
      <c r="C72" s="699"/>
      <c r="D72" s="699"/>
      <c r="E72" s="699"/>
      <c r="F72" s="699"/>
      <c r="G72" s="699"/>
      <c r="H72" s="699"/>
      <c r="I72" s="700"/>
      <c r="J72" s="731"/>
      <c r="K72" s="731"/>
    </row>
    <row r="73" spans="1:11" s="72" customFormat="1" ht="24.75" customHeight="1">
      <c r="A73" s="698" t="s">
        <v>300</v>
      </c>
      <c r="B73" s="699"/>
      <c r="C73" s="699"/>
      <c r="D73" s="699"/>
      <c r="E73" s="699"/>
      <c r="F73" s="699"/>
      <c r="G73" s="699"/>
      <c r="H73" s="699"/>
      <c r="I73" s="700"/>
      <c r="J73" s="731"/>
      <c r="K73" s="731"/>
    </row>
    <row r="74" spans="1:11" s="72" customFormat="1" ht="15" customHeight="1">
      <c r="A74" s="698" t="s">
        <v>179</v>
      </c>
      <c r="B74" s="699"/>
      <c r="C74" s="699"/>
      <c r="D74" s="699"/>
      <c r="E74" s="699"/>
      <c r="F74" s="699"/>
      <c r="G74" s="699"/>
      <c r="H74" s="699"/>
      <c r="I74" s="700"/>
      <c r="J74" s="731"/>
      <c r="K74" s="731"/>
    </row>
    <row r="75" spans="1:11" s="48" customFormat="1" ht="15" customHeight="1">
      <c r="A75" s="283"/>
      <c r="B75" s="284"/>
      <c r="C75" s="284"/>
      <c r="D75" s="284"/>
      <c r="E75" s="284"/>
      <c r="F75" s="284"/>
      <c r="G75" s="284"/>
      <c r="H75" s="284"/>
      <c r="I75" s="285"/>
      <c r="J75" s="233"/>
      <c r="K75" s="233"/>
    </row>
    <row r="76" spans="1:11" s="48" customFormat="1" ht="15" customHeight="1">
      <c r="A76" s="692"/>
      <c r="B76" s="693"/>
      <c r="C76" s="693"/>
      <c r="D76" s="693"/>
      <c r="E76" s="693"/>
      <c r="F76" s="693"/>
      <c r="G76" s="693"/>
      <c r="H76" s="693"/>
      <c r="I76" s="694"/>
      <c r="J76" s="730"/>
      <c r="K76" s="730"/>
    </row>
    <row r="77" spans="1:11" s="48" customFormat="1" ht="15" customHeight="1">
      <c r="A77" s="695" t="s">
        <v>164</v>
      </c>
      <c r="B77" s="696"/>
      <c r="C77" s="696"/>
      <c r="D77" s="696"/>
      <c r="E77" s="696"/>
      <c r="F77" s="696"/>
      <c r="G77" s="696"/>
      <c r="H77" s="696"/>
      <c r="I77" s="697"/>
      <c r="J77" s="730"/>
      <c r="K77" s="730"/>
    </row>
    <row r="78" spans="1:11" s="72" customFormat="1" ht="25.5" customHeight="1">
      <c r="A78" s="698" t="s">
        <v>180</v>
      </c>
      <c r="B78" s="699"/>
      <c r="C78" s="699"/>
      <c r="D78" s="699"/>
      <c r="E78" s="699"/>
      <c r="F78" s="699"/>
      <c r="G78" s="699"/>
      <c r="H78" s="699"/>
      <c r="I78" s="700"/>
      <c r="J78" s="234"/>
      <c r="K78" s="234"/>
    </row>
    <row r="79" spans="1:11" s="72" customFormat="1" ht="24.75" customHeight="1">
      <c r="A79" s="698" t="s">
        <v>181</v>
      </c>
      <c r="B79" s="699"/>
      <c r="C79" s="699"/>
      <c r="D79" s="699"/>
      <c r="E79" s="699"/>
      <c r="F79" s="699"/>
      <c r="G79" s="699"/>
      <c r="H79" s="699"/>
      <c r="I79" s="700"/>
      <c r="J79" s="234"/>
      <c r="K79" s="234"/>
    </row>
    <row r="80" spans="1:11" s="72" customFormat="1" ht="34.5" customHeight="1">
      <c r="A80" s="698" t="s">
        <v>182</v>
      </c>
      <c r="B80" s="699"/>
      <c r="C80" s="699"/>
      <c r="D80" s="699"/>
      <c r="E80" s="699"/>
      <c r="F80" s="699"/>
      <c r="G80" s="699"/>
      <c r="H80" s="699"/>
      <c r="I80" s="700"/>
      <c r="J80" s="234"/>
      <c r="K80" s="234"/>
    </row>
    <row r="81" spans="1:11" s="48" customFormat="1" ht="15" customHeight="1">
      <c r="A81" s="119"/>
      <c r="B81" s="68"/>
      <c r="C81" s="68"/>
      <c r="D81" s="68"/>
      <c r="E81" s="68"/>
      <c r="F81" s="68"/>
      <c r="G81" s="68"/>
      <c r="H81" s="68"/>
      <c r="I81" s="120"/>
      <c r="J81" s="206"/>
      <c r="K81" s="206"/>
    </row>
    <row r="82" spans="1:11" s="36" customFormat="1" ht="15" customHeight="1">
      <c r="A82" s="277"/>
      <c r="B82" s="278"/>
      <c r="C82" s="278"/>
      <c r="D82" s="278"/>
      <c r="E82" s="278"/>
      <c r="F82" s="278"/>
      <c r="G82" s="278"/>
      <c r="H82" s="278"/>
      <c r="I82" s="279"/>
      <c r="J82" s="211"/>
      <c r="K82" s="211"/>
    </row>
    <row r="83" spans="1:11" s="36" customFormat="1" ht="15" customHeight="1">
      <c r="A83" s="695" t="s">
        <v>301</v>
      </c>
      <c r="B83" s="696"/>
      <c r="C83" s="696"/>
      <c r="D83" s="696"/>
      <c r="E83" s="696"/>
      <c r="F83" s="696"/>
      <c r="G83" s="696"/>
      <c r="H83" s="696"/>
      <c r="I83" s="697"/>
      <c r="J83" s="211"/>
      <c r="K83" s="211"/>
    </row>
    <row r="84" spans="1:11" s="36" customFormat="1" ht="15" customHeight="1">
      <c r="A84" s="698" t="s">
        <v>183</v>
      </c>
      <c r="B84" s="699"/>
      <c r="C84" s="699"/>
      <c r="D84" s="699"/>
      <c r="E84" s="699"/>
      <c r="F84" s="699"/>
      <c r="G84" s="699"/>
      <c r="H84" s="699"/>
      <c r="I84" s="700"/>
      <c r="J84" s="211"/>
      <c r="K84" s="211"/>
    </row>
    <row r="85" spans="1:11" s="48" customFormat="1" ht="15" customHeight="1">
      <c r="A85" s="119"/>
      <c r="B85" s="68"/>
      <c r="C85" s="68"/>
      <c r="D85" s="68"/>
      <c r="E85" s="68"/>
      <c r="F85" s="68"/>
      <c r="G85" s="68"/>
      <c r="H85" s="68"/>
      <c r="I85" s="120"/>
      <c r="J85" s="730"/>
      <c r="K85" s="730"/>
    </row>
    <row r="86" spans="1:11" s="48" customFormat="1" ht="15" customHeight="1">
      <c r="A86" s="283"/>
      <c r="B86" s="284"/>
      <c r="C86" s="284"/>
      <c r="D86" s="284"/>
      <c r="E86" s="284"/>
      <c r="F86" s="284"/>
      <c r="G86" s="284"/>
      <c r="H86" s="284"/>
      <c r="I86" s="285"/>
      <c r="J86" s="206"/>
      <c r="K86" s="206"/>
    </row>
    <row r="87" spans="1:11" s="48" customFormat="1" ht="15" customHeight="1">
      <c r="A87" s="695" t="s">
        <v>394</v>
      </c>
      <c r="B87" s="696"/>
      <c r="C87" s="696"/>
      <c r="D87" s="696"/>
      <c r="E87" s="696"/>
      <c r="F87" s="696"/>
      <c r="G87" s="696"/>
      <c r="H87" s="696"/>
      <c r="I87" s="697"/>
      <c r="J87" s="730"/>
      <c r="K87" s="730"/>
    </row>
    <row r="88" spans="1:11" s="48" customFormat="1" ht="36.75" customHeight="1">
      <c r="A88" s="698" t="s">
        <v>184</v>
      </c>
      <c r="B88" s="699"/>
      <c r="C88" s="699"/>
      <c r="D88" s="699"/>
      <c r="E88" s="699"/>
      <c r="F88" s="699"/>
      <c r="G88" s="699"/>
      <c r="H88" s="699"/>
      <c r="I88" s="700"/>
      <c r="J88" s="206"/>
      <c r="K88" s="206"/>
    </row>
    <row r="89" spans="1:11" s="48" customFormat="1" ht="15" customHeight="1">
      <c r="A89" s="306"/>
      <c r="B89" s="307"/>
      <c r="C89" s="307"/>
      <c r="D89" s="307"/>
      <c r="E89" s="307"/>
      <c r="F89" s="307"/>
      <c r="G89" s="307"/>
      <c r="H89" s="307"/>
      <c r="I89" s="308"/>
      <c r="J89" s="305"/>
      <c r="K89" s="305"/>
    </row>
    <row r="90" spans="1:11" s="48" customFormat="1" ht="15" customHeight="1">
      <c r="A90" s="732" t="s">
        <v>395</v>
      </c>
      <c r="B90" s="733"/>
      <c r="C90" s="733"/>
      <c r="D90" s="733"/>
      <c r="E90" s="733"/>
      <c r="F90" s="733"/>
      <c r="G90" s="733"/>
      <c r="H90" s="733"/>
      <c r="I90" s="734"/>
      <c r="J90" s="70"/>
      <c r="K90" s="70"/>
    </row>
    <row r="91" spans="1:11" s="48" customFormat="1" ht="15" customHeight="1">
      <c r="A91" s="319" t="s">
        <v>190</v>
      </c>
      <c r="B91" s="318"/>
      <c r="C91" s="318"/>
      <c r="D91" s="318"/>
      <c r="E91" s="318"/>
      <c r="F91" s="318"/>
      <c r="G91" s="318"/>
      <c r="H91" s="318"/>
      <c r="I91" s="320"/>
      <c r="J91" s="318"/>
      <c r="K91" s="318"/>
    </row>
    <row r="92" spans="1:11" s="48" customFormat="1" ht="15" customHeight="1">
      <c r="A92" s="309"/>
      <c r="B92" s="310"/>
      <c r="C92" s="310"/>
      <c r="D92" s="310"/>
      <c r="E92" s="310"/>
      <c r="F92" s="310"/>
      <c r="G92" s="310"/>
      <c r="H92" s="310"/>
      <c r="I92" s="311"/>
      <c r="J92" s="206"/>
      <c r="K92" s="206"/>
    </row>
    <row r="93" spans="1:11" s="48" customFormat="1" ht="15" customHeight="1">
      <c r="A93" s="695" t="s">
        <v>396</v>
      </c>
      <c r="B93" s="696"/>
      <c r="C93" s="696"/>
      <c r="D93" s="696"/>
      <c r="E93" s="696"/>
      <c r="F93" s="696"/>
      <c r="G93" s="696"/>
      <c r="H93" s="696"/>
      <c r="I93" s="697"/>
      <c r="J93" s="206"/>
      <c r="K93" s="206"/>
    </row>
    <row r="94" spans="1:11" s="72" customFormat="1" ht="36" customHeight="1">
      <c r="A94" s="698" t="s">
        <v>185</v>
      </c>
      <c r="B94" s="699"/>
      <c r="C94" s="699"/>
      <c r="D94" s="699"/>
      <c r="E94" s="699"/>
      <c r="F94" s="699"/>
      <c r="G94" s="699"/>
      <c r="H94" s="699"/>
      <c r="I94" s="700"/>
      <c r="J94" s="234"/>
      <c r="K94" s="234"/>
    </row>
    <row r="95" spans="1:11" s="72" customFormat="1" ht="23.25" customHeight="1">
      <c r="A95" s="698" t="s">
        <v>186</v>
      </c>
      <c r="B95" s="699"/>
      <c r="C95" s="699"/>
      <c r="D95" s="699"/>
      <c r="E95" s="699"/>
      <c r="F95" s="699"/>
      <c r="G95" s="699"/>
      <c r="H95" s="699"/>
      <c r="I95" s="700"/>
      <c r="J95" s="234"/>
      <c r="K95" s="234"/>
    </row>
    <row r="96" spans="1:11" s="48" customFormat="1" ht="15" customHeight="1">
      <c r="A96" s="119"/>
      <c r="B96" s="68"/>
      <c r="C96" s="68"/>
      <c r="D96" s="68"/>
      <c r="E96" s="68"/>
      <c r="F96" s="68"/>
      <c r="G96" s="68"/>
      <c r="H96" s="68"/>
      <c r="I96" s="120"/>
      <c r="J96" s="233"/>
      <c r="K96" s="233"/>
    </row>
    <row r="97" spans="1:11" s="48" customFormat="1" ht="15" customHeight="1">
      <c r="A97" s="695" t="s">
        <v>397</v>
      </c>
      <c r="B97" s="696"/>
      <c r="C97" s="696"/>
      <c r="D97" s="696"/>
      <c r="E97" s="696"/>
      <c r="F97" s="696"/>
      <c r="G97" s="696"/>
      <c r="H97" s="696"/>
      <c r="I97" s="697"/>
      <c r="J97" s="206"/>
      <c r="K97" s="206"/>
    </row>
    <row r="98" spans="1:11" s="48" customFormat="1" ht="25.5" customHeight="1">
      <c r="A98" s="698" t="s">
        <v>187</v>
      </c>
      <c r="B98" s="699"/>
      <c r="C98" s="699"/>
      <c r="D98" s="699"/>
      <c r="E98" s="699"/>
      <c r="F98" s="699"/>
      <c r="G98" s="699"/>
      <c r="H98" s="699"/>
      <c r="I98" s="700"/>
      <c r="J98" s="206"/>
      <c r="K98" s="206"/>
    </row>
    <row r="99" spans="1:11" s="48" customFormat="1" ht="29.25" customHeight="1">
      <c r="A99" s="722" t="s">
        <v>425</v>
      </c>
      <c r="B99" s="722"/>
      <c r="C99" s="722"/>
      <c r="D99" s="722"/>
      <c r="E99" s="722"/>
      <c r="F99" s="722"/>
      <c r="G99" s="722"/>
      <c r="H99" s="722"/>
      <c r="I99" s="723"/>
      <c r="J99" s="206"/>
      <c r="K99" s="206"/>
    </row>
    <row r="100" spans="1:9" s="36" customFormat="1" ht="15" customHeight="1">
      <c r="A100" s="719"/>
      <c r="B100" s="720"/>
      <c r="C100" s="720"/>
      <c r="D100" s="720"/>
      <c r="E100" s="720"/>
      <c r="F100" s="720"/>
      <c r="G100" s="720"/>
      <c r="H100" s="720"/>
      <c r="I100" s="721"/>
    </row>
    <row r="101" s="48" customFormat="1" ht="15" customHeight="1"/>
    <row r="102" s="48" customFormat="1" ht="15" customHeight="1"/>
    <row r="103" s="48" customFormat="1" ht="15" customHeight="1">
      <c r="A103" s="322"/>
    </row>
    <row r="104" s="48" customFormat="1" ht="15" customHeight="1"/>
    <row r="105" s="48" customFormat="1" ht="15" customHeight="1"/>
    <row r="106" ht="15" customHeight="1"/>
    <row r="107" ht="15" customHeight="1"/>
    <row r="108" ht="15" customHeight="1"/>
    <row r="109" ht="15" customHeight="1"/>
    <row r="110" ht="15" customHeight="1"/>
    <row r="111" ht="15" customHeight="1"/>
    <row r="112" ht="15" customHeight="1"/>
    <row r="113" ht="15" customHeight="1"/>
    <row r="117" spans="6:14" ht="12.75">
      <c r="F117" s="729"/>
      <c r="G117" s="729"/>
      <c r="H117" s="729"/>
      <c r="I117" s="729"/>
      <c r="J117" s="729"/>
      <c r="K117" s="729"/>
      <c r="L117" s="729"/>
      <c r="M117" s="729"/>
      <c r="N117" s="729"/>
    </row>
  </sheetData>
  <sheetProtection/>
  <mergeCells count="74">
    <mergeCell ref="J58:K58"/>
    <mergeCell ref="J59:K59"/>
    <mergeCell ref="J77:K77"/>
    <mergeCell ref="J70:K70"/>
    <mergeCell ref="J71:K71"/>
    <mergeCell ref="J63:K63"/>
    <mergeCell ref="J64:K64"/>
    <mergeCell ref="J65:K65"/>
    <mergeCell ref="J61:K61"/>
    <mergeCell ref="J62:K62"/>
    <mergeCell ref="A76:I76"/>
    <mergeCell ref="A77:I77"/>
    <mergeCell ref="J72:K72"/>
    <mergeCell ref="J73:K73"/>
    <mergeCell ref="A73:I73"/>
    <mergeCell ref="A67:I67"/>
    <mergeCell ref="A72:I72"/>
    <mergeCell ref="A63:I63"/>
    <mergeCell ref="F117:N117"/>
    <mergeCell ref="J85:K85"/>
    <mergeCell ref="J87:K87"/>
    <mergeCell ref="A74:I74"/>
    <mergeCell ref="A80:I80"/>
    <mergeCell ref="J74:K74"/>
    <mergeCell ref="J76:K76"/>
    <mergeCell ref="A88:I88"/>
    <mergeCell ref="A90:I90"/>
    <mergeCell ref="A84:I84"/>
    <mergeCell ref="A43:I43"/>
    <mergeCell ref="A37:I37"/>
    <mergeCell ref="A38:I38"/>
    <mergeCell ref="A34:I34"/>
    <mergeCell ref="A17:I17"/>
    <mergeCell ref="A18:I18"/>
    <mergeCell ref="A39:I39"/>
    <mergeCell ref="A40:I40"/>
    <mergeCell ref="A79:I79"/>
    <mergeCell ref="A100:I100"/>
    <mergeCell ref="A93:I93"/>
    <mergeCell ref="A94:I94"/>
    <mergeCell ref="A78:I78"/>
    <mergeCell ref="A87:I87"/>
    <mergeCell ref="A95:I95"/>
    <mergeCell ref="A83:I83"/>
    <mergeCell ref="A99:I99"/>
    <mergeCell ref="A97:I97"/>
    <mergeCell ref="A98:I98"/>
    <mergeCell ref="A6:I6"/>
    <mergeCell ref="A44:I44"/>
    <mergeCell ref="A49:I49"/>
    <mergeCell ref="A53:I53"/>
    <mergeCell ref="A48:I48"/>
    <mergeCell ref="A50:I50"/>
    <mergeCell ref="A16:I16"/>
    <mergeCell ref="A7:I7"/>
    <mergeCell ref="A15:I15"/>
    <mergeCell ref="A11:I11"/>
    <mergeCell ref="A12:I12"/>
    <mergeCell ref="A35:I35"/>
    <mergeCell ref="A10:I10"/>
    <mergeCell ref="A14:I14"/>
    <mergeCell ref="A20:I20"/>
    <mergeCell ref="A19:I19"/>
    <mergeCell ref="A32:I32"/>
    <mergeCell ref="A45:I45"/>
    <mergeCell ref="A70:I70"/>
    <mergeCell ref="A71:I71"/>
    <mergeCell ref="A64:I64"/>
    <mergeCell ref="A65:I65"/>
    <mergeCell ref="A66:I66"/>
    <mergeCell ref="A54:I54"/>
    <mergeCell ref="A58:I58"/>
    <mergeCell ref="A59:I59"/>
    <mergeCell ref="A62:I62"/>
  </mergeCells>
  <hyperlinks>
    <hyperlink ref="I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9.xml><?xml version="1.0" encoding="utf-8"?>
<worksheet xmlns="http://schemas.openxmlformats.org/spreadsheetml/2006/main" xmlns:r="http://schemas.openxmlformats.org/officeDocument/2006/relationships">
  <sheetPr codeName="Hoja8"/>
  <dimension ref="A1:E20"/>
  <sheetViews>
    <sheetView showGridLines="0" zoomScalePageLayoutView="0" workbookViewId="0" topLeftCell="A1">
      <selection activeCell="A2" sqref="A2"/>
    </sheetView>
  </sheetViews>
  <sheetFormatPr defaultColWidth="11.421875" defaultRowHeight="15"/>
  <cols>
    <col min="1" max="1" width="45.421875" style="2" customWidth="1"/>
    <col min="2" max="2" width="5.8515625" style="2" customWidth="1"/>
    <col min="3" max="3" width="22.8515625" style="2" customWidth="1"/>
    <col min="4" max="4" width="16.57421875" style="2" customWidth="1"/>
    <col min="5" max="16384" width="11.421875" style="2" customWidth="1"/>
  </cols>
  <sheetData>
    <row r="1" spans="1:5" ht="15">
      <c r="A1" s="500" t="str">
        <f>+'Nota 2'!A1</f>
        <v>IMPORT CENTER S.A.</v>
      </c>
      <c r="B1" s="500"/>
      <c r="C1" s="500"/>
      <c r="E1" s="177" t="s">
        <v>130</v>
      </c>
    </row>
    <row r="2" spans="1:3" ht="15">
      <c r="A2" s="500"/>
      <c r="B2" s="500"/>
      <c r="C2" s="500"/>
    </row>
    <row r="7" spans="1:4" ht="12.75">
      <c r="A7" s="323" t="s">
        <v>453</v>
      </c>
      <c r="B7" s="323"/>
      <c r="C7" s="323"/>
      <c r="D7" s="323"/>
    </row>
    <row r="8" spans="1:2" ht="12.75">
      <c r="A8" s="444" t="s">
        <v>324</v>
      </c>
      <c r="B8" s="444"/>
    </row>
    <row r="9" ht="12.75">
      <c r="A9" s="4" t="s">
        <v>4</v>
      </c>
    </row>
    <row r="10" ht="12.75">
      <c r="A10" s="4"/>
    </row>
    <row r="11" spans="1:4" ht="12.75">
      <c r="A11" s="49" t="s">
        <v>5</v>
      </c>
      <c r="B11" s="50"/>
      <c r="C11" s="443">
        <f>_xlfn.IFERROR(IF(Indice!B6="","2XX2",YEAR(Indice!B6)),"2XX2")</f>
        <v>2021</v>
      </c>
      <c r="D11" s="443">
        <f>_xlfn.IFERROR(YEAR(Indice!B6-365),"2XX1")</f>
        <v>2020</v>
      </c>
    </row>
    <row r="12" spans="1:4" ht="12.75">
      <c r="A12" s="51"/>
      <c r="B12" s="50"/>
      <c r="C12" s="126"/>
      <c r="D12" s="126"/>
    </row>
    <row r="13" spans="1:4" ht="12.75">
      <c r="A13" s="53" t="s">
        <v>2</v>
      </c>
      <c r="B13" s="50"/>
      <c r="C13" s="54">
        <f>518975+131374</f>
        <v>650349</v>
      </c>
      <c r="D13" s="54">
        <f>300035+115490</f>
        <v>415525</v>
      </c>
    </row>
    <row r="14" spans="1:4" ht="12.75">
      <c r="A14" s="11" t="s">
        <v>6</v>
      </c>
      <c r="B14" s="52"/>
      <c r="C14" s="54"/>
      <c r="D14" s="54"/>
    </row>
    <row r="15" spans="1:4" ht="12.75">
      <c r="A15" s="53" t="s">
        <v>450</v>
      </c>
      <c r="B15" s="52"/>
      <c r="C15" s="54">
        <v>4863341</v>
      </c>
      <c r="D15" s="54">
        <v>4462927</v>
      </c>
    </row>
    <row r="16" spans="1:4" ht="12.75">
      <c r="A16" s="53" t="s">
        <v>449</v>
      </c>
      <c r="B16" s="52"/>
      <c r="C16" s="54">
        <v>86784</v>
      </c>
      <c r="D16" s="54">
        <v>2404893</v>
      </c>
    </row>
    <row r="17" spans="1:4" ht="12.75">
      <c r="A17" s="53" t="s">
        <v>452</v>
      </c>
      <c r="B17" s="52"/>
      <c r="C17" s="54"/>
      <c r="D17" s="54"/>
    </row>
    <row r="18" spans="1:4" ht="12.75">
      <c r="A18" s="53" t="s">
        <v>451</v>
      </c>
      <c r="B18" s="52"/>
      <c r="C18" s="54"/>
      <c r="D18" s="54"/>
    </row>
    <row r="19" spans="1:4" ht="12.75">
      <c r="A19" s="53" t="s">
        <v>66</v>
      </c>
      <c r="B19" s="52"/>
      <c r="C19" s="54"/>
      <c r="D19" s="54"/>
    </row>
    <row r="20" spans="1:4" ht="13.5" thickBot="1">
      <c r="A20" s="55" t="s">
        <v>3</v>
      </c>
      <c r="B20" s="56"/>
      <c r="C20" s="57">
        <f>SUM($C$13:C19)</f>
        <v>5600474</v>
      </c>
      <c r="D20" s="57">
        <f>SUM($D$13:D19)</f>
        <v>7283345</v>
      </c>
    </row>
    <row r="21" ht="13.5" thickTop="1"/>
  </sheetData>
  <sheetProtection/>
  <hyperlinks>
    <hyperlink ref="E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Gloria</cp:lastModifiedBy>
  <cp:lastPrinted>2019-08-03T16:59:14Z</cp:lastPrinted>
  <dcterms:created xsi:type="dcterms:W3CDTF">2019-05-02T15:06:12Z</dcterms:created>
  <dcterms:modified xsi:type="dcterms:W3CDTF">2021-05-31T15:57:18Z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