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drawings/drawing46.xml" ContentType="application/vnd.openxmlformats-officedocument.drawing+xml"/>
  <Override PartName="/xl/worksheets/sheet48.xml" ContentType="application/vnd.openxmlformats-officedocument.spreadsheetml.worksheet+xml"/>
  <Override PartName="/xl/drawings/drawing4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tabRatio="1000" activeTab="8"/>
  </bookViews>
  <sheets>
    <sheet name="Indice" sheetId="1" r:id="rId1"/>
    <sheet name="BG" sheetId="2" r:id="rId2"/>
    <sheet name="ER" sheetId="3" r:id="rId3"/>
    <sheet name="EVPN" sheetId="4" r:id="rId4"/>
    <sheet name="EFE" sheetId="5" r:id="rId5"/>
    <sheet name="Nota1" sheetId="6" r:id="rId6"/>
    <sheet name="Nota 2" sheetId="7" r:id="rId7"/>
    <sheet name="Nota 3" sheetId="8" r:id="rId8"/>
    <sheet name="Nota 4" sheetId="9" r:id="rId9"/>
    <sheet name="Nota 5" sheetId="10" r:id="rId10"/>
    <sheet name="Nota 6" sheetId="11" r:id="rId11"/>
    <sheet name="Nota 7" sheetId="12" r:id="rId12"/>
    <sheet name="Nota 8" sheetId="13" r:id="rId13"/>
    <sheet name="Nota 9" sheetId="14" r:id="rId14"/>
    <sheet name="Nota 10" sheetId="15" r:id="rId15"/>
    <sheet name="Nota 11" sheetId="16" r:id="rId16"/>
    <sheet name="Nota 12" sheetId="17" r:id="rId17"/>
    <sheet name="Nota 13" sheetId="18" r:id="rId18"/>
    <sheet name="Nota 14" sheetId="19" r:id="rId19"/>
    <sheet name="Nota 15" sheetId="20" r:id="rId20"/>
    <sheet name="Nota 16" sheetId="21" r:id="rId21"/>
    <sheet name="Nota 17" sheetId="22" r:id="rId22"/>
    <sheet name="Nota 18" sheetId="23" r:id="rId23"/>
    <sheet name="Nota 19" sheetId="24" r:id="rId24"/>
    <sheet name="Nota 20" sheetId="25" r:id="rId25"/>
    <sheet name="Nota 22" sheetId="26" r:id="rId26"/>
    <sheet name=" Nota 21" sheetId="27" r:id="rId27"/>
    <sheet name="Nota 23" sheetId="28" r:id="rId28"/>
    <sheet name="Nota 24" sheetId="29" r:id="rId29"/>
    <sheet name="Nota 25" sheetId="30" r:id="rId30"/>
    <sheet name="Nota 26" sheetId="31" r:id="rId31"/>
    <sheet name="Nota 27" sheetId="32" r:id="rId32"/>
    <sheet name="Nota 28" sheetId="33" r:id="rId33"/>
    <sheet name="Nota 29" sheetId="34" r:id="rId34"/>
    <sheet name="Nota 30" sheetId="35" r:id="rId35"/>
    <sheet name="Nota 31" sheetId="36" r:id="rId36"/>
    <sheet name="Nota 32" sheetId="37" r:id="rId37"/>
    <sheet name="Nota 33" sheetId="38" r:id="rId38"/>
    <sheet name="Nota 34" sheetId="39" r:id="rId39"/>
    <sheet name="Nota 35" sheetId="40" r:id="rId40"/>
    <sheet name="Nota 36" sheetId="41" r:id="rId41"/>
    <sheet name="Nota 37" sheetId="42" r:id="rId42"/>
    <sheet name="Nota 38" sheetId="43" r:id="rId43"/>
    <sheet name="Nota 39" sheetId="44" r:id="rId44"/>
    <sheet name="Nota 40" sheetId="45" r:id="rId45"/>
    <sheet name="Base de Monedas" sheetId="46" r:id="rId46"/>
    <sheet name="ANEXO C" sheetId="47" r:id="rId47"/>
    <sheet name="ANEXO D" sheetId="48" r:id="rId48"/>
  </sheets>
  <externalReferences>
    <externalReference r:id="rId51"/>
    <externalReference r:id="rId52"/>
    <externalReference r:id="rId53"/>
    <externalReference r:id="rId54"/>
    <externalReference r:id="rId55"/>
    <externalReference r:id="rId56"/>
    <externalReference r:id="rId57"/>
  </externalReferences>
  <definedNames>
    <definedName name="_bookmark390" localSheetId="3">'EVPN'!$H$1</definedName>
    <definedName name="_Hlk15378568" localSheetId="6">'Nota 2'!$A$12</definedName>
    <definedName name="_xlfn.IFERROR" hidden="1">#NAME?</definedName>
    <definedName name="_xlnm.Print_Area" localSheetId="2">'ER'!$A$1:$D$47</definedName>
  </definedNames>
  <calcPr fullCalcOnLoad="1"/>
</workbook>
</file>

<file path=xl/sharedStrings.xml><?xml version="1.0" encoding="utf-8"?>
<sst xmlns="http://schemas.openxmlformats.org/spreadsheetml/2006/main" count="2403" uniqueCount="1297">
  <si>
    <t>NOTA 1 – DESCRIPCIÓN DE LA NATURALEZA Y DEL NEGOCIO DE LA COMPAÑÍA</t>
  </si>
  <si>
    <t>NOTA 2 - RESUMEN DE LAS PRINCIPALES POLÍTICAS CONTABLES</t>
  </si>
  <si>
    <t>Caja</t>
  </si>
  <si>
    <t>Total</t>
  </si>
  <si>
    <t>La composición de la cuenta es la siguiente:</t>
  </si>
  <si>
    <t>Concepto</t>
  </si>
  <si>
    <t>Recaudaciones a depositar</t>
  </si>
  <si>
    <t>Previsiones</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</si>
  <si>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</si>
  <si>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</si>
  <si>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</si>
  <si>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</si>
  <si>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</si>
  <si>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</si>
  <si>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</si>
  <si>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</si>
  <si>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Garantía de Alquiler</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</si>
  <si>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</si>
  <si>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</si>
  <si>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</si>
  <si>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</si>
  <si>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</si>
  <si>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</si>
  <si>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</si>
  <si>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</si>
  <si>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</si>
  <si>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</si>
  <si>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</si>
  <si>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</si>
  <si>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</si>
  <si>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</si>
  <si>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</si>
  <si>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</si>
  <si>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</si>
  <si>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</si>
  <si>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</si>
  <si>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</si>
  <si>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</si>
  <si>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</si>
  <si>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</si>
  <si>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</si>
  <si>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</si>
  <si>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</si>
  <si>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</si>
  <si>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</si>
  <si>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</si>
  <si>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</si>
  <si>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</si>
  <si>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</si>
  <si>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</si>
  <si>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</si>
  <si>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</si>
  <si>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</si>
  <si>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</si>
  <si>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</si>
  <si>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</si>
  <si>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</si>
  <si>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</si>
  <si>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</si>
  <si>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</si>
  <si>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</si>
  <si>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</si>
  <si>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</si>
  <si>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</si>
  <si>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</si>
  <si>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</si>
  <si>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</si>
  <si>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</si>
  <si>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</si>
  <si>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</si>
  <si>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</si>
  <si>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</si>
  <si>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</si>
  <si>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</si>
  <si>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</si>
  <si>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</si>
  <si>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</si>
  <si>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</si>
  <si>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</si>
  <si>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</si>
  <si>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</si>
  <si>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</si>
  <si>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</si>
  <si>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</si>
  <si>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</si>
  <si>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</si>
  <si>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</si>
  <si>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</si>
  <si>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Desafectación de la reserva de revalúo técnico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</si>
  <si>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</si>
  <si>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</si>
  <si>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</si>
  <si>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</si>
  <si>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</si>
  <si>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</si>
  <si>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</si>
  <si>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</si>
  <si>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Mercaderías</t>
  </si>
  <si>
    <t>Productos terminados</t>
  </si>
  <si>
    <t>Productos en proceso</t>
  </si>
  <si>
    <t>Materia prima</t>
  </si>
  <si>
    <t>Gastos pagados por adelantado</t>
  </si>
  <si>
    <t>Composición Cartera Vencida</t>
  </si>
  <si>
    <t>Detallar cartera vencida y no vencida por clientes locales, extranjeros y partes relacionadas</t>
  </si>
  <si>
    <t>b.   Uso de estimaciones contables</t>
  </si>
  <si>
    <t>c.   Moneda extranjera</t>
  </si>
  <si>
    <t>Activos</t>
  </si>
  <si>
    <t>Indicar moneda</t>
  </si>
  <si>
    <t>Pasivos</t>
  </si>
  <si>
    <t>Posición neta</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</si>
  <si>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</si>
  <si>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</si>
  <si>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</si>
  <si>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</si>
  <si>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</si>
  <si>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</si>
  <si>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</si>
  <si>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</si>
  <si>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</si>
  <si>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</si>
  <si>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Intereses deudas bursátiles a pagar</t>
  </si>
  <si>
    <t>Obs.: Revelar situación en el caso de contar con disponibilidad restringida</t>
  </si>
  <si>
    <t>(incluir otras entidades)</t>
  </si>
  <si>
    <t>(Incluir programas de forma individual)</t>
  </si>
  <si>
    <t>Propiedad, planta y equipo</t>
  </si>
  <si>
    <t>Activos intangibles</t>
  </si>
  <si>
    <t>Inversiones</t>
  </si>
  <si>
    <t>(Detallar bienes de uso)</t>
  </si>
  <si>
    <t>(Detallar activos intangibles)</t>
  </si>
  <si>
    <t>(Detallar Inversiones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</si>
  <si>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</si>
  <si>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</si>
  <si>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</si>
  <si>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</si>
  <si>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</si>
  <si>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</si>
  <si>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</si>
  <si>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</si>
  <si>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</si>
  <si>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Remuneraciones al personal superior a pagar</t>
  </si>
  <si>
    <t>(Indicar otras cuentas)</t>
  </si>
  <si>
    <t>Impuesto a la renta a pagar</t>
  </si>
  <si>
    <t>Otros impuestos a pagar</t>
  </si>
  <si>
    <t>(Indicar otros impuestos)</t>
  </si>
  <si>
    <t>Retencion de IVA a pagar</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</si>
  <si>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</si>
  <si>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</si>
  <si>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</si>
  <si>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</si>
  <si>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</si>
  <si>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</si>
  <si>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</si>
  <si>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</si>
  <si>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</si>
  <si>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</si>
  <si>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</si>
  <si>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</si>
  <si>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</si>
  <si>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</si>
  <si>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</si>
  <si>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</si>
  <si>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</si>
  <si>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</si>
  <si>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</si>
  <si>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</si>
  <si>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Antecedentes de la sociedad: naturaleza jurídica, antecedentes sobre la constitución de la sociedad y reformas estatutarias, actividad principal y secundarias.</t>
  </si>
  <si>
    <t>Resumen de las principales políticas contables: a modo referencial, se incluyen las siguientes revelaciones de políticas contables en estados financieros de uso general que podrá ser tenida en consideración por las sociedades emisoras para la preparación de este capítulo de los estados financieros:</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</si>
  <si>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</si>
  <si>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</si>
  <si>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f. Previsión para cuentas de dudoso cobro/incobrables</t>
  </si>
  <si>
    <t>e.   Inversiones</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</si>
  <si>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t>
  </si>
  <si>
    <t>Las previsiones para desvalorización y deterioro de inventarios han sido estimadas tomando como base la valorización del stock deteriorado existente al cierre del ejercicio.</t>
  </si>
  <si>
    <t>Las propiedades, planta y equipo se exponen a su costo histórico ajustado por el coeficiente de revalúo emitido por la Autoridad Tributaria, menos la correspondiente depreciación acumulada. El incremento neto por la re-expresión se acredita a la respectiva reserva patrimonial, cuyo saldo puede ser utilizado únicamente para  aumentar el capital.</t>
  </si>
  <si>
    <t>El costo de las mejoras que extienden la vida útil de los bienes o aumentan su capacidad productiva es imputado a las cuentas respectivas del activo. Los gastos de mantenimiento son cargados a resultados.</t>
  </si>
  <si>
    <t>Los intangibles se exponen a su costo incurrido menos las correspondientes amortizaciones acumuladas al cierre del año.</t>
  </si>
  <si>
    <t>Este rubro incluye costos incurridos por la sociedad relacionados con ingresos futuros.</t>
  </si>
  <si>
    <t>Los ingresos y egresos son reconocidos en función de su devengamiento.</t>
  </si>
  <si>
    <t xml:space="preserve">El impuesto a la renta que se carga a los resultados del año se basa en la utilidad contable antes de este concepto, ajustada por las partidas que la ley incluye o excluye para la determinación de la utilidad gravable a la que se aplica la tasa legal vigente del impuesto y por el reconocimiento del cargo o el ingreso originado por la aplicación del impuesto diferido, si los hubiere. </t>
  </si>
  <si>
    <t>En caso de que la sociedad cuente con Fideicomisos vigentes, deberá exponer claramente en notas a los Estados Financieros, dentro del rubro correspondiente al cual pertenece el bien que ha sido objeto del fideicomiso, ya sea “Créditos/Inventarios u otros activos”, restando al valor del rubro perteneciente, al igual que en la constitución de Fideicomisos de Garantía.</t>
  </si>
  <si>
    <t>Deberá indicarse además los datos del contrato de fideicomiso, del fiduciario, monto, vencimiento. En caso de emisiones a través de un Patrimonio Autónomo, registradas en la CNV, deberán agregar los datos de registro, destino de los fondos, calificación de riesgo si lo tuviere.</t>
  </si>
  <si>
    <t>Seguidos en general para cuantificar, valuar y exponer los hechos y bienes económicos en los estados financieros y que fueran relevantes para el lector de los mismos.</t>
  </si>
  <si>
    <t>Simbología según ISO 4217</t>
  </si>
  <si>
    <t>Miles de G.</t>
  </si>
  <si>
    <t>Deberá mencionarse cualquier  tipo de restricción sobre la distribución de utilidades como ser restricciones estatutarias o de entes reguladores y asambleas.</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</si>
  <si>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</si>
  <si>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</si>
  <si>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</si>
  <si>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</si>
  <si>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</si>
  <si>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</si>
  <si>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</si>
  <si>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a)</t>
  </si>
  <si>
    <t>b)</t>
  </si>
  <si>
    <t>(En caso en que entre la fecha del cierre del ejercicio y la fecha de emisión de los estados financieros existan hechos posteriores significativos deberá evaluarse el tipo de hecho posterior del que se trate y modificar esta nota según corresponda).</t>
  </si>
  <si>
    <t>La Sociedad calcula la utilidad (pérdida) neta por acción sobre la base de la utilidad (pérdida) del año y … acciones ordinarias (aclarar las características de las acciones) de valor nominal G/ …cada una con derecho a … voto por acción (aclarar el derecho de voto que tiene cada tipo de acción).</t>
  </si>
  <si>
    <t xml:space="preserve">(Esta nota deberá ser incluida cuando en el estado de resultados se haga mención a una cuenta de carácter general o cuyo nombre no permita una adecuada identificación de la naturaleza del gasto y su importe sea significativo) </t>
  </si>
  <si>
    <t xml:space="preserve">El rubro está compuesto de la siguiente forma: </t>
  </si>
  <si>
    <t>Gastos de Ventas</t>
  </si>
  <si>
    <t>Gastos Administrativos</t>
  </si>
  <si>
    <t>Movilidad y viáticos</t>
  </si>
  <si>
    <t>Gastos de alquiler</t>
  </si>
  <si>
    <t>Computación y redes</t>
  </si>
  <si>
    <t>Gastos por servicios</t>
  </si>
  <si>
    <t>Honorarios profesionales y asesoramiento</t>
  </si>
  <si>
    <t>Investigación de mercado</t>
  </si>
  <si>
    <t>Impuestos y tasas</t>
  </si>
  <si>
    <t>Gastos de reparación y mantenimiento</t>
  </si>
  <si>
    <t>Gastos del personal y capacitación</t>
  </si>
  <si>
    <t>Seguros pagados</t>
  </si>
  <si>
    <t>Otros gastos de operación</t>
  </si>
  <si>
    <t>Remuneraciones de administradores, directores, síndicos y consejo de vigilancia</t>
  </si>
  <si>
    <t>Sueldos y Jornales</t>
  </si>
  <si>
    <t>Contribuciones Sociales</t>
  </si>
  <si>
    <t>Regalías y Honorarios por servicios técnicos</t>
  </si>
  <si>
    <t>Gastos de Publicidad y Propaganda</t>
  </si>
  <si>
    <t>Intereses, multas y recargos impositivos</t>
  </si>
  <si>
    <t>Intereses a bancos e instituciones financieras</t>
  </si>
  <si>
    <t>Amortización activos intangibles</t>
  </si>
  <si>
    <t>Nota 34 - Resultado de inversiones en asociadas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</si>
  <si>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</si>
  <si>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</si>
  <si>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</si>
  <si>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</si>
  <si>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</si>
  <si>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</si>
  <si>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</si>
  <si>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</si>
  <si>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</si>
  <si>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</si>
  <si>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</si>
  <si>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</si>
  <si>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</si>
  <si>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</si>
  <si>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</si>
  <si>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</si>
  <si>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</si>
  <si>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</si>
  <si>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</si>
  <si>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</si>
  <si>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Equipos de computación</t>
  </si>
  <si>
    <t>Muebles y útiles</t>
  </si>
  <si>
    <t>Equipos de comunicación</t>
  </si>
  <si>
    <t>Obras en curso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</si>
  <si>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</si>
  <si>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</si>
  <si>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</si>
  <si>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</si>
  <si>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</si>
  <si>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</si>
  <si>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</si>
  <si>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</si>
  <si>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</si>
  <si>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</si>
  <si>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</si>
  <si>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</si>
  <si>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</si>
  <si>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</si>
  <si>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</si>
  <si>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</si>
  <si>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</si>
  <si>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</si>
  <si>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</si>
  <si>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</si>
  <si>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</si>
  <si>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Otros ingresos  y gastos operativos</t>
  </si>
  <si>
    <t>Contado</t>
  </si>
  <si>
    <t>Crédito</t>
  </si>
  <si>
    <t>Existencia inicial del inventario</t>
  </si>
  <si>
    <t>+ Compra de bienes y servicios</t>
  </si>
  <si>
    <t>+ Costo de producción</t>
  </si>
  <si>
    <t>- Existencia final de inventario</t>
  </si>
  <si>
    <t>Total costo de ventas</t>
  </si>
  <si>
    <t>Total gastos financieros</t>
  </si>
  <si>
    <t xml:space="preserve">Utilidad/(Pérdida) neta del año </t>
  </si>
  <si>
    <t>(En miles de guaraníes)</t>
  </si>
  <si>
    <t>Pagos de impuesto a la renta</t>
  </si>
  <si>
    <t>FLUJO DE EFECTIVO DE ACTIVIDADES OPERATIVAS</t>
  </si>
  <si>
    <t xml:space="preserve">FLUJO DE EFECTIVO DE ACTIVIDADES DE INVERSIÓN </t>
  </si>
  <si>
    <t>Aquisición de inversiones</t>
  </si>
  <si>
    <t>FLUJO DE EFECTIVO DE ACTIVIDADES DE FINANCIACIÓN</t>
  </si>
  <si>
    <t>Distribución de dividendos s/Acta de Asamblea Ordinaria N°… de fecha………</t>
  </si>
  <si>
    <t>Reducción del capital social s/Acta de Asamblea General Ordinaria N°… de fecha……..</t>
  </si>
  <si>
    <t>Distribución de dividendos s/Acta de Asamblea General Ordinaria N°… de fecha………</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</si>
  <si>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</si>
  <si>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</si>
  <si>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</si>
  <si>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</si>
  <si>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</si>
  <si>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 xml:space="preserve">Las inversiones temporales se valúan de acuerdo a los siguientes criterios de valuación:
 Valores mobiliarios: a su valor de cotización al cierre del año/período menos los gastos estimados de venta. Ver Nota ....
 Colocaciones financieras en moneda local: a su valor nominal más los intereses devengados al cierre del año/período. Ver Nota ....
 Colocaciones financieras en moneda extranjera: a su valor de cotización al cierre del año/período más intereses devengados a ese momento. Ver Nota ....
 Las inversiones no corrientes en sociedades donde no se ejerce el control, se valúan a su valor patrimonial proporcional. Ver Nota ....
</t>
  </si>
  <si>
    <t>Las previsiones para cuentas de dudoso cobro se determinan al cierre de cada ejercicio y/o mensualmente sobre la base del estudio de la cartera de créditos realizado con el objeto de determinar la porción no recuperable de las cuentas a cobrar. Las previsiones para cuentas de dudoso cobro se determinan mensualmente de acuerdo con el siguiente esquema de cálculo: (Indicar política de constitución de previsiones)</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</si>
  <si>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</si>
  <si>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</si>
  <si>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</si>
  <si>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</si>
  <si>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</si>
  <si>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</si>
  <si>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</si>
  <si>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</si>
  <si>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</si>
  <si>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20X2</t>
  </si>
  <si>
    <t>BALANCE GENERAL</t>
  </si>
  <si>
    <t>ESTADO DE RESULTADOS</t>
  </si>
  <si>
    <t>Comparativo con igual período del año anterior</t>
  </si>
  <si>
    <t>Comparativo con igual periodo del año anterior</t>
  </si>
  <si>
    <t>I.V.A. Crédito fiscal</t>
  </si>
  <si>
    <t>Anticipos a proveedores</t>
  </si>
  <si>
    <t xml:space="preserve">Anticipos a proveedores </t>
  </si>
  <si>
    <t>NOTA 7 – INVENTARIOS</t>
  </si>
  <si>
    <t>(-) Previsión para desvalorización y deterioro de inventario</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</si>
  <si>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</si>
  <si>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</si>
  <si>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</si>
  <si>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</si>
  <si>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</si>
  <si>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</si>
  <si>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</si>
  <si>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</si>
  <si>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</si>
  <si>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</si>
  <si>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</si>
  <si>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</si>
  <si>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</si>
  <si>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</si>
  <si>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</si>
  <si>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</si>
  <si>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</si>
  <si>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</si>
  <si>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</si>
  <si>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</si>
  <si>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</si>
  <si>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</si>
  <si>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</si>
  <si>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</si>
  <si>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</si>
  <si>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</si>
  <si>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(Indicar cuentas)</t>
  </si>
  <si>
    <t>NOTA 19 – OTROS PASIVOS CORRIENTES y NO CORRIENTES</t>
  </si>
  <si>
    <t>Total pasivos no corrientes</t>
  </si>
  <si>
    <t>NOTA 20 – CAPITAL INTEGRADO</t>
  </si>
  <si>
    <t>NOTA 21 –  DIFERENCIA TRANSITORIA POR CONVERSION</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</si>
  <si>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</si>
  <si>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</si>
  <si>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</si>
  <si>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</si>
  <si>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</si>
  <si>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</si>
  <si>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</si>
  <si>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</si>
  <si>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</si>
  <si>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</si>
  <si>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</si>
  <si>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</si>
  <si>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</si>
  <si>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</si>
  <si>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</si>
  <si>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</si>
  <si>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</si>
  <si>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</si>
  <si>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</si>
  <si>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</si>
  <si>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</si>
  <si>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</si>
  <si>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</si>
  <si>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</si>
  <si>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</si>
  <si>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</si>
  <si>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</si>
  <si>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</si>
  <si>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</si>
  <si>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</si>
  <si>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</si>
  <si>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</si>
  <si>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</si>
  <si>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</si>
  <si>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</si>
  <si>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</si>
  <si>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</si>
  <si>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</si>
  <si>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</si>
  <si>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</si>
  <si>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</si>
  <si>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</si>
  <si>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Los activos y pasivos en moneda extranjera se valúan a los tipos de cambio vigentes a la fecha de cierre del ejercicio.</t>
  </si>
  <si>
    <t>A la fecha de emisión de estos estados financieros, el tipo de cambio de la moneda extranjera………………………..(mencionar la moneda) no/si varió sustancialmente (varió en un 0,00%) con respecto al vigente al …..de…………….20X1</t>
  </si>
  <si>
    <t>Obs.: En caso de la existencia de saldos y transacciones con partes relacionadas, la información que corresponda a ser expuesta por la sociedad, se ajustará  a lo requerido por la Norma de Información Financiera N° 7 Revelaciones de partes relacionadas.</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</si>
  <si>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</si>
  <si>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</si>
  <si>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</si>
  <si>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</si>
  <si>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</si>
  <si>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</si>
  <si>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</si>
  <si>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</si>
  <si>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</si>
  <si>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</si>
  <si>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</si>
  <si>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</si>
  <si>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</si>
  <si>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</si>
  <si>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</si>
  <si>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</si>
  <si>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</si>
  <si>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</si>
  <si>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</si>
  <si>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</si>
  <si>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</si>
  <si>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</si>
  <si>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</si>
  <si>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</si>
  <si>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</si>
  <si>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</si>
  <si>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Obs.: Cambios en políticas contables y su efecto sobre los estados financieros, como así también las modificaciones o ajustes de la información de ejercicios anteriores deben exponerse conforme a lo requerido por la Norma de Información Financiera N° 6 Utilidad o pérdida neta por el período, errores fundamentales y cambios en políticas contables</t>
  </si>
  <si>
    <t xml:space="preserve">Obs.: Esta información debe estar ajustada  a lo requerido por la Norma de Información Financiera N° 5 Contingencias y sucesos que ocurren después de la fecha del balance. </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</si>
  <si>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</si>
  <si>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</si>
  <si>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</si>
  <si>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</si>
  <si>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</si>
  <si>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</si>
  <si>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</si>
  <si>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</si>
  <si>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</si>
  <si>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</si>
  <si>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</si>
  <si>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</si>
  <si>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Cambio en política contable (Nota….)</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</si>
  <si>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</si>
  <si>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</si>
  <si>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</si>
  <si>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</si>
  <si>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</si>
  <si>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</si>
  <si>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</si>
  <si>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</si>
  <si>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</si>
  <si>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</si>
  <si>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</si>
  <si>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Bancos en el Extranjero - Moneda extranjera Dólares</t>
  </si>
  <si>
    <t>Bancos Locales - Moneda extranjera otros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</si>
  <si>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</si>
  <si>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</si>
  <si>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</si>
  <si>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</si>
  <si>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</si>
  <si>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</si>
  <si>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</si>
  <si>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</si>
  <si>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</si>
  <si>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</si>
  <si>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</si>
  <si>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</si>
  <si>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</si>
  <si>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</si>
  <si>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</si>
  <si>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</si>
  <si>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</si>
  <si>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</si>
  <si>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</si>
  <si>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</si>
  <si>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</si>
  <si>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</si>
  <si>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</si>
  <si>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</si>
  <si>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</si>
  <si>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</si>
  <si>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</si>
  <si>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</si>
  <si>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</si>
  <si>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</si>
  <si>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</si>
  <si>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</si>
  <si>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</si>
  <si>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</si>
  <si>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</si>
  <si>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</si>
  <si>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</si>
  <si>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</si>
  <si>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</si>
  <si>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&lt;-- Indicar Monto</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</si>
  <si>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</si>
  <si>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</si>
  <si>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</si>
  <si>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</si>
  <si>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</si>
  <si>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</si>
  <si>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</si>
  <si>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</si>
  <si>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</si>
  <si>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</si>
  <si>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</si>
  <si>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</si>
  <si>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</si>
  <si>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</si>
  <si>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</si>
  <si>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</si>
  <si>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</si>
  <si>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</si>
  <si>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</si>
  <si>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</si>
  <si>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</si>
  <si>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</si>
  <si>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</si>
  <si>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</si>
  <si>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</si>
  <si>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</si>
  <si>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</si>
  <si>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</si>
  <si>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</si>
  <si>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</si>
  <si>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</si>
  <si>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</si>
  <si>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</si>
  <si>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</si>
  <si>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</si>
  <si>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</si>
  <si>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</si>
  <si>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</si>
  <si>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</si>
  <si>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</si>
  <si>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</si>
  <si>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</si>
  <si>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</si>
  <si>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</si>
  <si>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</si>
  <si>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</si>
  <si>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</si>
  <si>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</si>
  <si>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</si>
  <si>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</si>
  <si>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</si>
  <si>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</si>
  <si>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</si>
  <si>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</si>
  <si>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</si>
  <si>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</si>
  <si>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</si>
  <si>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</si>
  <si>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</si>
  <si>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</si>
  <si>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</si>
  <si>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</si>
  <si>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</si>
  <si>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</si>
  <si>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</si>
  <si>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</si>
  <si>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</si>
  <si>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</si>
  <si>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</si>
  <si>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</si>
  <si>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</si>
  <si>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</si>
  <si>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</si>
  <si>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</si>
  <si>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</si>
  <si>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</si>
  <si>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</si>
  <si>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</si>
  <si>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</si>
  <si>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</si>
  <si>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</si>
  <si>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</si>
  <si>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</si>
  <si>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</si>
  <si>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</si>
  <si>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</si>
  <si>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</si>
  <si>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</si>
  <si>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</si>
  <si>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</si>
  <si>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</si>
  <si>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</si>
  <si>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</si>
  <si>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</si>
  <si>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</si>
  <si>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</si>
  <si>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</si>
  <si>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</si>
  <si>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</si>
  <si>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</si>
  <si>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</si>
  <si>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</si>
  <si>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</si>
  <si>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</si>
  <si>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</si>
  <si>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</si>
  <si>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</si>
  <si>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</si>
  <si>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</si>
  <si>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</si>
  <si>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</si>
  <si>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</si>
  <si>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</si>
  <si>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</si>
  <si>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</si>
  <si>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</si>
  <si>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</si>
  <si>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</si>
  <si>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</si>
  <si>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</si>
  <si>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</si>
  <si>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</si>
  <si>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</si>
  <si>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</si>
  <si>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</si>
  <si>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</si>
  <si>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</si>
  <si>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</si>
  <si>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</si>
  <si>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</si>
  <si>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</si>
  <si>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</si>
  <si>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</si>
  <si>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</si>
  <si>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</si>
  <si>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</si>
  <si>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</si>
  <si>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</si>
  <si>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</si>
  <si>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</si>
  <si>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</si>
  <si>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</si>
  <si>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</si>
  <si>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</si>
  <si>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</si>
  <si>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</si>
  <si>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</si>
  <si>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</si>
  <si>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</si>
  <si>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</si>
  <si>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</si>
  <si>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</si>
  <si>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</si>
  <si>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</si>
  <si>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</si>
  <si>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</si>
  <si>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</si>
  <si>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</si>
  <si>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</si>
  <si>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</si>
  <si>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</si>
  <si>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</si>
  <si>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</si>
  <si>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</si>
  <si>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</si>
  <si>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</si>
  <si>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</si>
  <si>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</si>
  <si>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</si>
  <si>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</si>
  <si>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</si>
  <si>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</si>
  <si>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</si>
  <si>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</si>
  <si>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</si>
  <si>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</si>
  <si>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</si>
  <si>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</si>
  <si>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</si>
  <si>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</si>
  <si>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</si>
  <si>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</si>
  <si>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</si>
  <si>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</si>
  <si>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</si>
  <si>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</si>
  <si>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</si>
  <si>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</si>
  <si>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</si>
  <si>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</si>
  <si>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</si>
  <si>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</si>
  <si>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</si>
  <si>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</si>
  <si>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</si>
  <si>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</si>
  <si>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</si>
  <si>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</si>
  <si>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</si>
  <si>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</si>
  <si>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</si>
  <si>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</si>
  <si>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</si>
  <si>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</si>
  <si>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</si>
  <si>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</si>
  <si>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</si>
  <si>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</si>
  <si>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</si>
  <si>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</si>
  <si>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</si>
  <si>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</si>
  <si>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</si>
  <si>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</si>
  <si>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</si>
  <si>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</si>
  <si>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</si>
  <si>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</si>
  <si>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</si>
  <si>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</si>
  <si>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</si>
  <si>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</si>
  <si>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</si>
  <si>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</si>
  <si>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</si>
  <si>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</si>
  <si>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</si>
  <si>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</si>
  <si>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</si>
  <si>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</si>
  <si>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</si>
  <si>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</si>
  <si>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</si>
  <si>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</si>
  <si>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</si>
  <si>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</si>
  <si>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</si>
  <si>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</si>
  <si>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</si>
  <si>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</si>
  <si>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</si>
  <si>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</si>
  <si>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</si>
  <si>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</si>
  <si>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</si>
  <si>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</si>
  <si>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</si>
  <si>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</si>
  <si>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</si>
  <si>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</si>
  <si>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</si>
  <si>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</si>
  <si>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</si>
  <si>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</si>
  <si>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</si>
  <si>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</si>
  <si>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</si>
  <si>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</si>
  <si>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</si>
  <si>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</si>
  <si>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</si>
  <si>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</si>
  <si>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</si>
  <si>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</si>
  <si>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</si>
  <si>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</si>
  <si>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</si>
  <si>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</si>
  <si>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</si>
  <si>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</si>
  <si>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</si>
  <si>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</si>
  <si>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</si>
  <si>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</si>
  <si>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</si>
  <si>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</si>
  <si>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</si>
  <si>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</si>
  <si>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</si>
  <si>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</si>
  <si>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</si>
  <si>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</si>
  <si>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</si>
  <si>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</si>
  <si>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</si>
  <si>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</si>
  <si>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</si>
  <si>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</si>
  <si>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</si>
  <si>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</si>
  <si>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</si>
  <si>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</si>
  <si>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</si>
  <si>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</si>
  <si>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</si>
  <si>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</si>
  <si>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</si>
  <si>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</si>
  <si>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</si>
  <si>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</si>
  <si>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</si>
  <si>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</si>
  <si>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</si>
  <si>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</si>
  <si>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</si>
  <si>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</si>
  <si>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</si>
  <si>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</si>
  <si>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</si>
  <si>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</si>
  <si>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</si>
  <si>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</si>
  <si>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</si>
  <si>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</si>
  <si>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</si>
  <si>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</si>
  <si>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</si>
  <si>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</si>
  <si>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</si>
  <si>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</si>
  <si>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</si>
  <si>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</si>
  <si>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</si>
  <si>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</si>
  <si>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</si>
  <si>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</si>
  <si>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</si>
  <si>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</si>
  <si>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</si>
  <si>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</si>
  <si>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</si>
  <si>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</si>
  <si>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</si>
  <si>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</si>
  <si>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</si>
  <si>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</si>
  <si>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</si>
  <si>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</si>
  <si>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</si>
  <si>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</si>
  <si>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</si>
  <si>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</si>
  <si>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</si>
  <si>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</si>
  <si>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</si>
  <si>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</si>
  <si>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</si>
  <si>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</si>
  <si>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</si>
  <si>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</si>
  <si>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</si>
  <si>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</si>
  <si>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</si>
  <si>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</si>
  <si>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</si>
  <si>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</si>
  <si>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</si>
  <si>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</si>
  <si>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</si>
  <si>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</si>
  <si>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</si>
  <si>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</si>
  <si>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</si>
  <si>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Nombre de la entidad financiera</t>
  </si>
  <si>
    <t>Símbolo de Moneda</t>
  </si>
  <si>
    <t>Préstamos de Entidades en el Exterior</t>
  </si>
  <si>
    <t>Intereses a pagar</t>
  </si>
  <si>
    <t>Préstamos de Entidades Locales</t>
  </si>
  <si>
    <t>Intereses préstamos entidades financieras a pagar</t>
  </si>
  <si>
    <t>(-) Intereses a Devengar</t>
  </si>
  <si>
    <t xml:space="preserve">Otros Pasivos con Entidades relacionadas </t>
  </si>
  <si>
    <t>Importe (miles de Gs)</t>
  </si>
  <si>
    <t>Alquileres a Pagar</t>
  </si>
  <si>
    <t>Honorarios Profesionales a Pagar</t>
  </si>
  <si>
    <t>Servicios Basicos a Pagar</t>
  </si>
  <si>
    <t>Fecha</t>
  </si>
  <si>
    <t>Monto Capital Social</t>
  </si>
  <si>
    <t>Valor Nominal de Acciones</t>
  </si>
  <si>
    <t>Cantidad de Acciones</t>
  </si>
  <si>
    <t>Monto Capital Integrado</t>
  </si>
  <si>
    <t>d.1. (nuevas cuentas a incluir)</t>
  </si>
  <si>
    <t>d.2. (nuevas cuentas a incluir)</t>
  </si>
  <si>
    <t>(a) Equivalentes al tipo de cambio referencial de la fecha de presentacion</t>
  </si>
  <si>
    <t>NOTAS A LOS ESTADOS FINANCIEROS CORRESPONDIENTES AL PERIODO TERMINADO</t>
  </si>
  <si>
    <t xml:space="preserve">Presentadas en forma comparativa con el periodo terminado </t>
  </si>
  <si>
    <t>Ventas linea de negocio 1</t>
  </si>
  <si>
    <t>Ventas linea de negocio 2</t>
  </si>
  <si>
    <t>Local</t>
  </si>
  <si>
    <t>Exterior</t>
  </si>
  <si>
    <t>(nuevas lineas de negocio a incluir)</t>
  </si>
  <si>
    <t>Linea de negocio 1</t>
  </si>
  <si>
    <t>Linea de negocio 2</t>
  </si>
  <si>
    <t>(Detallar cuentas)</t>
  </si>
  <si>
    <t>Conceptos</t>
  </si>
  <si>
    <t>(Detallar)</t>
  </si>
  <si>
    <t>Utilidad Neta</t>
  </si>
  <si>
    <t>Cantidad de Acciones Ordinarias en Circulación</t>
  </si>
  <si>
    <t>Utilidad Neta por Acción Ordinaria</t>
  </si>
  <si>
    <t>Depreciación bienes de uso</t>
  </si>
  <si>
    <t>(nueva cuenta a incluir)</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</si>
  <si>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</si>
  <si>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</si>
  <si>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</si>
  <si>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</si>
  <si>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</si>
  <si>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</si>
  <si>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</si>
  <si>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</si>
  <si>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</si>
  <si>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</si>
  <si>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</si>
  <si>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</si>
  <si>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Se indicarán en este rubro todos los créditos a favor de la empresa provenientes de las  ventas de Mercaderías y/o servicios (atendiendo a la actividades ordinarias de  la empresa), separando las ventas locales en moneda nacional y/o extranjera de las ventas fuera del país en moneda nacional  y/o extranjera</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</si>
  <si>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</si>
  <si>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</si>
  <si>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</si>
  <si>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</si>
  <si>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</si>
  <si>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</si>
  <si>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</si>
  <si>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</si>
  <si>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</si>
  <si>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</si>
  <si>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</si>
  <si>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</si>
  <si>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</si>
  <si>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</si>
  <si>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</si>
  <si>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&lt;-- Colocar Nombre de la Sociedad</t>
  </si>
  <si>
    <t>&lt;-- Completar Fecha en formato (DD/MM/AAA)</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</si>
  <si>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</si>
  <si>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</si>
  <si>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g. Inventarios</t>
  </si>
  <si>
    <t>h. Activos disponibles para la venta</t>
  </si>
  <si>
    <t>i. Previsiones para desvalorización y deterioro de inventarios</t>
  </si>
  <si>
    <t>j. Propiedades, planta y equipo</t>
  </si>
  <si>
    <t>k. Intangibles</t>
  </si>
  <si>
    <t>l. Goodwill</t>
  </si>
  <si>
    <t>m. Reconocimiento de ingresos y egresos</t>
  </si>
  <si>
    <t>n. Impuesto a la renta</t>
  </si>
  <si>
    <t>o. Restricciones a la distribución de utilidades</t>
  </si>
  <si>
    <t>p. Derechos en Fideicomiso</t>
  </si>
  <si>
    <t>q. Otros principios, prácticas y métodos</t>
  </si>
  <si>
    <t>NEGOFIN S.A.E.C.A.</t>
  </si>
  <si>
    <r>
      <t xml:space="preserve">De haberse aplicado una corrección monetaria integral de los estados financieros, podrían haber surgido diferencias en la presentación de la situación patrimonial y financiera de la sociedad, en los resultados de sus operaciones y en los flujos de efectivo al ….., y por los ejercicios cerrados el, 31 de marzo de 2020 y 2021. Según el índice general de precios del consumo (IPC) publicado por el Banco Central del Paraguay, la inflación fue de 00,4% en el año 2020 y 00,6% en el año 2021. </t>
    </r>
    <r>
      <rPr>
        <i/>
        <sz val="9"/>
        <color indexed="8"/>
        <rFont val="Arial"/>
        <family val="2"/>
      </rPr>
      <t>Obs: Datos a incorporar para cierre del ejercicio</t>
    </r>
    <r>
      <rPr>
        <sz val="9"/>
        <color indexed="8"/>
        <rFont val="Arial"/>
        <family val="2"/>
      </rPr>
      <t xml:space="preserve">
</t>
    </r>
  </si>
  <si>
    <t>Cuentas a Cobrar L.B.</t>
  </si>
  <si>
    <t>Bosamaz a cobrar por Servicios Varios</t>
  </si>
  <si>
    <t>Bosamaz Regualarizadora p/ Varios</t>
  </si>
  <si>
    <t>Parametro Regularizadora</t>
  </si>
  <si>
    <t>Aupar Regularizadora</t>
  </si>
  <si>
    <t>Cuentas a Cobrar NEXO SAECA</t>
  </si>
  <si>
    <t>DHA Regularizadora</t>
  </si>
  <si>
    <t>Covica Regularizadora</t>
  </si>
  <si>
    <t>Avanti Group Regularizadora</t>
  </si>
  <si>
    <t>Cuentas a Cobrar ZAE II</t>
  </si>
  <si>
    <t>Cuentas a Cobrar Avanti-Varios</t>
  </si>
  <si>
    <t>Cuentas a Cobrar ZAE  S.A</t>
  </si>
  <si>
    <t>Cuentas a Cobrar Covica</t>
  </si>
  <si>
    <t>Cuentas a Cobrar Parametro - Varios</t>
  </si>
  <si>
    <t>Cuentas a Cobrar Aupar S.A</t>
  </si>
  <si>
    <t>Cuentas a Cobrar Luar SA</t>
  </si>
  <si>
    <t>Cuentas a Cobrar Credimarket</t>
  </si>
  <si>
    <t>Cuentas a Cobrar Crediflash</t>
  </si>
  <si>
    <t>Cuentas a Cobrar ZAE III</t>
  </si>
  <si>
    <t>Cuentas a Cobrar Pronet</t>
  </si>
  <si>
    <t>Luar Regularizadora</t>
  </si>
  <si>
    <t>ZAE 3 Regularizadora</t>
  </si>
  <si>
    <t>Cuentas a Cobrar - Netel</t>
  </si>
  <si>
    <t>Cuentas a Cobrar - Infonet Cobranzas</t>
  </si>
  <si>
    <t>Cuentas a Cobrar WALTON</t>
  </si>
  <si>
    <t>Cuentas a Cobrar-Documenta</t>
  </si>
  <si>
    <t>Comisiones a Cobrar-Documenta</t>
  </si>
  <si>
    <t>Cuentas a Cobrar Cuenta Cero</t>
  </si>
  <si>
    <t>Descuentos a aplicar a empleados</t>
  </si>
  <si>
    <t>Adelanto a Directores</t>
  </si>
  <si>
    <t>Adelanto de Vacaciones</t>
  </si>
  <si>
    <t>Uniformes a Descontar empleados</t>
  </si>
  <si>
    <t>Anticipo a Funcionarios para compras</t>
  </si>
  <si>
    <t>Adelanto a Rendir Funcionarios</t>
  </si>
  <si>
    <t>Anticipo de Comisiones Walton Capital SA</t>
  </si>
  <si>
    <t>Reposo IPS a Recuperar</t>
  </si>
  <si>
    <t>Adelanto a N. Cobranzas</t>
  </si>
  <si>
    <t>Seguros a Devengar</t>
  </si>
  <si>
    <t>Garantia ANDE</t>
  </si>
  <si>
    <t>Garantia Tigo</t>
  </si>
  <si>
    <t>Cuentas a Cobrar NFD</t>
  </si>
  <si>
    <t>VCD Cuentas Varias a Cobrar</t>
  </si>
  <si>
    <t>VCD Uniformes</t>
  </si>
  <si>
    <t>Procesadora  de  Cuentas  Electronicas S.A.</t>
  </si>
  <si>
    <t>Licencias de Sistemas</t>
  </si>
  <si>
    <t>Gastos de Desarrollo</t>
  </si>
  <si>
    <t>Marcas</t>
  </si>
  <si>
    <t>Seguros a Pagar</t>
  </si>
  <si>
    <t>Provision para Pagos Adicionales</t>
  </si>
  <si>
    <t>Retenciones Judiciales a Pagar</t>
  </si>
  <si>
    <t xml:space="preserve">BANCO BILBAO VIZCAYA ARGENTARIA PARAGUAY                    </t>
  </si>
  <si>
    <t xml:space="preserve">BANCO SUDAMERIS                                             </t>
  </si>
  <si>
    <t xml:space="preserve">BANCO ITAÚ                                                  </t>
  </si>
  <si>
    <t xml:space="preserve">BANCO REGIONAL S.A.E.C.A.                                   </t>
  </si>
  <si>
    <t>N/A</t>
  </si>
  <si>
    <t xml:space="preserve">BANCO CONTINENTAL SA EMISORA DE CAPITAL ABIERTO             </t>
  </si>
  <si>
    <t xml:space="preserve">BANCO FAMILIAR                                              </t>
  </si>
  <si>
    <t xml:space="preserve">BANCO GNB PARAGUAY S.A.                                     </t>
  </si>
  <si>
    <t xml:space="preserve">FINANCIERA PARAGUAYO-JAPONESA                               </t>
  </si>
  <si>
    <t xml:space="preserve">BANCO ATLAS                                                 </t>
  </si>
  <si>
    <t>QUIROGRAFARIA</t>
  </si>
  <si>
    <t>-</t>
  </si>
  <si>
    <t xml:space="preserve">BANCOP                                                      </t>
  </si>
  <si>
    <t xml:space="preserve">CAJA MUTUAL DE COOPERATIVISTAS                              </t>
  </si>
  <si>
    <t xml:space="preserve">FINANCIERA EL COMERCIO                                      </t>
  </si>
  <si>
    <t>BANCO BASA</t>
  </si>
  <si>
    <t xml:space="preserve">BANCO INTERFISA                                          </t>
  </si>
  <si>
    <t xml:space="preserve">TU FINANCIERA S.A.E.C.A.                                    </t>
  </si>
  <si>
    <t>Provisiones Multas Tienda Movil</t>
  </si>
  <si>
    <t>Provisiones y Retenciones CPT</t>
  </si>
  <si>
    <t>Provisiones y Retenciones Credimarket</t>
  </si>
  <si>
    <t>Provisiones y Retenciones Flash</t>
  </si>
  <si>
    <t>Provisiones y Multas CPT</t>
  </si>
  <si>
    <t>Provisiones y Multas Credimarket</t>
  </si>
  <si>
    <t>Provisiones y Multas Flash</t>
  </si>
  <si>
    <t>Retenciones Bosamaz</t>
  </si>
  <si>
    <t>Retenciones ZAE</t>
  </si>
  <si>
    <t>Retenciones ZAE II</t>
  </si>
  <si>
    <t>Retenciones ZAE III</t>
  </si>
  <si>
    <t>Retenciones Aupar</t>
  </si>
  <si>
    <t>Retenciones Covica</t>
  </si>
  <si>
    <t>Retenciones Luar</t>
  </si>
  <si>
    <t>Retenciones Parametro</t>
  </si>
  <si>
    <t>Retenciones Avanti Group</t>
  </si>
  <si>
    <t>Retenciones Parametro Interior</t>
  </si>
  <si>
    <t>Cuentas a Pagar Bosamaz</t>
  </si>
  <si>
    <t>Cuentas a Pagar Avanti</t>
  </si>
  <si>
    <t>Cuentas a Pagar Aupar</t>
  </si>
  <si>
    <t>Cuentas a Pagar Luar</t>
  </si>
  <si>
    <t>Cuentas a Pagar Credimarket</t>
  </si>
  <si>
    <t>Cuentas a Pagar Covica</t>
  </si>
  <si>
    <t>VCA Cuentas Varias a Pagar</t>
  </si>
  <si>
    <t>VCA Depositos No Confirmados</t>
  </si>
  <si>
    <t>VCA Cuotas a Devolver Walton</t>
  </si>
  <si>
    <t>VCA Descuentos RRHH</t>
  </si>
  <si>
    <t>VCA Cipra</t>
  </si>
  <si>
    <t>Mejoras en Propiedad de Terceros</t>
  </si>
  <si>
    <t>Maquinas y Equipos</t>
  </si>
  <si>
    <t>Prestamos de Terceros</t>
  </si>
  <si>
    <t>SOLIDARIA</t>
  </si>
  <si>
    <t>Cuentas a Pagar Zae</t>
  </si>
  <si>
    <t>Cuentas a Pagar Parametro</t>
  </si>
  <si>
    <t>Cuentas a Pagar Zae 2</t>
  </si>
  <si>
    <t>Cuentas a Pagar Avanti Group</t>
  </si>
  <si>
    <t>Cuentas a Pagar Bosamaz Pagares</t>
  </si>
  <si>
    <t>Cuentas a Pagar Zae Pagares</t>
  </si>
  <si>
    <t>Cuentas a Pagar Parametro Pagares</t>
  </si>
  <si>
    <t>Cuentas a Pagar Aupar Pagares</t>
  </si>
  <si>
    <t>Cuentas a Pagar Avanti Group Pagares</t>
  </si>
  <si>
    <t>Cuentas a Pagar Zae 3 Pagares</t>
  </si>
  <si>
    <t>Cuentas a Pagar Parametro Interior Pagares</t>
  </si>
  <si>
    <t>Cuentas a Pagar Flash</t>
  </si>
  <si>
    <t xml:space="preserve">Cuentas a Pagar Zae 3 </t>
  </si>
  <si>
    <t xml:space="preserve">Cuentas a Pagar Parametro Interior </t>
  </si>
  <si>
    <t>Cobro de Servicios Documenta</t>
  </si>
  <si>
    <t>Cuentas a Pagar AAN</t>
  </si>
  <si>
    <t>NFD CAGIL</t>
  </si>
  <si>
    <t>Cuentas a Pagar NC</t>
  </si>
  <si>
    <t>Cuentas a Pagar Zae 2 Pagares</t>
  </si>
  <si>
    <t>Comisiones a Pagar Pronet</t>
  </si>
  <si>
    <t>Comisiones a Pagar Netel</t>
  </si>
  <si>
    <t>Aportes para Futuras Integraciones</t>
  </si>
  <si>
    <t>Documentos a Pagar s/Ptmos Accionistas</t>
  </si>
  <si>
    <t>Intereses a Pagar s/Ptmos Accionistas</t>
  </si>
  <si>
    <t>Renta de Valores de Renta Fija</t>
  </si>
  <si>
    <t>Intereses en Caja de Ahorro</t>
  </si>
  <si>
    <t>Intereses Depositos Overnight</t>
  </si>
  <si>
    <t>Rend.Dev.s/prestamos bancarios</t>
  </si>
  <si>
    <t>Intereses Dev,s/Ptmos.Terceros</t>
  </si>
  <si>
    <t>Intereses y Comisiones Bancarias</t>
  </si>
  <si>
    <t>Intereses Cobrados</t>
  </si>
  <si>
    <t>Ingresos Varios</t>
  </si>
  <si>
    <t>Creditos Varios Cobranzas</t>
  </si>
  <si>
    <t>Recuperos</t>
  </si>
  <si>
    <t>Diferencia de Cambio Utilidad</t>
  </si>
  <si>
    <t>Comisiones Cobradas Documenta</t>
  </si>
  <si>
    <t>Recupero Costo Bocas de Cobranza</t>
  </si>
  <si>
    <t>Ingresos por Servicios de Cobranzas</t>
  </si>
  <si>
    <t>Utilidad por Venta de Cartera</t>
  </si>
  <si>
    <t xml:space="preserve">Aportes No </t>
  </si>
  <si>
    <t>Capitalizados</t>
  </si>
  <si>
    <t>Resultado del ejercicio</t>
  </si>
  <si>
    <t>Reserva Legal</t>
  </si>
  <si>
    <t>Criterio utilizado por la empresa</t>
  </si>
  <si>
    <t xml:space="preserve">La Empresa constituye previsiones para deudores de dudoso cobro conforme a los siguientes </t>
  </si>
  <si>
    <t>criterios:</t>
  </si>
  <si>
    <t xml:space="preserve">Así mismo se constituyen previsiones Genericas por el importe correspondientes a los </t>
  </si>
  <si>
    <t xml:space="preserve">descuentos obtenidos en la compra de Créditos vía cesión de créditos, asi como el 100% del </t>
  </si>
  <si>
    <t>devengado no cobrado de los mencionados creditos</t>
  </si>
  <si>
    <t>ANEXO C</t>
  </si>
  <si>
    <t>MONTO Gs.</t>
  </si>
  <si>
    <t>1-IDENTIFICACION</t>
  </si>
  <si>
    <t>1.1-RAZON SOCIAL: NEGOFIN S.A.E.C.A</t>
  </si>
  <si>
    <t>1.2-ANTECEDENTES DE CONSTITUCION SOCIAL Y REFORMAS ESTATUTARIAS</t>
  </si>
  <si>
    <t>1.3-RUC: 80030805-0</t>
  </si>
  <si>
    <t>1.4-ACTIVIDAD PRINCIPAL SEGÚN INCRIPCION EN EL RUC: Otras actividades de servicios de apoyo a empresas n.c.p.</t>
  </si>
  <si>
    <t>1.5-ACTIVIDAD SECUNDARIA SEUN INCRIPCION EN EL RUC: N/A</t>
  </si>
  <si>
    <t>1.6-DOMICILIO LEGAL:Avenida Mcal. López e/ Waldino Lovera y José Viñuales</t>
  </si>
  <si>
    <t xml:space="preserve">1.7-TELEFONO:(595 21) 247 1000 </t>
  </si>
  <si>
    <t>2-ADMINISTRACION</t>
  </si>
  <si>
    <t>1.9-E-MAIL: impuestos@negofin.com.py</t>
  </si>
  <si>
    <t>1.10-SITIO PAGINA WEB: www.negofin.com.py</t>
  </si>
  <si>
    <t xml:space="preserve">1.8-FAX: (595 21) 247 1000 </t>
  </si>
  <si>
    <t>NEGOFIN  S.A.E.C.A.</t>
  </si>
  <si>
    <t xml:space="preserve">ANEXO D </t>
  </si>
  <si>
    <t>CNV CG 6/19</t>
  </si>
  <si>
    <t>A) PARTES VINCULADAS O RELACIONADAS</t>
  </si>
  <si>
    <t>A.1 Según Art. 34 de la Ley de Mercado de Valores (indicar nombres de las partes)</t>
  </si>
  <si>
    <t>Inciso a) Gustavo Borgognon y Eduardo Borgognon</t>
  </si>
  <si>
    <t>Inciso b) Vector SA</t>
  </si>
  <si>
    <t>Inciso c) Eduardo Borgognon</t>
  </si>
  <si>
    <r>
      <t>Inciso d)</t>
    </r>
    <r>
      <rPr>
        <b/>
        <sz val="10"/>
        <rFont val="Arial"/>
        <family val="2"/>
      </rPr>
      <t xml:space="preserve"> </t>
    </r>
    <r>
      <rPr>
        <sz val="10"/>
        <rFont val="Arial"/>
        <family val="2"/>
      </rPr>
      <t xml:space="preserve">Gustavo Borgognon, Mateo Zaldivar, Eduardo Borgognon, Fernando Jose Velazquez, Julia Moreno, Venancio Ríos, </t>
    </r>
  </si>
  <si>
    <t>Omar G. Giménez Pereira,Widilfo Escobar Cikel</t>
  </si>
  <si>
    <t xml:space="preserve">Otros: Los cónyuges y parientes hasta el segundo grado de consanguinidad o afinidad de las personas referidas </t>
  </si>
  <si>
    <r>
      <t>en los incisos anteriores, siempre que tengan participación en el capital de la sociedad.</t>
    </r>
    <r>
      <rPr>
        <b/>
        <sz val="10"/>
        <rFont val="Arial"/>
        <family val="2"/>
      </rPr>
      <t xml:space="preserve"> N/A</t>
    </r>
  </si>
  <si>
    <t xml:space="preserve">A.2 INVERSIONES DE LA SOCIEDAD EN VALORES DE OTRAS EMPRESAS QUE REPRESENTEN MAS DEL 10% DEL ACTIVO DE LA SOCIEDAD </t>
  </si>
  <si>
    <t>Nombre de la Empresa</t>
  </si>
  <si>
    <t>Monto de la inversión</t>
  </si>
  <si>
    <t>Tipo de Valor</t>
  </si>
  <si>
    <t>Indicar el porcentaje de participación en el capital integrado de la sociedad emisora (solo en el caso de inversión en acciones)</t>
  </si>
  <si>
    <t>Negofin Cobranzas S.A.</t>
  </si>
  <si>
    <t>Acciones en S.A.</t>
  </si>
  <si>
    <t>Observación: En el caso de no registrar inversiones indicar en forma expresa esta situación.</t>
  </si>
  <si>
    <t>A.3 ACTIVOS DE LA SOCIEDAD COMPROMETIDOS EN MAS DEL 20% EN GARANTIA DE OBLIGACIONES DE OTRA U OTRAS EMPRESAS</t>
  </si>
  <si>
    <t>Valor de los bienes gravados</t>
  </si>
  <si>
    <t>Tipo de bien o valor</t>
  </si>
  <si>
    <t>Monto de la deuda garantizada</t>
  </si>
  <si>
    <t>No se registran activos de la Sociedad comprometidos en más del 20% en garantía de obligaciones de otra u otras empresas.</t>
  </si>
  <si>
    <t>Observación: En el caso de no registrar garantías indicar en forma expresa esta situación.</t>
  </si>
  <si>
    <t>A.4  Vinculacion por Nivel de Endeudamiento.</t>
  </si>
  <si>
    <t>NOMBRE DE LA SOCIEDAD VINCULADA</t>
  </si>
  <si>
    <t>FACTORES DE VINCULACION</t>
  </si>
  <si>
    <t>B) SALDOS CON PARTES RELACIONADAS</t>
  </si>
  <si>
    <t>En forma comparativa con el mismo período del año anterior.</t>
  </si>
  <si>
    <t>(en miles de Guaranies)</t>
  </si>
  <si>
    <t xml:space="preserve">                                                                                                                                    </t>
  </si>
  <si>
    <t>Activo</t>
  </si>
  <si>
    <t>Cuentas por cobrar</t>
  </si>
  <si>
    <t>Obs: (distinguir nombres de partes relacionadas indicadas en A)</t>
  </si>
  <si>
    <t>NA</t>
  </si>
  <si>
    <t>Pasivo</t>
  </si>
  <si>
    <t>* Cuentas a pagar prestamos de accionistas</t>
  </si>
  <si>
    <t xml:space="preserve">    Gustavo Luis Borgognon</t>
  </si>
  <si>
    <t xml:space="preserve">    Eduardo Jose Borgognon</t>
  </si>
  <si>
    <r>
      <rPr>
        <b/>
        <sz val="10"/>
        <rFont val="Arial"/>
        <family val="2"/>
      </rPr>
      <t>Ingresos</t>
    </r>
    <r>
      <rPr>
        <sz val="10"/>
        <rFont val="Arial"/>
        <family val="2"/>
      </rPr>
      <t xml:space="preserve"> (con sus conceptos y distinguir nombre de partes relacionadas indicadas en A)</t>
    </r>
  </si>
  <si>
    <r>
      <rPr>
        <b/>
        <sz val="10"/>
        <rFont val="Arial"/>
        <family val="2"/>
      </rPr>
      <t>Egresos</t>
    </r>
    <r>
      <rPr>
        <sz val="10"/>
        <rFont val="Arial"/>
        <family val="2"/>
      </rPr>
      <t xml:space="preserve"> (con sus conceptos y distinguir nombre de partes relacionadas indicadas en A)</t>
    </r>
  </si>
  <si>
    <t>Gustavo Borgognon</t>
  </si>
  <si>
    <t>Eduardo Borgognon</t>
  </si>
  <si>
    <t>Mateo Zaldivar</t>
  </si>
  <si>
    <t>Vector SA</t>
  </si>
  <si>
    <t xml:space="preserve">Venancio Rios </t>
  </si>
  <si>
    <t xml:space="preserve">Julia Moreno </t>
  </si>
  <si>
    <t>Omar Gimenez</t>
  </si>
  <si>
    <t>Widilfo Escobar</t>
  </si>
  <si>
    <t>Fernando Jose Velazquez</t>
  </si>
  <si>
    <t>Las transacciones en el período fueron las siguientes:</t>
  </si>
  <si>
    <r>
      <rPr>
        <b/>
        <sz val="10"/>
        <rFont val="Arial"/>
        <family val="2"/>
      </rPr>
      <t xml:space="preserve">Obs.: </t>
    </r>
    <r>
      <rPr>
        <sz val="10"/>
        <rFont val="Arial"/>
        <family val="2"/>
      </rPr>
      <t>(distinguir nombres de partes relacionadas indicadas en A)</t>
    </r>
  </si>
  <si>
    <t>N/A = no aplicable</t>
  </si>
  <si>
    <t>Firma del representante legal de la entidad fiscalizada y aclaración:</t>
  </si>
  <si>
    <t>CARGO</t>
  </si>
  <si>
    <t xml:space="preserve">NOMBRE Y APELLIDO </t>
  </si>
  <si>
    <t>Representante Legal</t>
  </si>
  <si>
    <t>Gustavo Luis Borgognon Montero</t>
  </si>
  <si>
    <t>Presidente</t>
  </si>
  <si>
    <t>Director</t>
  </si>
  <si>
    <t>Eduardo José Borgonon Montero</t>
  </si>
  <si>
    <t>Miguel Dario Zaldivar</t>
  </si>
  <si>
    <t>Sindico</t>
  </si>
  <si>
    <t>Fernando Jose Velazquez Abente</t>
  </si>
  <si>
    <t>Plana Ejecutiva</t>
  </si>
  <si>
    <t>Gerente General</t>
  </si>
  <si>
    <t>Venancio Rios Portillo</t>
  </si>
  <si>
    <t>Omar Gustavo Giménez Pereira</t>
  </si>
  <si>
    <t>Gerente Administrativo</t>
  </si>
  <si>
    <t>Graciela Mabel Nuñez Lopez</t>
  </si>
  <si>
    <t>Gustavo Jiménez</t>
  </si>
  <si>
    <t xml:space="preserve">María Lorena Ojeda Núñez </t>
  </si>
  <si>
    <t>Julia Elvira Moreno Vargas</t>
  </si>
  <si>
    <t>Gerente de Desarrollo</t>
  </si>
  <si>
    <t>Diego Armando Marecos Sanabria</t>
  </si>
  <si>
    <t>Gerente de Cobranzas</t>
  </si>
  <si>
    <t>Luis Emigdio Ruiz Coronel</t>
  </si>
  <si>
    <t>Gerente de Riesgos</t>
  </si>
  <si>
    <t>Cever Socrates Peralta Espinola</t>
  </si>
  <si>
    <t>Contadora</t>
  </si>
  <si>
    <t>Gladys Fiorella Vergara Pacheco</t>
  </si>
  <si>
    <t>Gerente de Calidad y Procesos</t>
  </si>
  <si>
    <t>Milagritos Yopla Carbajal</t>
  </si>
  <si>
    <t>Gerente de Produccion Informatica</t>
  </si>
  <si>
    <t>Estela Bruening</t>
  </si>
  <si>
    <t>Sub Gerente de Cobranzas</t>
  </si>
  <si>
    <t>Marcelo David Aguilera Perez</t>
  </si>
  <si>
    <t>Oficial de Cumplimiento</t>
  </si>
  <si>
    <t>Clara Ovelar Gimenez</t>
  </si>
  <si>
    <t>3-CAPITAL Y PROPIEDAD:</t>
  </si>
  <si>
    <t>En Guaranies</t>
  </si>
  <si>
    <t>Capital Social</t>
  </si>
  <si>
    <t>Capital Emitido</t>
  </si>
  <si>
    <t>Capital Suscripto</t>
  </si>
  <si>
    <t>Capital Integrado</t>
  </si>
  <si>
    <t>Valor nominal de las acciones</t>
  </si>
  <si>
    <t>COMPOSICION ACCIONARIA: Accionistas que detentan el diez(10) porciento o más de participacion en el capital</t>
  </si>
  <si>
    <t xml:space="preserve">N° </t>
  </si>
  <si>
    <t>Accionista</t>
  </si>
  <si>
    <t> Número</t>
  </si>
  <si>
    <t xml:space="preserve">Cantidad </t>
  </si>
  <si>
    <t>Clase</t>
  </si>
  <si>
    <t>Voto</t>
  </si>
  <si>
    <t>%  x tipo</t>
  </si>
  <si>
    <t>%  PARTICIPACION</t>
  </si>
  <si>
    <t>Eduardo Jose Borgognon M</t>
  </si>
  <si>
    <t>15401/19200</t>
  </si>
  <si>
    <t>Ord.Clase A</t>
  </si>
  <si>
    <t>19201/19600</t>
  </si>
  <si>
    <t>20701/21100</t>
  </si>
  <si>
    <t>Pref. Grupo A</t>
  </si>
  <si>
    <t>22361/23300</t>
  </si>
  <si>
    <t>Pref. Grupo B</t>
  </si>
  <si>
    <t>25201/25600</t>
  </si>
  <si>
    <t>Pref. Grupo D</t>
  </si>
  <si>
    <t>47901/50000</t>
  </si>
  <si>
    <t>Pref. Grupo G</t>
  </si>
  <si>
    <t>67701/69600</t>
  </si>
  <si>
    <t>69601/69800</t>
  </si>
  <si>
    <t>112001/117000</t>
  </si>
  <si>
    <t>Pref. Grupo J</t>
  </si>
  <si>
    <t>117001/119188</t>
  </si>
  <si>
    <t>85801/90000</t>
  </si>
  <si>
    <t>38867/40000</t>
  </si>
  <si>
    <t>Pref Grupo F</t>
  </si>
  <si>
    <t>119189/119568</t>
  </si>
  <si>
    <t>119569/119700</t>
  </si>
  <si>
    <t>Gustavo Luis Borgognon M.</t>
  </si>
  <si>
    <t>1/7200</t>
  </si>
  <si>
    <t>29901/35600</t>
  </si>
  <si>
    <t>40001/43600</t>
  </si>
  <si>
    <t>55701/60000</t>
  </si>
  <si>
    <t>Pref. Grupo H</t>
  </si>
  <si>
    <t>60001/63600</t>
  </si>
  <si>
    <t>90001/95000</t>
  </si>
  <si>
    <t>70001/77200</t>
  </si>
  <si>
    <t>28901/29900</t>
  </si>
  <si>
    <t>35601/36544</t>
  </si>
  <si>
    <t>Miguel Dario Zaldivar Morales</t>
  </si>
  <si>
    <t>36545/38866</t>
  </si>
  <si>
    <t>43601/47900</t>
  </si>
  <si>
    <t>95001/112000</t>
  </si>
  <si>
    <t>Pref. Grupo I</t>
  </si>
  <si>
    <t>7201/15400</t>
  </si>
  <si>
    <t>19601/20000</t>
  </si>
  <si>
    <t>63601/67700</t>
  </si>
  <si>
    <t>69801/70000</t>
  </si>
  <si>
    <t>77201/85800</t>
  </si>
  <si>
    <t>4.1-AUDITOR INDEPENDIENTE DESIGANDO:</t>
  </si>
  <si>
    <t>4.2: NUMERO DE INCRIPCION EN EL REGISTRO DE LA CNV: 003.</t>
  </si>
  <si>
    <t>Total Intereses s/Ptmos.-Ej.31/03/2021  Gs.</t>
  </si>
  <si>
    <t xml:space="preserve">Total Remuneración -      Ej.31/03/2021  Gs. </t>
  </si>
  <si>
    <t>Total Honorarios -           Ej.31/03/2021  Gs.</t>
  </si>
  <si>
    <t xml:space="preserve">Total Comisiones -          Ej.31/03/2021  Gs. </t>
  </si>
  <si>
    <t>Total Remuneración        Ej.31/03/2021  Gs.</t>
  </si>
  <si>
    <t>No se registra</t>
  </si>
  <si>
    <t>Entre la fecha de cierre del ejercicio y la fecha de preparación de estos estados financieros, no han ocurrido hechos significativos de carácter financiero o de otra índole que afecten la situación patrimonial o financiera o los resultados de la Sociedad al 31 de Marzo 2021.</t>
  </si>
  <si>
    <t>No se registran</t>
  </si>
  <si>
    <t xml:space="preserve">CUADRO DEL CAPITAL INTEGRADO </t>
  </si>
  <si>
    <t xml:space="preserve">%  </t>
  </si>
  <si>
    <t>Fernando Andrés Berdichevsky Sborovsky</t>
  </si>
  <si>
    <t>20001/20700</t>
  </si>
  <si>
    <t>Luis Alberto Lima Morra</t>
  </si>
  <si>
    <t>21101/22360</t>
  </si>
  <si>
    <t>Benicia Ríos Portillo</t>
  </si>
  <si>
    <t>23301/23500</t>
  </si>
  <si>
    <t>Jorge Cazal Miniotis</t>
  </si>
  <si>
    <t>23501/24700</t>
  </si>
  <si>
    <t>Pref. Grupo C</t>
  </si>
  <si>
    <t>Rodrigo Guillermo Callizo López Moreira</t>
  </si>
  <si>
    <t>24701/25065</t>
  </si>
  <si>
    <t>Federico Callizo Nicora</t>
  </si>
  <si>
    <t>25066/25200</t>
  </si>
  <si>
    <t>Carlos Alberto Knapps</t>
  </si>
  <si>
    <t>25601/28010</t>
  </si>
  <si>
    <t>Pref. Grupo E</t>
  </si>
  <si>
    <t>Guillermo Néstor Sosa Arrúa</t>
  </si>
  <si>
    <t>28011/28210</t>
  </si>
  <si>
    <t>Luís Sebastián Aguilera Burró</t>
  </si>
  <si>
    <t>28211/28410</t>
  </si>
  <si>
    <t>Venancio Ríos Portillo</t>
  </si>
  <si>
    <t>28411/28480</t>
  </si>
  <si>
    <t>28481/28680</t>
  </si>
  <si>
    <t>Rubén Cirilo Etienne Fernández</t>
  </si>
  <si>
    <t>28681/28900</t>
  </si>
  <si>
    <t>Eduardo Jose Borgognon Montero</t>
  </si>
  <si>
    <t>Emmanuel Friedmann Sosa</t>
  </si>
  <si>
    <t>50001/53750</t>
  </si>
  <si>
    <t>Fabrizio Bibolini R.</t>
  </si>
  <si>
    <t>53751/55700</t>
  </si>
  <si>
    <t>Jorge Antonio Ayala</t>
  </si>
  <si>
    <t>119701/120000</t>
  </si>
  <si>
    <t xml:space="preserve">CUADRO DEL CAPITAL SUSCRIPTO </t>
  </si>
  <si>
    <t>4-AUDITOR EXTERNO INDEPENDIENTE</t>
  </si>
  <si>
    <t xml:space="preserve"> La Empresa constituye  previsiones  para  deudores de  dudoso cobro  conforme a los siguientes criterios:</t>
  </si>
  <si>
    <t>Así mismo se constituyen previsiones por el importe correspondientes a los descuentos obtenidos en la compra de Créditos vía cesión de créditos.</t>
  </si>
  <si>
    <t>Al cierre del 31/03/2021 el valor previsionado asciende a miles de G. 188.169.955.-</t>
  </si>
  <si>
    <t>La depreciación es calculada por el método de línea recta, saldo decreciente o suma de unidades (la emisora elige uno de los tres métodos con base en el patrón esperado de beneficios económicos y lo aplica consistentemente de ejercicio a ejercicio a menos que haya cambios significativos en dicho patrón considerado -NIF 11 párrafo 43 y 48). Ver Nota 9</t>
  </si>
  <si>
    <t>Los efectos de los ajustes sobre Propiedades, Planta y Equipo de operaciones discontinuadas se exponen formando parte de la línea “Resultados sobre actividades discontinuadas neto de impuesto a la renta” en el Estado de Resultados N/A</t>
  </si>
  <si>
    <t>Las amortizaciones son calculadas por el método que refleja el patrón de consumo de los beneficios económicos derivados de los intangibles o por el método de línea recta (se explica el método elegido) si el patrón no pudiera ser determinado de forma fiable (NIF 15, párrafo 64). Ver Nota  11</t>
  </si>
  <si>
    <t>Negofin Cobranzas SA</t>
  </si>
  <si>
    <t>80068824-4</t>
  </si>
  <si>
    <t>Breau de Informaciones Comerciales S.A.</t>
  </si>
  <si>
    <t>80084733-4</t>
  </si>
  <si>
    <t>Procesadora de Cuentas Electronicas S.A.</t>
  </si>
  <si>
    <t>Al 31 de Marzo de 2021</t>
  </si>
  <si>
    <t>Caja Mutual de Cooperativistas del Paraguay</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</si>
</sst>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00_);_(* \(#,##0.00\);_(* &quot;-&quot;??_);_(@_)"/>
    <numFmt numFmtId="173" formatCode="_ * #,##0_ ;_ * \-#,##0_ ;_ * &quot;-&quot;??_ ;_ @_ "/>
    <numFmt numFmtId="174" formatCode="_-* #,##0_-;\-* #,##0_-;_-* &quot;-&quot;??_-;_-@_-"/>
    <numFmt numFmtId="175" formatCode="_(* #,##0_);_(* \(#,##0\);_(* &quot;-&quot;??_);_(@_)"/>
    <numFmt numFmtId="176" formatCode="dd/mm/yyyy;@"/>
    <numFmt numFmtId="177" formatCode="#,###,##0"/>
    <numFmt numFmtId="178" formatCode="_-* #,##0_-;\-* #,##0_-;_-* &quot;-&quot;_-;_-@_-"/>
    <numFmt numFmtId="179" formatCode="_-* #,##0.00_-;\-* #,##0.00_-;_-* &quot;-&quot;??_-;_-@_-"/>
    <numFmt numFmtId="180" formatCode="#,##0_ ;\-#,##0\ "/>
  </numFmts>
  <fonts count="149">
    <font>
      <sz val="11"/>
      <color theme="1"/>
      <name val="Calibri"/>
      <family val="2"/>
    </font>
    <font>
      <sz val="11"/>
      <color indexed="8"/>
      <name val="Calibri"/>
      <family val="2"/>
    </font>
    <font>
      <sz val="10"/>
      <name val="Arial"/>
      <family val="2"/>
    </font>
    <font>
      <b/>
      <sz val="9"/>
      <name val="Arial"/>
      <family val="2"/>
    </font>
    <font>
      <b/>
      <sz val="10"/>
      <name val="Arial"/>
      <family val="2"/>
    </font>
    <font>
      <b/>
      <u val="single"/>
      <sz val="10"/>
      <name val="Arial"/>
      <family val="2"/>
    </font>
    <font>
      <b/>
      <sz val="8"/>
      <name val="Arial"/>
      <family val="2"/>
    </font>
    <font>
      <sz val="11"/>
      <name val="Arial"/>
      <family val="2"/>
    </font>
    <font>
      <b/>
      <sz val="12"/>
      <name val="Arial"/>
      <family val="2"/>
    </font>
    <font>
      <b/>
      <sz val="11"/>
      <name val="Arial"/>
      <family val="2"/>
    </font>
    <font>
      <sz val="10"/>
      <name val="Arial Black"/>
      <family val="2"/>
    </font>
    <font>
      <sz val="9"/>
      <name val="Arial"/>
      <family val="2"/>
    </font>
    <font>
      <sz val="9"/>
      <color indexed="8"/>
      <name val="Arial"/>
      <family val="2"/>
    </font>
    <font>
      <sz val="8"/>
      <name val="Arial"/>
      <family val="2"/>
    </font>
    <font>
      <i/>
      <sz val="9"/>
      <name val="Arial"/>
      <family val="2"/>
    </font>
    <font>
      <i/>
      <sz val="9"/>
      <color indexed="8"/>
      <name val="Arial"/>
      <family val="2"/>
    </font>
    <font>
      <sz val="11"/>
      <name val="Calibri"/>
      <family val="2"/>
    </font>
    <font>
      <b/>
      <sz val="11"/>
      <name val="Calibri"/>
      <family val="2"/>
    </font>
    <font>
      <i/>
      <sz val="9"/>
      <name val="Calibri"/>
      <family val="2"/>
    </font>
    <font>
      <sz val="10"/>
      <name val="Geneva"/>
      <family val="2"/>
    </font>
    <font>
      <sz val="12"/>
      <name val="Times New Roman"/>
      <family val="1"/>
    </font>
    <font>
      <b/>
      <sz val="12"/>
      <name val="Times New Roman"/>
      <family val="1"/>
    </font>
    <font>
      <b/>
      <sz val="14"/>
      <name val="Arial"/>
      <family val="2"/>
    </font>
    <font>
      <u val="single"/>
      <sz val="10"/>
      <name val="Arial"/>
      <family val="2"/>
    </font>
    <font>
      <b/>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b/>
      <sz val="10"/>
      <color indexed="8"/>
      <name val="Arial"/>
      <family val="2"/>
    </font>
    <font>
      <sz val="8"/>
      <color indexed="8"/>
      <name val="Arial"/>
      <family val="2"/>
    </font>
    <font>
      <sz val="11"/>
      <color indexed="8"/>
      <name val="Arial"/>
      <family val="2"/>
    </font>
    <font>
      <sz val="10"/>
      <color indexed="9"/>
      <name val="Arial"/>
      <family val="2"/>
    </font>
    <font>
      <sz val="10"/>
      <color indexed="10"/>
      <name val="Arial"/>
      <family val="2"/>
    </font>
    <font>
      <sz val="12"/>
      <color indexed="8"/>
      <name val="Arial"/>
      <family val="2"/>
    </font>
    <font>
      <sz val="11"/>
      <color indexed="9"/>
      <name val="Arial"/>
      <family val="2"/>
    </font>
    <font>
      <sz val="11"/>
      <color indexed="10"/>
      <name val="Arial"/>
      <family val="2"/>
    </font>
    <font>
      <sz val="12"/>
      <color indexed="9"/>
      <name val="Arial"/>
      <family val="2"/>
    </font>
    <font>
      <sz val="10"/>
      <color indexed="9"/>
      <name val="Arial Black"/>
      <family val="2"/>
    </font>
    <font>
      <b/>
      <sz val="10"/>
      <color indexed="9"/>
      <name val="Arial"/>
      <family val="2"/>
    </font>
    <font>
      <b/>
      <sz val="11"/>
      <color indexed="9"/>
      <name val="Arial Black"/>
      <family val="2"/>
    </font>
    <font>
      <sz val="8"/>
      <color indexed="10"/>
      <name val="Arial"/>
      <family val="2"/>
    </font>
    <font>
      <u val="single"/>
      <sz val="10"/>
      <color indexed="8"/>
      <name val="Arial"/>
      <family val="2"/>
    </font>
    <font>
      <sz val="9"/>
      <color indexed="9"/>
      <name val="Arial"/>
      <family val="2"/>
    </font>
    <font>
      <b/>
      <sz val="10"/>
      <color indexed="10"/>
      <name val="Arial"/>
      <family val="2"/>
    </font>
    <font>
      <sz val="9"/>
      <name val="Calibri"/>
      <family val="2"/>
    </font>
    <font>
      <b/>
      <sz val="10"/>
      <color indexed="9"/>
      <name val="Arial Black"/>
      <family val="2"/>
    </font>
    <font>
      <sz val="10"/>
      <color indexed="8"/>
      <name val="Arial Black"/>
      <family val="2"/>
    </font>
    <font>
      <sz val="9"/>
      <color indexed="8"/>
      <name val="Book Antiqua"/>
      <family val="1"/>
    </font>
    <font>
      <sz val="10"/>
      <color indexed="8"/>
      <name val="Calibri"/>
      <family val="2"/>
    </font>
    <font>
      <u val="single"/>
      <sz val="10"/>
      <color indexed="30"/>
      <name val="Arial"/>
      <family val="2"/>
    </font>
    <font>
      <sz val="9"/>
      <color indexed="8"/>
      <name val="Calibri"/>
      <family val="2"/>
    </font>
    <font>
      <i/>
      <sz val="9"/>
      <color indexed="8"/>
      <name val="Calibri"/>
      <family val="2"/>
    </font>
    <font>
      <sz val="12"/>
      <color indexed="8"/>
      <name val="Book Antiqua"/>
      <family val="1"/>
    </font>
    <font>
      <sz val="12"/>
      <color indexed="8"/>
      <name val="Calibri"/>
      <family val="2"/>
    </font>
    <font>
      <b/>
      <sz val="12"/>
      <color indexed="9"/>
      <name val="Calibri"/>
      <family val="2"/>
    </font>
    <font>
      <sz val="12"/>
      <color indexed="9"/>
      <name val="Calibri"/>
      <family val="2"/>
    </font>
    <font>
      <sz val="9"/>
      <color indexed="62"/>
      <name val="Book Antiqua"/>
      <family val="1"/>
    </font>
    <font>
      <i/>
      <sz val="10"/>
      <color indexed="8"/>
      <name val="Arial"/>
      <family val="2"/>
    </font>
    <font>
      <b/>
      <sz val="11"/>
      <color indexed="9"/>
      <name val="Arial"/>
      <family val="2"/>
    </font>
    <font>
      <i/>
      <sz val="11"/>
      <color indexed="8"/>
      <name val="Calibri"/>
      <family val="2"/>
    </font>
    <font>
      <i/>
      <sz val="11"/>
      <color indexed="8"/>
      <name val="Arial"/>
      <family val="2"/>
    </font>
    <font>
      <b/>
      <sz val="9"/>
      <color indexed="9"/>
      <name val="Arial"/>
      <family val="2"/>
    </font>
    <font>
      <b/>
      <sz val="11"/>
      <color indexed="8"/>
      <name val="Arial"/>
      <family val="2"/>
    </font>
    <font>
      <b/>
      <u val="singleAccounting"/>
      <sz val="10"/>
      <color indexed="9"/>
      <name val="Arial Black"/>
      <family val="2"/>
    </font>
    <font>
      <sz val="9"/>
      <color indexed="10"/>
      <name val="Arial"/>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
      <sz val="10"/>
      <color rgb="FF000000"/>
      <name val="Arial"/>
      <family val="2"/>
    </font>
    <font>
      <sz val="9"/>
      <color theme="1"/>
      <name val="Arial"/>
      <family val="2"/>
    </font>
    <font>
      <sz val="8"/>
      <color theme="1"/>
      <name val="Arial"/>
      <family val="2"/>
    </font>
    <font>
      <sz val="11"/>
      <color theme="1"/>
      <name val="Arial"/>
      <family val="2"/>
    </font>
    <font>
      <sz val="10"/>
      <color theme="0"/>
      <name val="Arial"/>
      <family val="2"/>
    </font>
    <font>
      <sz val="10"/>
      <color rgb="FFFF0000"/>
      <name val="Arial"/>
      <family val="2"/>
    </font>
    <font>
      <sz val="12"/>
      <color theme="1"/>
      <name val="Arial"/>
      <family val="2"/>
    </font>
    <font>
      <sz val="11"/>
      <color theme="0"/>
      <name val="Arial"/>
      <family val="2"/>
    </font>
    <font>
      <sz val="11"/>
      <color rgb="FFFF0000"/>
      <name val="Arial"/>
      <family val="2"/>
    </font>
    <font>
      <sz val="12"/>
      <color theme="0"/>
      <name val="Arial"/>
      <family val="2"/>
    </font>
    <font>
      <sz val="10"/>
      <color theme="0"/>
      <name val="Arial Black"/>
      <family val="2"/>
    </font>
    <font>
      <b/>
      <sz val="10"/>
      <color theme="0"/>
      <name val="Arial"/>
      <family val="2"/>
    </font>
    <font>
      <b/>
      <sz val="11"/>
      <color theme="0"/>
      <name val="Arial Black"/>
      <family val="2"/>
    </font>
    <font>
      <sz val="8"/>
      <color rgb="FFFF0000"/>
      <name val="Arial"/>
      <family val="2"/>
    </font>
    <font>
      <u val="single"/>
      <sz val="10"/>
      <color theme="1"/>
      <name val="Arial"/>
      <family val="2"/>
    </font>
    <font>
      <b/>
      <sz val="10"/>
      <color rgb="FF000000"/>
      <name val="Arial"/>
      <family val="2"/>
    </font>
    <font>
      <sz val="9"/>
      <color rgb="FFFFFFFF"/>
      <name val="Arial"/>
      <family val="2"/>
    </font>
    <font>
      <b/>
      <sz val="10"/>
      <color rgb="FFFF0000"/>
      <name val="Arial"/>
      <family val="2"/>
    </font>
    <font>
      <b/>
      <sz val="10"/>
      <color theme="0"/>
      <name val="Arial Black"/>
      <family val="2"/>
    </font>
    <font>
      <sz val="10"/>
      <color theme="1"/>
      <name val="Arial Black"/>
      <family val="2"/>
    </font>
    <font>
      <sz val="9"/>
      <color rgb="FF000000"/>
      <name val="Arial"/>
      <family val="2"/>
    </font>
    <font>
      <sz val="9"/>
      <color theme="1"/>
      <name val="Book Antiqua"/>
      <family val="1"/>
    </font>
    <font>
      <sz val="10"/>
      <color theme="1"/>
      <name val="Calibri"/>
      <family val="2"/>
    </font>
    <font>
      <u val="single"/>
      <sz val="10"/>
      <color theme="10"/>
      <name val="Arial"/>
      <family val="2"/>
    </font>
    <font>
      <sz val="9"/>
      <color theme="1"/>
      <name val="Calibri"/>
      <family val="2"/>
    </font>
    <font>
      <i/>
      <sz val="9"/>
      <color theme="1"/>
      <name val="Calibri"/>
      <family val="2"/>
    </font>
    <font>
      <sz val="12"/>
      <color theme="1"/>
      <name val="Book Antiqua"/>
      <family val="1"/>
    </font>
    <font>
      <sz val="12"/>
      <color theme="1"/>
      <name val="Calibri"/>
      <family val="2"/>
    </font>
    <font>
      <b/>
      <sz val="12"/>
      <color theme="0"/>
      <name val="Calibri"/>
      <family val="2"/>
    </font>
    <font>
      <sz val="12"/>
      <color theme="0"/>
      <name val="Calibri"/>
      <family val="2"/>
    </font>
    <font>
      <sz val="9"/>
      <color theme="4"/>
      <name val="Book Antiqua"/>
      <family val="1"/>
    </font>
    <font>
      <i/>
      <sz val="10"/>
      <color theme="1"/>
      <name val="Arial"/>
      <family val="2"/>
    </font>
    <font>
      <b/>
      <sz val="11"/>
      <color theme="0"/>
      <name val="Arial"/>
      <family val="2"/>
    </font>
    <font>
      <i/>
      <sz val="11"/>
      <color theme="1"/>
      <name val="Calibri"/>
      <family val="2"/>
    </font>
    <font>
      <i/>
      <sz val="9"/>
      <color rgb="FF000000"/>
      <name val="Arial"/>
      <family val="2"/>
    </font>
    <font>
      <i/>
      <sz val="11"/>
      <color theme="1"/>
      <name val="Arial"/>
      <family val="2"/>
    </font>
    <font>
      <b/>
      <sz val="9"/>
      <color rgb="FFFFFFFF"/>
      <name val="Arial"/>
      <family val="2"/>
    </font>
    <font>
      <b/>
      <sz val="9"/>
      <color theme="0"/>
      <name val="Arial"/>
      <family val="2"/>
    </font>
    <font>
      <b/>
      <sz val="11"/>
      <color rgb="FF000000"/>
      <name val="Calibri"/>
      <family val="2"/>
    </font>
    <font>
      <b/>
      <sz val="10"/>
      <color rgb="FFFFFFFF"/>
      <name val="Arial"/>
      <family val="2"/>
    </font>
    <font>
      <sz val="10"/>
      <color rgb="FF000000"/>
      <name val="Calibri"/>
      <family val="2"/>
    </font>
    <font>
      <b/>
      <sz val="11"/>
      <color theme="1"/>
      <name val="Arial"/>
      <family val="2"/>
    </font>
    <font>
      <b/>
      <u val="singleAccounting"/>
      <sz val="10"/>
      <color theme="0"/>
      <name val="Arial Black"/>
      <family val="2"/>
    </font>
    <font>
      <sz val="9"/>
      <color rgb="FFFF0000"/>
      <name val="Arial"/>
      <family val="2"/>
    </font>
    <font>
      <b/>
      <sz val="12"/>
      <color theme="1"/>
      <name val="Arial"/>
      <family val="2"/>
    </font>
    <font>
      <i/>
      <sz val="9"/>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rgb="FFA6A6A6"/>
        <bgColor indexed="64"/>
      </patternFill>
    </fill>
    <fill>
      <patternFill patternType="solid">
        <fgColor indexed="65"/>
        <bgColor indexed="64"/>
      </patternFill>
    </fill>
    <fill>
      <patternFill patternType="solid">
        <fgColor theme="0"/>
        <bgColor indexed="64"/>
      </patternFill>
    </fill>
    <fill>
      <patternFill patternType="solid">
        <fgColor theme="4" tint="-0.4999699890613556"/>
        <bgColor indexed="64"/>
      </patternFill>
    </fill>
    <fill>
      <patternFill patternType="solid">
        <fgColor rgb="FFFFFFFF"/>
        <bgColor indexed="64"/>
      </patternFill>
    </fill>
    <fill>
      <patternFill patternType="solid">
        <fgColor rgb="FF203764"/>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FF"/>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right/>
      <top style="thin"/>
      <bottom style="double"/>
    </border>
    <border>
      <left style="thin"/>
      <right/>
      <top/>
      <bottom/>
    </border>
    <border>
      <left/>
      <right style="thin"/>
      <top/>
      <bottom/>
    </border>
    <border>
      <left/>
      <right style="thin"/>
      <top/>
      <bottom style="thin"/>
    </border>
    <border>
      <left/>
      <right/>
      <top style="thin"/>
      <bottom style="thin"/>
    </border>
    <border>
      <left/>
      <right/>
      <top style="thin"/>
      <bottom/>
    </border>
    <border>
      <left style="thin"/>
      <right style="thin"/>
      <top/>
      <bottom/>
    </border>
    <border>
      <left style="medium"/>
      <right style="medium"/>
      <top style="medium"/>
      <bottom style="medium"/>
    </border>
    <border>
      <left/>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border>
    <border>
      <left style="thin"/>
      <right/>
      <top style="thin"/>
      <bottom/>
    </border>
    <border>
      <left style="thin"/>
      <right/>
      <top/>
      <bottom style="thin"/>
    </border>
    <border>
      <left/>
      <right style="thin"/>
      <top style="thin"/>
      <bottom/>
    </border>
    <border>
      <left style="medium"/>
      <right style="medium"/>
      <top style="thin"/>
      <bottom/>
    </border>
    <border>
      <left/>
      <right style="thin"/>
      <top style="thin"/>
      <bottom style="thin"/>
    </border>
    <border>
      <left style="thin"/>
      <right style="thin"/>
      <top/>
      <bottom style="thin"/>
    </border>
    <border>
      <left/>
      <right/>
      <top style="thin">
        <color rgb="FFFFFFFF"/>
      </top>
      <bottom/>
    </border>
    <border>
      <left style="thin">
        <color rgb="FFFFFFFF"/>
      </left>
      <right style="thin">
        <color rgb="FFFFFFFF"/>
      </right>
      <top style="thin">
        <color rgb="FFFFFFFF"/>
      </top>
      <bottom/>
    </border>
    <border>
      <left style="thin">
        <color rgb="FFFFFFFF"/>
      </left>
      <right/>
      <top style="thin">
        <color rgb="FFFFFFFF"/>
      </top>
      <bottom style="thin">
        <color rgb="FFFFFFFF"/>
      </bottom>
    </border>
    <border>
      <left/>
      <right style="thin">
        <color rgb="FFFFFFFF"/>
      </right>
      <top style="thin">
        <color rgb="FFFFFFFF"/>
      </top>
      <bottom/>
    </border>
    <border>
      <left style="thin">
        <color rgb="FFFFFFFF"/>
      </left>
      <right style="thin">
        <color rgb="FFFFFFFF"/>
      </right>
      <top/>
      <bottom/>
    </border>
    <border>
      <left/>
      <right style="thin">
        <color rgb="FFFFFFFF"/>
      </right>
      <top style="thin">
        <color rgb="FFFFFFFF"/>
      </top>
      <bottom style="thin">
        <color rgb="FFFFFFFF"/>
      </bottom>
    </border>
    <border>
      <left style="thin">
        <color rgb="FFFFFFFF"/>
      </left>
      <right/>
      <top style="thin">
        <color rgb="FFFFFFFF"/>
      </top>
      <bottom style="thin"/>
    </border>
    <border>
      <left style="thin">
        <color theme="0"/>
      </left>
      <right style="thin">
        <color theme="0"/>
      </right>
      <top style="thin">
        <color rgb="FFFFFFFF"/>
      </top>
      <bottom style="thin">
        <color theme="0"/>
      </bottom>
    </border>
    <border>
      <left style="medium">
        <color theme="0"/>
      </left>
      <right style="medium">
        <color theme="0"/>
      </right>
      <top style="medium">
        <color theme="0"/>
      </top>
      <bottom style="medium">
        <color theme="0"/>
      </bottom>
    </border>
    <border>
      <left style="medium">
        <color theme="0"/>
      </left>
      <right/>
      <top style="medium">
        <color theme="0"/>
      </top>
      <bottom/>
    </border>
    <border>
      <left/>
      <right/>
      <top style="medium">
        <color theme="0"/>
      </top>
      <bottom/>
    </border>
    <border>
      <left/>
      <right style="medium">
        <color theme="0"/>
      </right>
      <top style="medium">
        <color theme="0"/>
      </top>
      <bottom/>
    </border>
    <border>
      <left style="medium">
        <color theme="0"/>
      </left>
      <right/>
      <top style="medium">
        <color theme="0"/>
      </top>
      <bottom style="medium">
        <color theme="0"/>
      </bottom>
    </border>
    <border>
      <left/>
      <right/>
      <top/>
      <bottom style="medium"/>
    </border>
    <border>
      <left/>
      <right style="medium"/>
      <top/>
      <bottom style="thin"/>
    </border>
    <border>
      <left/>
      <right style="medium"/>
      <top style="thin"/>
      <bottom style="thin"/>
    </border>
    <border>
      <left/>
      <right style="medium"/>
      <top style="thin"/>
      <bottom/>
    </border>
    <border>
      <left/>
      <right style="medium"/>
      <top style="thin"/>
      <bottom style="medium"/>
    </border>
    <border>
      <left style="medium"/>
      <right/>
      <top style="medium"/>
      <bottom style="medium"/>
    </border>
    <border>
      <left style="medium"/>
      <right/>
      <top style="medium"/>
      <bottom/>
    </border>
    <border>
      <left style="medium"/>
      <right style="medium"/>
      <top/>
      <bottom/>
    </border>
    <border>
      <left style="medium"/>
      <right style="medium"/>
      <top/>
      <bottom style="medium"/>
    </border>
    <border>
      <left style="medium"/>
      <right style="medium"/>
      <top style="medium"/>
      <bottom/>
    </border>
    <border>
      <left/>
      <right style="medium"/>
      <top style="medium"/>
      <bottom/>
    </border>
    <border>
      <left/>
      <right/>
      <top style="medium"/>
      <bottom/>
    </border>
    <border>
      <left style="medium"/>
      <right/>
      <top/>
      <bottom/>
    </border>
    <border>
      <left/>
      <right style="medium"/>
      <top/>
      <bottom/>
    </border>
    <border>
      <left style="medium"/>
      <right/>
      <top/>
      <bottom style="double"/>
    </border>
    <border>
      <left/>
      <right/>
      <top/>
      <bottom style="double"/>
    </border>
    <border>
      <left/>
      <right style="medium"/>
      <top/>
      <bottom style="double"/>
    </border>
    <border>
      <left style="medium"/>
      <right/>
      <top/>
      <bottom style="medium"/>
    </border>
    <border>
      <left/>
      <right style="medium"/>
      <top/>
      <bottom style="medium"/>
    </border>
    <border>
      <left/>
      <right/>
      <top style="medium"/>
      <bottom style="medium"/>
    </border>
    <border>
      <left style="thin"/>
      <right/>
      <top style="thin"/>
      <bottom style="medium"/>
    </border>
    <border>
      <left/>
      <right/>
      <top style="thin"/>
      <bottom style="medium"/>
    </border>
    <border>
      <left/>
      <right style="thin"/>
      <top style="thin"/>
      <bottom style="medium"/>
    </border>
    <border>
      <left style="thin"/>
      <right/>
      <top style="medium"/>
      <bottom/>
    </border>
    <border>
      <left/>
      <right style="thin"/>
      <top style="medium"/>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3" fillId="20" borderId="0" applyNumberFormat="0" applyBorder="0" applyAlignment="0" applyProtection="0"/>
    <xf numFmtId="0" fontId="84" fillId="21" borderId="1" applyNumberFormat="0" applyAlignment="0" applyProtection="0"/>
    <xf numFmtId="0" fontId="85" fillId="22" borderId="2" applyNumberFormat="0" applyAlignment="0" applyProtection="0"/>
    <xf numFmtId="0" fontId="86" fillId="0" borderId="3" applyNumberFormat="0" applyFill="0" applyAlignment="0" applyProtection="0"/>
    <xf numFmtId="172" fontId="2" fillId="0" borderId="0" applyFont="0" applyFill="0" applyBorder="0" applyAlignment="0" applyProtection="0"/>
    <xf numFmtId="0" fontId="87" fillId="0" borderId="0" applyNumberFormat="0" applyFill="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8" fillId="29" borderId="1"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2" fillId="0" borderId="0" applyFont="0" applyFill="0" applyBorder="0" applyAlignment="0" applyProtection="0"/>
    <xf numFmtId="172" fontId="0" fillId="0" borderId="0" applyFont="0" applyFill="0" applyBorder="0" applyAlignment="0" applyProtection="0"/>
    <xf numFmtId="172" fontId="2"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172" fontId="2"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2" fontId="2"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2"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93"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0" fillId="32" borderId="4" applyNumberFormat="0" applyFont="0" applyAlignment="0" applyProtection="0"/>
    <xf numFmtId="9" fontId="0" fillId="0" borderId="0" applyFont="0" applyFill="0" applyBorder="0" applyAlignment="0" applyProtection="0"/>
    <xf numFmtId="0" fontId="94" fillId="21" borderId="5"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87" fillId="0" borderId="8" applyNumberFormat="0" applyFill="0" applyAlignment="0" applyProtection="0"/>
    <xf numFmtId="0" fontId="100" fillId="0" borderId="9" applyNumberFormat="0" applyFill="0" applyAlignment="0" applyProtection="0"/>
  </cellStyleXfs>
  <cellXfs count="858">
    <xf numFmtId="0" fontId="0" fillId="0" borderId="0" xfId="0" applyFont="1" applyAlignment="1">
      <alignment/>
    </xf>
    <xf numFmtId="0" fontId="101" fillId="0" borderId="0" xfId="0" applyFont="1" applyAlignment="1">
      <alignment vertical="center"/>
    </xf>
    <xf numFmtId="0" fontId="101" fillId="0" borderId="0" xfId="0" applyFont="1" applyAlignment="1">
      <alignment/>
    </xf>
    <xf numFmtId="0" fontId="102" fillId="0" borderId="0" xfId="0" applyFont="1" applyAlignment="1">
      <alignment vertical="center"/>
    </xf>
    <xf numFmtId="0" fontId="103" fillId="0" borderId="0" xfId="0" applyFont="1" applyAlignment="1">
      <alignment vertical="center"/>
    </xf>
    <xf numFmtId="0" fontId="104" fillId="33" borderId="0" xfId="0" applyFont="1" applyFill="1" applyAlignment="1">
      <alignment/>
    </xf>
    <xf numFmtId="0" fontId="102" fillId="33" borderId="10" xfId="0" applyFont="1" applyFill="1" applyBorder="1" applyAlignment="1">
      <alignment/>
    </xf>
    <xf numFmtId="174" fontId="101" fillId="33" borderId="10" xfId="49" applyNumberFormat="1" applyFont="1" applyFill="1" applyBorder="1" applyAlignment="1">
      <alignment/>
    </xf>
    <xf numFmtId="175" fontId="2" fillId="33" borderId="10" xfId="49" applyNumberFormat="1" applyFont="1" applyFill="1" applyBorder="1" applyAlignment="1">
      <alignment/>
    </xf>
    <xf numFmtId="175" fontId="2" fillId="33" borderId="0" xfId="49" applyNumberFormat="1" applyFont="1" applyFill="1" applyAlignment="1">
      <alignment/>
    </xf>
    <xf numFmtId="0" fontId="101" fillId="33" borderId="11" xfId="0" applyFont="1" applyFill="1" applyBorder="1" applyAlignment="1">
      <alignment/>
    </xf>
    <xf numFmtId="0" fontId="101" fillId="33" borderId="0" xfId="0" applyFont="1" applyFill="1" applyAlignment="1">
      <alignment/>
    </xf>
    <xf numFmtId="0" fontId="101" fillId="0" borderId="0" xfId="0" applyFont="1" applyAlignment="1">
      <alignment horizontal="left" vertical="top" wrapText="1"/>
    </xf>
    <xf numFmtId="0" fontId="102" fillId="33" borderId="0" xfId="0" applyFont="1" applyFill="1" applyAlignment="1">
      <alignment/>
    </xf>
    <xf numFmtId="0" fontId="4" fillId="33" borderId="12" xfId="78" applyFont="1" applyFill="1" applyBorder="1" applyAlignment="1">
      <alignment horizontal="left"/>
      <protection/>
    </xf>
    <xf numFmtId="0" fontId="4" fillId="33" borderId="0" xfId="78" applyFont="1" applyFill="1" applyAlignment="1">
      <alignment horizontal="center"/>
      <protection/>
    </xf>
    <xf numFmtId="0" fontId="101" fillId="33" borderId="0" xfId="0" applyFont="1" applyFill="1" applyBorder="1" applyAlignment="1">
      <alignment/>
    </xf>
    <xf numFmtId="173" fontId="101" fillId="33" borderId="0" xfId="0" applyNumberFormat="1" applyFont="1" applyFill="1" applyAlignment="1">
      <alignment/>
    </xf>
    <xf numFmtId="173" fontId="2" fillId="33" borderId="0" xfId="56" applyNumberFormat="1" applyFont="1" applyFill="1" applyAlignment="1">
      <alignment/>
    </xf>
    <xf numFmtId="0" fontId="102" fillId="0" borderId="0" xfId="0" applyFont="1" applyAlignment="1">
      <alignment/>
    </xf>
    <xf numFmtId="3" fontId="101" fillId="33" borderId="0" xfId="0" applyNumberFormat="1" applyFont="1" applyFill="1" applyAlignment="1">
      <alignment/>
    </xf>
    <xf numFmtId="173" fontId="4" fillId="33" borderId="13" xfId="56" applyNumberFormat="1" applyFont="1" applyFill="1" applyBorder="1" applyAlignment="1">
      <alignment/>
    </xf>
    <xf numFmtId="0" fontId="2" fillId="33" borderId="0" xfId="78" applyFont="1" applyFill="1" applyBorder="1" applyAlignment="1">
      <alignment horizontal="left"/>
      <protection/>
    </xf>
    <xf numFmtId="169" fontId="4" fillId="33" borderId="13" xfId="50" applyFont="1" applyFill="1" applyBorder="1" applyAlignment="1">
      <alignment/>
    </xf>
    <xf numFmtId="0" fontId="105" fillId="0" borderId="0" xfId="0" applyFont="1" applyAlignment="1">
      <alignment vertical="center"/>
    </xf>
    <xf numFmtId="0" fontId="4" fillId="33" borderId="12" xfId="79" applyFont="1" applyFill="1" applyBorder="1" applyAlignment="1">
      <alignment horizontal="left"/>
      <protection/>
    </xf>
    <xf numFmtId="0" fontId="2" fillId="33" borderId="0" xfId="0" applyFont="1" applyFill="1" applyAlignment="1">
      <alignment/>
    </xf>
    <xf numFmtId="175" fontId="106" fillId="0" borderId="0" xfId="49" applyNumberFormat="1" applyFont="1" applyAlignment="1">
      <alignment/>
    </xf>
    <xf numFmtId="0" fontId="4" fillId="33" borderId="0" xfId="79" applyFont="1" applyFill="1">
      <alignment/>
      <protection/>
    </xf>
    <xf numFmtId="0" fontId="0" fillId="33" borderId="0" xfId="0" applyFill="1" applyAlignment="1">
      <alignment/>
    </xf>
    <xf numFmtId="0" fontId="4" fillId="0" borderId="0" xfId="0" applyFont="1" applyAlignment="1">
      <alignment/>
    </xf>
    <xf numFmtId="0" fontId="2" fillId="0" borderId="0" xfId="0" applyFont="1" applyFill="1" applyAlignment="1">
      <alignment/>
    </xf>
    <xf numFmtId="0" fontId="101" fillId="0" borderId="0" xfId="0" applyFont="1" applyBorder="1" applyAlignment="1">
      <alignment vertical="center"/>
    </xf>
    <xf numFmtId="0" fontId="106" fillId="0" borderId="0" xfId="0" applyFont="1" applyAlignment="1">
      <alignment/>
    </xf>
    <xf numFmtId="0" fontId="106" fillId="0" borderId="0" xfId="0" applyFont="1" applyBorder="1" applyAlignment="1">
      <alignment/>
    </xf>
    <xf numFmtId="0" fontId="101" fillId="0" borderId="0" xfId="0" applyFont="1" applyBorder="1" applyAlignment="1">
      <alignment/>
    </xf>
    <xf numFmtId="0" fontId="101" fillId="34" borderId="0" xfId="0" applyFont="1" applyFill="1" applyAlignment="1">
      <alignment/>
    </xf>
    <xf numFmtId="0" fontId="102" fillId="0" borderId="0" xfId="0" applyFont="1" applyBorder="1" applyAlignment="1">
      <alignment horizontal="center"/>
    </xf>
    <xf numFmtId="0" fontId="101" fillId="0" borderId="0" xfId="0" applyFont="1" applyFill="1" applyAlignment="1">
      <alignment/>
    </xf>
    <xf numFmtId="0" fontId="4" fillId="33" borderId="12" xfId="83" applyFont="1" applyFill="1" applyBorder="1" applyAlignment="1">
      <alignment horizontal="left"/>
    </xf>
    <xf numFmtId="0" fontId="5" fillId="33" borderId="0" xfId="83" applyFont="1" applyFill="1" applyBorder="1" applyAlignment="1">
      <alignment horizontal="center"/>
    </xf>
    <xf numFmtId="0" fontId="5" fillId="33" borderId="0" xfId="83" applyFont="1" applyFill="1" applyAlignment="1">
      <alignment horizontal="center"/>
    </xf>
    <xf numFmtId="0" fontId="2" fillId="33" borderId="0" xfId="85" applyFont="1" applyFill="1" applyBorder="1">
      <alignment/>
      <protection/>
    </xf>
    <xf numFmtId="0" fontId="2" fillId="33" borderId="0" xfId="85" applyFont="1" applyFill="1">
      <alignment/>
      <protection/>
    </xf>
    <xf numFmtId="0" fontId="4" fillId="33" borderId="0" xfId="85" applyFont="1" applyFill="1">
      <alignment/>
      <protection/>
    </xf>
    <xf numFmtId="0" fontId="4" fillId="33" borderId="0" xfId="85" applyFont="1" applyFill="1" applyBorder="1">
      <alignment/>
      <protection/>
    </xf>
    <xf numFmtId="173" fontId="4" fillId="33" borderId="13" xfId="54" applyNumberFormat="1" applyFont="1" applyFill="1" applyBorder="1" applyAlignment="1">
      <alignment/>
    </xf>
    <xf numFmtId="0" fontId="101" fillId="0" borderId="0" xfId="0" applyFont="1" applyAlignment="1">
      <alignment vertical="top" wrapText="1"/>
    </xf>
    <xf numFmtId="0" fontId="105" fillId="0" borderId="0" xfId="0" applyFont="1" applyFill="1" applyAlignment="1">
      <alignment/>
    </xf>
    <xf numFmtId="0" fontId="6" fillId="0" borderId="0" xfId="0" applyFont="1" applyFill="1" applyAlignment="1">
      <alignment/>
    </xf>
    <xf numFmtId="171" fontId="105" fillId="0" borderId="0" xfId="49" applyFont="1" applyFill="1" applyAlignment="1">
      <alignment/>
    </xf>
    <xf numFmtId="173" fontId="6" fillId="0" borderId="0" xfId="49" applyNumberFormat="1" applyFont="1" applyFill="1" applyAlignment="1">
      <alignment/>
    </xf>
    <xf numFmtId="173" fontId="105" fillId="0" borderId="0" xfId="49" applyNumberFormat="1" applyFont="1" applyFill="1" applyAlignment="1">
      <alignment/>
    </xf>
    <xf numFmtId="169" fontId="105" fillId="0" borderId="0" xfId="0" applyNumberFormat="1" applyFont="1" applyFill="1" applyAlignment="1">
      <alignment/>
    </xf>
    <xf numFmtId="173" fontId="101" fillId="0" borderId="0" xfId="0" applyNumberFormat="1" applyFont="1" applyAlignment="1">
      <alignment/>
    </xf>
    <xf numFmtId="0" fontId="0" fillId="0" borderId="0" xfId="0" applyFill="1" applyAlignment="1">
      <alignment/>
    </xf>
    <xf numFmtId="0" fontId="101" fillId="0" borderId="0" xfId="0" applyFont="1" applyFill="1" applyBorder="1" applyAlignment="1">
      <alignment/>
    </xf>
    <xf numFmtId="0" fontId="102" fillId="0" borderId="0" xfId="0" applyFont="1" applyFill="1" applyBorder="1" applyAlignment="1">
      <alignment/>
    </xf>
    <xf numFmtId="0" fontId="102" fillId="0" borderId="0" xfId="0" applyFont="1" applyFill="1" applyAlignment="1">
      <alignment vertical="center"/>
    </xf>
    <xf numFmtId="0" fontId="104" fillId="0" borderId="0" xfId="0" applyFont="1" applyFill="1" applyAlignment="1">
      <alignment/>
    </xf>
    <xf numFmtId="0" fontId="107" fillId="0" borderId="0" xfId="0" applyFont="1" applyAlignment="1">
      <alignment/>
    </xf>
    <xf numFmtId="173" fontId="107" fillId="0" borderId="0" xfId="49" applyNumberFormat="1" applyFont="1" applyAlignment="1">
      <alignment/>
    </xf>
    <xf numFmtId="173" fontId="107" fillId="0" borderId="0" xfId="0" applyNumberFormat="1" applyFont="1" applyAlignment="1">
      <alignment/>
    </xf>
    <xf numFmtId="173" fontId="108" fillId="0" borderId="0" xfId="49" applyNumberFormat="1" applyFont="1" applyAlignment="1">
      <alignment/>
    </xf>
    <xf numFmtId="177" fontId="101" fillId="0" borderId="0" xfId="0" applyNumberFormat="1" applyFont="1" applyAlignment="1">
      <alignment horizontal="right"/>
    </xf>
    <xf numFmtId="173" fontId="2" fillId="0" borderId="0" xfId="49" applyNumberFormat="1" applyFont="1" applyAlignment="1">
      <alignment/>
    </xf>
    <xf numFmtId="173" fontId="4" fillId="0" borderId="0" xfId="49" applyNumberFormat="1" applyFont="1" applyAlignment="1">
      <alignment/>
    </xf>
    <xf numFmtId="0" fontId="7" fillId="0" borderId="0" xfId="0" applyFont="1" applyAlignment="1">
      <alignment/>
    </xf>
    <xf numFmtId="173" fontId="7" fillId="0" borderId="0" xfId="49" applyNumberFormat="1" applyFont="1" applyAlignment="1">
      <alignment/>
    </xf>
    <xf numFmtId="0" fontId="2" fillId="0" borderId="0" xfId="81" applyFont="1" applyAlignment="1">
      <alignment/>
    </xf>
    <xf numFmtId="173" fontId="101" fillId="0" borderId="0" xfId="49" applyNumberFormat="1" applyFont="1" applyAlignment="1">
      <alignment/>
    </xf>
    <xf numFmtId="0" fontId="101" fillId="0" borderId="0" xfId="0" applyFont="1" applyAlignment="1">
      <alignment horizontal="left"/>
    </xf>
    <xf numFmtId="173" fontId="101" fillId="0" borderId="0" xfId="49" applyNumberFormat="1" applyFont="1" applyAlignment="1">
      <alignment horizontal="center"/>
    </xf>
    <xf numFmtId="0" fontId="3" fillId="0" borderId="0" xfId="0" applyFont="1" applyFill="1" applyAlignment="1">
      <alignment/>
    </xf>
    <xf numFmtId="173" fontId="104" fillId="0" borderId="0" xfId="0" applyNumberFormat="1" applyFont="1" applyFill="1" applyAlignment="1">
      <alignment/>
    </xf>
    <xf numFmtId="0" fontId="4" fillId="0" borderId="0" xfId="0" applyFont="1" applyFill="1" applyAlignment="1">
      <alignment/>
    </xf>
    <xf numFmtId="173" fontId="101" fillId="0" borderId="0" xfId="49" applyNumberFormat="1" applyFont="1" applyFill="1" applyAlignment="1">
      <alignment/>
    </xf>
    <xf numFmtId="0" fontId="101" fillId="0" borderId="0" xfId="0" applyFont="1" applyFill="1" applyAlignment="1">
      <alignment horizontal="left"/>
    </xf>
    <xf numFmtId="0" fontId="108" fillId="0" borderId="0" xfId="0" applyFont="1" applyFill="1" applyAlignment="1">
      <alignment/>
    </xf>
    <xf numFmtId="173" fontId="106" fillId="0" borderId="0" xfId="49" applyNumberFormat="1" applyFont="1" applyAlignment="1">
      <alignment/>
    </xf>
    <xf numFmtId="169" fontId="102" fillId="33" borderId="0" xfId="0" applyNumberFormat="1" applyFont="1" applyFill="1" applyBorder="1" applyAlignment="1">
      <alignment/>
    </xf>
    <xf numFmtId="173" fontId="4" fillId="33" borderId="0" xfId="79" applyNumberFormat="1" applyFont="1" applyFill="1" applyBorder="1">
      <alignment/>
      <protection/>
    </xf>
    <xf numFmtId="0" fontId="101" fillId="0" borderId="0" xfId="0" applyFont="1" applyAlignment="1">
      <alignment horizontal="left"/>
    </xf>
    <xf numFmtId="0" fontId="105" fillId="33" borderId="0" xfId="0" applyFont="1" applyFill="1" applyAlignment="1">
      <alignment/>
    </xf>
    <xf numFmtId="0" fontId="6" fillId="33" borderId="0" xfId="0" applyFont="1" applyFill="1" applyAlignment="1">
      <alignment/>
    </xf>
    <xf numFmtId="0" fontId="8" fillId="0" borderId="0" xfId="0" applyFont="1" applyFill="1" applyAlignment="1">
      <alignment/>
    </xf>
    <xf numFmtId="0" fontId="109" fillId="0" borderId="0" xfId="0" applyFont="1" applyFill="1" applyAlignment="1">
      <alignment/>
    </xf>
    <xf numFmtId="173" fontId="101" fillId="0" borderId="0" xfId="0" applyNumberFormat="1" applyFont="1" applyFill="1" applyAlignment="1">
      <alignment/>
    </xf>
    <xf numFmtId="173" fontId="106" fillId="0" borderId="0" xfId="49" applyNumberFormat="1" applyFont="1" applyAlignment="1">
      <alignment horizontal="center"/>
    </xf>
    <xf numFmtId="0" fontId="9" fillId="0" borderId="0" xfId="0" applyFont="1" applyAlignment="1">
      <alignment/>
    </xf>
    <xf numFmtId="173" fontId="110" fillId="0" borderId="0" xfId="49" applyNumberFormat="1" applyFont="1" applyAlignment="1">
      <alignment/>
    </xf>
    <xf numFmtId="173" fontId="111" fillId="0" borderId="0" xfId="49" applyNumberFormat="1" applyFont="1" applyAlignment="1">
      <alignment/>
    </xf>
    <xf numFmtId="173" fontId="101" fillId="0" borderId="0" xfId="49" applyNumberFormat="1" applyFont="1" applyBorder="1" applyAlignment="1">
      <alignment/>
    </xf>
    <xf numFmtId="0" fontId="101" fillId="0" borderId="0" xfId="0" applyFont="1" applyBorder="1" applyAlignment="1">
      <alignment horizontal="left"/>
    </xf>
    <xf numFmtId="173" fontId="101" fillId="0" borderId="0" xfId="49" applyNumberFormat="1" applyFont="1" applyBorder="1" applyAlignment="1">
      <alignment horizontal="center"/>
    </xf>
    <xf numFmtId="173" fontId="2" fillId="0" borderId="0" xfId="49" applyNumberFormat="1" applyFont="1" applyBorder="1" applyAlignment="1">
      <alignment/>
    </xf>
    <xf numFmtId="173" fontId="108" fillId="0" borderId="0" xfId="49" applyNumberFormat="1" applyFont="1" applyBorder="1" applyAlignment="1">
      <alignment/>
    </xf>
    <xf numFmtId="0" fontId="101" fillId="0" borderId="14" xfId="0" applyFont="1" applyFill="1" applyBorder="1" applyAlignment="1">
      <alignment/>
    </xf>
    <xf numFmtId="0" fontId="101" fillId="0" borderId="15" xfId="0" applyFont="1" applyFill="1" applyBorder="1" applyAlignment="1">
      <alignment/>
    </xf>
    <xf numFmtId="0" fontId="112" fillId="0" borderId="0" xfId="0" applyFont="1" applyFill="1" applyAlignment="1">
      <alignment/>
    </xf>
    <xf numFmtId="173" fontId="109" fillId="0" borderId="0" xfId="49" applyNumberFormat="1" applyFont="1" applyFill="1" applyAlignment="1">
      <alignment/>
    </xf>
    <xf numFmtId="173" fontId="8" fillId="0" borderId="0" xfId="49" applyNumberFormat="1" applyFont="1" applyFill="1" applyAlignment="1">
      <alignment/>
    </xf>
    <xf numFmtId="0" fontId="109" fillId="0" borderId="0" xfId="0" applyFont="1" applyFill="1" applyAlignment="1">
      <alignment/>
    </xf>
    <xf numFmtId="0" fontId="8" fillId="0" borderId="0" xfId="0" applyFont="1" applyFill="1" applyAlignment="1">
      <alignment/>
    </xf>
    <xf numFmtId="14" fontId="3" fillId="33" borderId="0" xfId="85" applyNumberFormat="1" applyFont="1" applyFill="1" applyBorder="1" applyAlignment="1">
      <alignment horizontal="center"/>
      <protection/>
    </xf>
    <xf numFmtId="0" fontId="100" fillId="0" borderId="0" xfId="0" applyFont="1" applyAlignment="1">
      <alignment/>
    </xf>
    <xf numFmtId="171" fontId="101" fillId="0" borderId="0" xfId="49" applyFont="1" applyFill="1" applyAlignment="1">
      <alignment/>
    </xf>
    <xf numFmtId="173" fontId="4" fillId="0" borderId="0" xfId="49" applyNumberFormat="1" applyFont="1" applyFill="1" applyAlignment="1">
      <alignment/>
    </xf>
    <xf numFmtId="173" fontId="101" fillId="0" borderId="0" xfId="49" applyNumberFormat="1" applyFont="1" applyFill="1" applyAlignment="1">
      <alignment horizontal="center"/>
    </xf>
    <xf numFmtId="173" fontId="8" fillId="0" borderId="0" xfId="49" applyNumberFormat="1" applyFont="1" applyFill="1" applyAlignment="1">
      <alignment horizontal="left"/>
    </xf>
    <xf numFmtId="173" fontId="113" fillId="35" borderId="0" xfId="0" applyNumberFormat="1" applyFont="1" applyFill="1" applyAlignment="1">
      <alignment horizontal="center" vertical="center"/>
    </xf>
    <xf numFmtId="0" fontId="114" fillId="36" borderId="0" xfId="0" applyFont="1" applyFill="1" applyAlignment="1">
      <alignment vertical="center"/>
    </xf>
    <xf numFmtId="0" fontId="113" fillId="35" borderId="0" xfId="0" applyFont="1" applyFill="1" applyAlignment="1">
      <alignment horizontal="center" vertical="center"/>
    </xf>
    <xf numFmtId="0" fontId="115" fillId="35" borderId="0" xfId="0" applyFont="1" applyFill="1" applyAlignment="1">
      <alignment/>
    </xf>
    <xf numFmtId="0" fontId="102" fillId="33" borderId="10" xfId="0" applyFont="1" applyFill="1" applyBorder="1" applyAlignment="1">
      <alignment horizontal="center" vertical="center" wrapText="1"/>
    </xf>
    <xf numFmtId="9" fontId="101" fillId="33" borderId="16" xfId="145" applyFont="1" applyFill="1" applyBorder="1" applyAlignment="1">
      <alignment/>
    </xf>
    <xf numFmtId="0" fontId="3" fillId="37" borderId="10" xfId="66" applyFont="1" applyFill="1" applyBorder="1">
      <alignment/>
      <protection/>
    </xf>
    <xf numFmtId="175" fontId="3" fillId="37" borderId="10" xfId="58" applyNumberFormat="1" applyFont="1" applyFill="1" applyBorder="1" applyAlignment="1">
      <alignment/>
    </xf>
    <xf numFmtId="172" fontId="11" fillId="37" borderId="10" xfId="58" applyFont="1" applyFill="1" applyBorder="1" applyAlignment="1">
      <alignment/>
    </xf>
    <xf numFmtId="0" fontId="108" fillId="33" borderId="0" xfId="0" applyFont="1" applyFill="1" applyAlignment="1">
      <alignment/>
    </xf>
    <xf numFmtId="0" fontId="116" fillId="0" borderId="0" xfId="0" applyFont="1" applyFill="1" applyAlignment="1">
      <alignment/>
    </xf>
    <xf numFmtId="175" fontId="4" fillId="33" borderId="0" xfId="49" applyNumberFormat="1" applyFont="1" applyFill="1" applyBorder="1" applyAlignment="1">
      <alignment/>
    </xf>
    <xf numFmtId="0" fontId="102" fillId="0" borderId="0" xfId="0" applyFont="1" applyFill="1" applyAlignment="1">
      <alignment/>
    </xf>
    <xf numFmtId="0" fontId="4" fillId="0" borderId="0" xfId="0" applyFont="1" applyFill="1" applyAlignment="1">
      <alignment wrapText="1"/>
    </xf>
    <xf numFmtId="0" fontId="101" fillId="0" borderId="0" xfId="0" applyFont="1" applyAlignment="1">
      <alignment wrapText="1"/>
    </xf>
    <xf numFmtId="3" fontId="106" fillId="0" borderId="0" xfId="50" applyNumberFormat="1" applyFont="1" applyBorder="1" applyAlignment="1">
      <alignment/>
    </xf>
    <xf numFmtId="175" fontId="115" fillId="35" borderId="0" xfId="49" applyNumberFormat="1" applyFont="1" applyFill="1" applyBorder="1" applyAlignment="1">
      <alignment/>
    </xf>
    <xf numFmtId="0" fontId="103" fillId="38" borderId="0" xfId="0" applyFont="1" applyFill="1" applyAlignment="1">
      <alignment vertical="center"/>
    </xf>
    <xf numFmtId="0" fontId="101" fillId="38" borderId="0" xfId="0" applyFont="1" applyFill="1" applyAlignment="1">
      <alignment/>
    </xf>
    <xf numFmtId="0" fontId="0" fillId="38" borderId="0" xfId="0" applyFill="1" applyAlignment="1">
      <alignment/>
    </xf>
    <xf numFmtId="174" fontId="101" fillId="33" borderId="17" xfId="49" applyNumberFormat="1" applyFont="1" applyFill="1" applyBorder="1" applyAlignment="1">
      <alignment/>
    </xf>
    <xf numFmtId="0" fontId="117" fillId="33" borderId="10" xfId="0" applyFont="1" applyFill="1" applyBorder="1" applyAlignment="1">
      <alignment/>
    </xf>
    <xf numFmtId="0" fontId="0" fillId="38" borderId="12" xfId="0" applyFill="1" applyBorder="1" applyAlignment="1">
      <alignment/>
    </xf>
    <xf numFmtId="0" fontId="100" fillId="38" borderId="12" xfId="0" applyFont="1" applyFill="1" applyBorder="1" applyAlignment="1">
      <alignment horizontal="center"/>
    </xf>
    <xf numFmtId="0" fontId="100" fillId="38" borderId="0" xfId="0" applyFont="1" applyFill="1" applyAlignment="1">
      <alignment/>
    </xf>
    <xf numFmtId="0" fontId="100" fillId="0" borderId="12" xfId="0" applyFont="1" applyBorder="1" applyAlignment="1">
      <alignment horizontal="center"/>
    </xf>
    <xf numFmtId="0" fontId="100" fillId="0" borderId="12" xfId="0" applyFont="1" applyBorder="1" applyAlignment="1">
      <alignment horizontal="center" vertical="center"/>
    </xf>
    <xf numFmtId="0" fontId="95" fillId="38" borderId="0" xfId="0" applyFont="1" applyFill="1" applyAlignment="1">
      <alignment/>
    </xf>
    <xf numFmtId="0" fontId="101" fillId="0" borderId="0" xfId="0" applyFont="1" applyAlignment="1">
      <alignment horizontal="left" vertical="top" wrapText="1"/>
    </xf>
    <xf numFmtId="0" fontId="101" fillId="0" borderId="0" xfId="0" applyFont="1" applyAlignment="1">
      <alignment vertical="justify" wrapText="1"/>
    </xf>
    <xf numFmtId="0" fontId="101" fillId="0" borderId="0" xfId="0" applyFont="1" applyFill="1" applyAlignment="1">
      <alignment vertical="justify" wrapText="1"/>
    </xf>
    <xf numFmtId="0" fontId="102" fillId="0" borderId="0" xfId="0" applyFont="1" applyAlignment="1">
      <alignment horizontal="left" vertical="top" wrapText="1"/>
    </xf>
    <xf numFmtId="0" fontId="102" fillId="0" borderId="0" xfId="0" applyFont="1" applyAlignment="1">
      <alignment vertical="top" wrapText="1"/>
    </xf>
    <xf numFmtId="0" fontId="101" fillId="38" borderId="0" xfId="0" applyFont="1" applyFill="1" applyAlignment="1">
      <alignment vertical="justify" wrapText="1"/>
    </xf>
    <xf numFmtId="0" fontId="101" fillId="38" borderId="0" xfId="0" applyFont="1" applyFill="1" applyAlignment="1">
      <alignment horizontal="left" vertical="top" wrapText="1"/>
    </xf>
    <xf numFmtId="0" fontId="101" fillId="38" borderId="0" xfId="0" applyFont="1" applyFill="1" applyAlignment="1">
      <alignment vertical="top" wrapText="1"/>
    </xf>
    <xf numFmtId="0" fontId="102" fillId="38" borderId="0" xfId="0" applyFont="1" applyFill="1" applyAlignment="1">
      <alignment vertical="top" wrapText="1"/>
    </xf>
    <xf numFmtId="0" fontId="102" fillId="38" borderId="0" xfId="0" applyFont="1" applyFill="1" applyAlignment="1">
      <alignment vertical="justify" wrapText="1"/>
    </xf>
    <xf numFmtId="0" fontId="102" fillId="38" borderId="0" xfId="0" applyFont="1" applyFill="1" applyAlignment="1">
      <alignment horizontal="center" vertical="center" wrapText="1"/>
    </xf>
    <xf numFmtId="0" fontId="89" fillId="0" borderId="0" xfId="46" applyAlignment="1">
      <alignment/>
    </xf>
    <xf numFmtId="0" fontId="89" fillId="38" borderId="0" xfId="46" applyFill="1" applyAlignment="1">
      <alignment/>
    </xf>
    <xf numFmtId="0" fontId="114" fillId="33" borderId="0" xfId="0" applyFont="1" applyFill="1" applyAlignment="1">
      <alignment horizontal="left" vertical="center"/>
    </xf>
    <xf numFmtId="0" fontId="95" fillId="0" borderId="0" xfId="0" applyFont="1" applyAlignment="1">
      <alignment/>
    </xf>
    <xf numFmtId="0" fontId="114" fillId="33" borderId="0" xfId="0" applyFont="1" applyFill="1" applyAlignment="1">
      <alignment vertical="center"/>
    </xf>
    <xf numFmtId="0" fontId="89" fillId="33" borderId="0" xfId="46" applyFill="1" applyAlignment="1">
      <alignment/>
    </xf>
    <xf numFmtId="0" fontId="100" fillId="33" borderId="0" xfId="0" applyFont="1" applyFill="1" applyAlignment="1">
      <alignment/>
    </xf>
    <xf numFmtId="0" fontId="103" fillId="38" borderId="0" xfId="0" applyFont="1" applyFill="1" applyBorder="1" applyAlignment="1">
      <alignment/>
    </xf>
    <xf numFmtId="175" fontId="103" fillId="38" borderId="0" xfId="53" applyNumberFormat="1" applyFont="1" applyFill="1" applyBorder="1" applyAlignment="1">
      <alignment/>
    </xf>
    <xf numFmtId="9" fontId="103" fillId="38" borderId="0" xfId="145" applyFont="1" applyFill="1" applyBorder="1" applyAlignment="1">
      <alignment/>
    </xf>
    <xf numFmtId="3" fontId="103" fillId="38" borderId="0" xfId="0" applyNumberFormat="1" applyFont="1" applyFill="1" applyBorder="1" applyAlignment="1">
      <alignment/>
    </xf>
    <xf numFmtId="0" fontId="118" fillId="38" borderId="0" xfId="0" applyFont="1" applyFill="1" applyBorder="1" applyAlignment="1">
      <alignment/>
    </xf>
    <xf numFmtId="169" fontId="103" fillId="38" borderId="18" xfId="50" applyFont="1" applyFill="1" applyBorder="1" applyAlignment="1">
      <alignment/>
    </xf>
    <xf numFmtId="0" fontId="0" fillId="33" borderId="0" xfId="0" applyFill="1" applyBorder="1" applyAlignment="1">
      <alignment/>
    </xf>
    <xf numFmtId="0" fontId="118" fillId="38" borderId="0" xfId="0" applyFont="1" applyFill="1" applyBorder="1" applyAlignment="1">
      <alignment vertical="center" wrapText="1"/>
    </xf>
    <xf numFmtId="0" fontId="0" fillId="36" borderId="0" xfId="0" applyFill="1" applyAlignment="1">
      <alignment/>
    </xf>
    <xf numFmtId="0" fontId="11" fillId="33" borderId="0" xfId="66" applyFont="1" applyFill="1" applyBorder="1">
      <alignment/>
      <protection/>
    </xf>
    <xf numFmtId="0" fontId="11" fillId="38" borderId="0" xfId="66" applyFont="1" applyFill="1" applyBorder="1">
      <alignment/>
      <protection/>
    </xf>
    <xf numFmtId="0" fontId="119" fillId="38" borderId="0" xfId="66" applyFont="1" applyFill="1" applyBorder="1">
      <alignment/>
      <protection/>
    </xf>
    <xf numFmtId="0" fontId="11" fillId="38" borderId="14" xfId="66" applyFont="1" applyFill="1" applyBorder="1">
      <alignment/>
      <protection/>
    </xf>
    <xf numFmtId="175" fontId="11" fillId="38" borderId="19" xfId="58" applyNumberFormat="1" applyFont="1" applyFill="1" applyBorder="1" applyAlignment="1">
      <alignment/>
    </xf>
    <xf numFmtId="175" fontId="3" fillId="38" borderId="15" xfId="58" applyNumberFormat="1" applyFont="1" applyFill="1" applyBorder="1" applyAlignment="1">
      <alignment/>
    </xf>
    <xf numFmtId="175" fontId="11" fillId="38" borderId="0" xfId="66" applyNumberFormat="1" applyFont="1" applyFill="1" applyBorder="1">
      <alignment/>
      <protection/>
    </xf>
    <xf numFmtId="0" fontId="101" fillId="0" borderId="0" xfId="0" applyFont="1" applyFill="1" applyAlignment="1">
      <alignment horizontal="left" vertical="justify" wrapText="1"/>
    </xf>
    <xf numFmtId="0" fontId="120" fillId="0" borderId="14" xfId="0" applyFont="1" applyFill="1" applyBorder="1" applyAlignment="1">
      <alignment horizontal="left" vertical="justify" wrapText="1"/>
    </xf>
    <xf numFmtId="0" fontId="120" fillId="0" borderId="0" xfId="0" applyFont="1" applyFill="1" applyBorder="1" applyAlignment="1">
      <alignment horizontal="left" vertical="justify" wrapText="1"/>
    </xf>
    <xf numFmtId="0" fontId="120" fillId="0" borderId="15" xfId="0" applyFont="1" applyFill="1" applyBorder="1" applyAlignment="1">
      <alignment horizontal="left" vertical="justify" wrapText="1"/>
    </xf>
    <xf numFmtId="0" fontId="120" fillId="0" borderId="0" xfId="0" applyFont="1" applyFill="1" applyAlignment="1">
      <alignment vertical="center"/>
    </xf>
    <xf numFmtId="0" fontId="2" fillId="0" borderId="0" xfId="0" applyFont="1" applyFill="1" applyAlignment="1">
      <alignment horizontal="left" vertical="justify" wrapText="1"/>
    </xf>
    <xf numFmtId="0" fontId="0" fillId="38" borderId="0" xfId="0" applyFill="1" applyBorder="1" applyAlignment="1">
      <alignment/>
    </xf>
    <xf numFmtId="0" fontId="95" fillId="38" borderId="12" xfId="0" applyFont="1" applyFill="1" applyBorder="1" applyAlignment="1">
      <alignment/>
    </xf>
    <xf numFmtId="0" fontId="0" fillId="38" borderId="14" xfId="0" applyFill="1" applyBorder="1" applyAlignment="1">
      <alignment/>
    </xf>
    <xf numFmtId="0" fontId="0" fillId="38" borderId="15" xfId="0" applyFill="1" applyBorder="1" applyAlignment="1">
      <alignment/>
    </xf>
    <xf numFmtId="0" fontId="16" fillId="38" borderId="0" xfId="0" applyFont="1" applyFill="1" applyAlignment="1">
      <alignment/>
    </xf>
    <xf numFmtId="0" fontId="16" fillId="0" borderId="0" xfId="0" applyFont="1" applyAlignment="1">
      <alignment/>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6" fillId="38" borderId="22" xfId="0" applyFont="1" applyFill="1" applyBorder="1" applyAlignment="1">
      <alignment vertical="top" wrapText="1"/>
    </xf>
    <xf numFmtId="0" fontId="16" fillId="38" borderId="23" xfId="0" applyFont="1" applyFill="1" applyBorder="1" applyAlignment="1">
      <alignment vertical="top" wrapText="1"/>
    </xf>
    <xf numFmtId="0" fontId="60" fillId="0" borderId="23" xfId="0" applyFont="1" applyBorder="1" applyAlignment="1">
      <alignment vertical="center" wrapText="1"/>
    </xf>
    <xf numFmtId="0" fontId="60" fillId="0" borderId="24" xfId="0" applyFont="1" applyBorder="1" applyAlignment="1">
      <alignment vertical="center" wrapText="1"/>
    </xf>
    <xf numFmtId="0" fontId="60" fillId="0" borderId="25" xfId="0" applyFont="1" applyBorder="1" applyAlignment="1">
      <alignment horizontal="center" vertical="center" wrapText="1"/>
    </xf>
    <xf numFmtId="0" fontId="60" fillId="0" borderId="26" xfId="0" applyFont="1" applyBorder="1" applyAlignment="1">
      <alignment horizontal="center" vertical="center" wrapText="1"/>
    </xf>
    <xf numFmtId="0" fontId="60" fillId="0" borderId="26" xfId="0" applyFont="1" applyBorder="1" applyAlignment="1">
      <alignment vertical="center" wrapText="1"/>
    </xf>
    <xf numFmtId="0" fontId="60" fillId="0" borderId="27" xfId="0" applyFont="1" applyBorder="1" applyAlignment="1">
      <alignment vertical="center" wrapText="1"/>
    </xf>
    <xf numFmtId="0" fontId="60" fillId="0" borderId="28" xfId="0" applyFont="1" applyBorder="1" applyAlignment="1">
      <alignment horizontal="center" vertical="center" wrapText="1"/>
    </xf>
    <xf numFmtId="0" fontId="60" fillId="0" borderId="29" xfId="0" applyFont="1" applyBorder="1" applyAlignment="1">
      <alignment horizontal="center" vertical="center" wrapText="1"/>
    </xf>
    <xf numFmtId="0" fontId="60" fillId="0" borderId="29" xfId="0" applyFont="1" applyBorder="1" applyAlignment="1">
      <alignment vertical="center" wrapText="1"/>
    </xf>
    <xf numFmtId="0" fontId="60" fillId="0" borderId="30" xfId="0" applyFont="1" applyBorder="1" applyAlignment="1">
      <alignment vertical="center" wrapText="1"/>
    </xf>
    <xf numFmtId="0" fontId="60" fillId="38" borderId="0" xfId="0" applyFont="1" applyFill="1" applyAlignment="1">
      <alignment/>
    </xf>
    <xf numFmtId="0" fontId="60" fillId="0" borderId="0" xfId="0" applyFont="1" applyAlignment="1">
      <alignment/>
    </xf>
    <xf numFmtId="0" fontId="101" fillId="0" borderId="0" xfId="0" applyFont="1" applyFill="1" applyAlignment="1">
      <alignment horizontal="left" vertical="justify" wrapText="1"/>
    </xf>
    <xf numFmtId="0" fontId="104" fillId="0" borderId="0" xfId="0" applyFont="1" applyFill="1" applyAlignment="1">
      <alignment horizontal="left" vertical="justify" wrapText="1"/>
    </xf>
    <xf numFmtId="0" fontId="17" fillId="0" borderId="12" xfId="0" applyFont="1" applyFill="1" applyBorder="1" applyAlignment="1">
      <alignment horizontal="center" wrapText="1"/>
    </xf>
    <xf numFmtId="0" fontId="0" fillId="38" borderId="10" xfId="0" applyFill="1" applyBorder="1" applyAlignment="1">
      <alignment/>
    </xf>
    <xf numFmtId="0" fontId="104" fillId="35" borderId="0" xfId="0" applyFont="1" applyFill="1" applyAlignment="1">
      <alignment/>
    </xf>
    <xf numFmtId="0" fontId="101" fillId="33" borderId="0" xfId="0" applyFont="1" applyFill="1" applyAlignment="1">
      <alignment horizontal="center" vertical="center"/>
    </xf>
    <xf numFmtId="0" fontId="89" fillId="33" borderId="0" xfId="46" applyFill="1" applyAlignment="1">
      <alignment horizontal="center" vertical="center"/>
    </xf>
    <xf numFmtId="0" fontId="0" fillId="0" borderId="0" xfId="0" applyAlignment="1">
      <alignment/>
    </xf>
    <xf numFmtId="176" fontId="121" fillId="35" borderId="0" xfId="49" applyNumberFormat="1" applyFont="1" applyFill="1" applyAlignment="1">
      <alignment horizontal="center" vertical="center"/>
    </xf>
    <xf numFmtId="0" fontId="121" fillId="33" borderId="0" xfId="0" applyFont="1" applyFill="1" applyBorder="1" applyAlignment="1">
      <alignment horizontal="center" vertical="center"/>
    </xf>
    <xf numFmtId="0" fontId="122" fillId="33" borderId="0" xfId="0" applyFont="1" applyFill="1" applyAlignment="1">
      <alignment horizontal="center" vertical="center"/>
    </xf>
    <xf numFmtId="173" fontId="101" fillId="33" borderId="0" xfId="0" applyNumberFormat="1" applyFont="1" applyFill="1" applyAlignment="1">
      <alignment horizontal="center" vertical="center"/>
    </xf>
    <xf numFmtId="0" fontId="121" fillId="33" borderId="0" xfId="0" applyFont="1" applyFill="1" applyAlignment="1">
      <alignment horizontal="center" vertical="center"/>
    </xf>
    <xf numFmtId="0" fontId="4" fillId="33" borderId="0" xfId="0" applyFont="1" applyFill="1" applyAlignment="1">
      <alignment horizontal="center" vertical="center"/>
    </xf>
    <xf numFmtId="0" fontId="10" fillId="33" borderId="0" xfId="0" applyFont="1" applyFill="1" applyAlignment="1">
      <alignment horizontal="center" vertical="center"/>
    </xf>
    <xf numFmtId="0" fontId="104" fillId="33" borderId="0" xfId="0" applyFont="1" applyFill="1" applyAlignment="1">
      <alignment horizontal="center" vertical="center"/>
    </xf>
    <xf numFmtId="173" fontId="109" fillId="33" borderId="0" xfId="49" applyNumberFormat="1" applyFont="1" applyFill="1" applyAlignment="1">
      <alignment horizontal="center" vertical="center"/>
    </xf>
    <xf numFmtId="173" fontId="8" fillId="0" borderId="0" xfId="49" applyNumberFormat="1" applyFont="1" applyFill="1" applyAlignment="1">
      <alignment horizontal="center" vertical="center"/>
    </xf>
    <xf numFmtId="0" fontId="8" fillId="33" borderId="0" xfId="0" applyFont="1" applyFill="1" applyAlignment="1">
      <alignment horizontal="center" vertical="center"/>
    </xf>
    <xf numFmtId="0" fontId="109" fillId="33" borderId="0" xfId="0" applyFont="1" applyFill="1" applyAlignment="1">
      <alignment horizontal="center" vertical="center"/>
    </xf>
    <xf numFmtId="0" fontId="6" fillId="33" borderId="0" xfId="0" applyFont="1" applyFill="1" applyAlignment="1">
      <alignment horizontal="center" vertical="center"/>
    </xf>
    <xf numFmtId="171" fontId="105" fillId="33" borderId="0" xfId="49" applyFont="1" applyFill="1" applyAlignment="1">
      <alignment horizontal="center" vertical="center"/>
    </xf>
    <xf numFmtId="0" fontId="105" fillId="33" borderId="0" xfId="0" applyFont="1" applyFill="1" applyAlignment="1">
      <alignment horizontal="center" vertical="center"/>
    </xf>
    <xf numFmtId="0" fontId="89" fillId="0" borderId="0" xfId="46" applyAlignment="1">
      <alignment horizontal="center"/>
    </xf>
    <xf numFmtId="171" fontId="101" fillId="33" borderId="0" xfId="49" applyFont="1" applyFill="1" applyAlignment="1">
      <alignment horizontal="center" vertical="center"/>
    </xf>
    <xf numFmtId="173" fontId="101" fillId="33" borderId="0" xfId="49" applyNumberFormat="1" applyFont="1" applyFill="1" applyAlignment="1">
      <alignment horizontal="center" vertical="center"/>
    </xf>
    <xf numFmtId="173" fontId="4" fillId="33" borderId="0" xfId="49" applyNumberFormat="1" applyFont="1" applyFill="1" applyAlignment="1">
      <alignment horizontal="center" vertical="center"/>
    </xf>
    <xf numFmtId="0" fontId="106" fillId="0" borderId="0" xfId="0" applyFont="1" applyAlignment="1">
      <alignment horizontal="center"/>
    </xf>
    <xf numFmtId="0" fontId="11" fillId="0" borderId="31" xfId="0" applyFont="1" applyBorder="1" applyAlignment="1">
      <alignment vertical="center" wrapText="1"/>
    </xf>
    <xf numFmtId="0" fontId="11" fillId="0" borderId="32" xfId="0" applyFont="1" applyBorder="1" applyAlignment="1">
      <alignment vertical="center" wrapText="1"/>
    </xf>
    <xf numFmtId="0" fontId="3" fillId="0" borderId="33" xfId="0" applyFont="1" applyBorder="1" applyAlignment="1">
      <alignment vertical="center" wrapText="1"/>
    </xf>
    <xf numFmtId="0" fontId="0" fillId="33" borderId="0" xfId="0" applyFill="1" applyAlignment="1" quotePrefix="1">
      <alignment/>
    </xf>
    <xf numFmtId="0" fontId="114" fillId="33" borderId="0" xfId="0" applyFont="1" applyFill="1" applyBorder="1" applyAlignment="1">
      <alignment horizontal="left"/>
    </xf>
    <xf numFmtId="0" fontId="104" fillId="0" borderId="14" xfId="0" applyFont="1" applyFill="1" applyBorder="1" applyAlignment="1">
      <alignment horizontal="justify" vertical="justify" wrapText="1"/>
    </xf>
    <xf numFmtId="0" fontId="104" fillId="0" borderId="0" xfId="0" applyFont="1" applyFill="1" applyBorder="1" applyAlignment="1">
      <alignment horizontal="justify" vertical="justify" wrapText="1"/>
    </xf>
    <xf numFmtId="0" fontId="104" fillId="0" borderId="15" xfId="0" applyFont="1" applyFill="1" applyBorder="1" applyAlignment="1">
      <alignment horizontal="justify" vertical="justify" wrapText="1"/>
    </xf>
    <xf numFmtId="0" fontId="101" fillId="0" borderId="14" xfId="0" applyFont="1" applyFill="1" applyBorder="1" applyAlignment="1">
      <alignment horizontal="left" vertical="justify" wrapText="1"/>
    </xf>
    <xf numFmtId="0" fontId="101" fillId="0" borderId="0" xfId="0" applyFont="1" applyFill="1" applyBorder="1" applyAlignment="1">
      <alignment horizontal="left" vertical="justify" wrapText="1"/>
    </xf>
    <xf numFmtId="0" fontId="101" fillId="0" borderId="15" xfId="0" applyFont="1" applyFill="1" applyBorder="1" applyAlignment="1">
      <alignment horizontal="left" vertical="justify" wrapText="1"/>
    </xf>
    <xf numFmtId="0" fontId="123" fillId="0" borderId="14" xfId="0" applyFont="1" applyBorder="1" applyAlignment="1">
      <alignment horizontal="left" vertical="top" wrapText="1"/>
    </xf>
    <xf numFmtId="0" fontId="123" fillId="0" borderId="0" xfId="0" applyFont="1" applyBorder="1" applyAlignment="1">
      <alignment horizontal="left" vertical="top" wrapText="1"/>
    </xf>
    <xf numFmtId="0" fontId="123" fillId="0" borderId="15" xfId="0" applyFont="1" applyBorder="1" applyAlignment="1">
      <alignment horizontal="left" vertical="top" wrapText="1"/>
    </xf>
    <xf numFmtId="0" fontId="4" fillId="0" borderId="14"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15" xfId="0" applyFont="1" applyFill="1" applyBorder="1" applyAlignment="1">
      <alignment horizontal="left" vertical="justify" wrapText="1"/>
    </xf>
    <xf numFmtId="0" fontId="101" fillId="0" borderId="14" xfId="0" applyFont="1" applyFill="1" applyBorder="1" applyAlignment="1">
      <alignment horizontal="justify" vertical="justify" wrapText="1"/>
    </xf>
    <xf numFmtId="0" fontId="101" fillId="0" borderId="0" xfId="0" applyFont="1" applyFill="1" applyBorder="1" applyAlignment="1">
      <alignment horizontal="justify" vertical="justify" wrapText="1"/>
    </xf>
    <xf numFmtId="0" fontId="101" fillId="0" borderId="15" xfId="0" applyFont="1" applyFill="1" applyBorder="1" applyAlignment="1">
      <alignment horizontal="justify" vertical="justify" wrapText="1"/>
    </xf>
    <xf numFmtId="0" fontId="0" fillId="0" borderId="0" xfId="0" applyAlignment="1">
      <alignment/>
    </xf>
    <xf numFmtId="174" fontId="101" fillId="0" borderId="10" xfId="49" applyNumberFormat="1" applyFont="1" applyFill="1" applyBorder="1" applyAlignment="1">
      <alignment/>
    </xf>
    <xf numFmtId="0" fontId="2" fillId="38" borderId="0" xfId="0" applyFont="1" applyFill="1" applyAlignment="1">
      <alignment/>
    </xf>
    <xf numFmtId="0" fontId="101" fillId="33" borderId="10" xfId="0" applyFont="1" applyFill="1" applyBorder="1" applyAlignment="1">
      <alignment/>
    </xf>
    <xf numFmtId="0" fontId="101" fillId="33" borderId="10" xfId="0" applyFont="1" applyFill="1" applyBorder="1" applyAlignment="1">
      <alignment horizontal="center"/>
    </xf>
    <xf numFmtId="0" fontId="101" fillId="33" borderId="34" xfId="0" applyFont="1" applyFill="1" applyBorder="1" applyAlignment="1">
      <alignment/>
    </xf>
    <xf numFmtId="0" fontId="101" fillId="0" borderId="0" xfId="0" applyFont="1" applyAlignment="1">
      <alignment horizontal="left"/>
    </xf>
    <xf numFmtId="0" fontId="2" fillId="33" borderId="0" xfId="78" applyFont="1" applyFill="1" applyBorder="1" applyAlignment="1" quotePrefix="1">
      <alignment/>
      <protection/>
    </xf>
    <xf numFmtId="0" fontId="124" fillId="0" borderId="10" xfId="0" applyFont="1" applyBorder="1" applyAlignment="1">
      <alignment horizontal="center" vertical="center" wrapText="1"/>
    </xf>
    <xf numFmtId="0" fontId="114" fillId="0" borderId="0" xfId="0" applyFont="1" applyFill="1" applyAlignment="1">
      <alignment vertical="center"/>
    </xf>
    <xf numFmtId="0" fontId="114" fillId="38" borderId="0" xfId="0" applyFont="1" applyFill="1" applyBorder="1" applyAlignment="1">
      <alignment vertical="center"/>
    </xf>
    <xf numFmtId="169" fontId="0" fillId="38" borderId="18" xfId="50" applyFont="1" applyFill="1" applyBorder="1" applyAlignment="1">
      <alignment/>
    </xf>
    <xf numFmtId="0" fontId="125" fillId="33" borderId="0" xfId="0" applyFont="1" applyFill="1" applyAlignment="1">
      <alignment/>
    </xf>
    <xf numFmtId="169" fontId="101" fillId="0" borderId="18" xfId="50" applyFont="1" applyBorder="1" applyAlignment="1">
      <alignment vertical="top" wrapText="1"/>
    </xf>
    <xf numFmtId="169" fontId="0" fillId="0" borderId="18" xfId="50" applyFont="1" applyBorder="1" applyAlignment="1">
      <alignment/>
    </xf>
    <xf numFmtId="0" fontId="103" fillId="38" borderId="0" xfId="0" applyFont="1" applyFill="1" applyBorder="1" applyAlignment="1" quotePrefix="1">
      <alignment/>
    </xf>
    <xf numFmtId="0" fontId="85" fillId="0" borderId="0" xfId="0" applyFont="1" applyFill="1" applyAlignment="1">
      <alignment horizontal="center" vertical="center"/>
    </xf>
    <xf numFmtId="0" fontId="0" fillId="0" borderId="0" xfId="0" applyAlignment="1">
      <alignment/>
    </xf>
    <xf numFmtId="0" fontId="101" fillId="0" borderId="0" xfId="0" applyFont="1" applyFill="1" applyAlignment="1">
      <alignment horizontal="left" vertical="justify" wrapText="1"/>
    </xf>
    <xf numFmtId="0" fontId="104" fillId="0" borderId="14" xfId="0" applyFont="1" applyFill="1" applyBorder="1" applyAlignment="1">
      <alignment horizontal="justify" vertical="justify" wrapText="1"/>
    </xf>
    <xf numFmtId="0" fontId="104" fillId="0" borderId="0" xfId="0" applyFont="1" applyFill="1" applyBorder="1" applyAlignment="1">
      <alignment horizontal="justify" vertical="justify" wrapText="1"/>
    </xf>
    <xf numFmtId="0" fontId="104" fillId="0" borderId="15" xfId="0" applyFont="1" applyFill="1" applyBorder="1" applyAlignment="1">
      <alignment horizontal="justify" vertical="justify" wrapText="1"/>
    </xf>
    <xf numFmtId="0" fontId="101" fillId="0" borderId="14" xfId="0" applyFont="1" applyFill="1" applyBorder="1" applyAlignment="1">
      <alignment horizontal="justify" vertical="justify" wrapText="1"/>
    </xf>
    <xf numFmtId="0" fontId="101" fillId="0" borderId="0" xfId="0" applyFont="1" applyFill="1" applyBorder="1" applyAlignment="1">
      <alignment horizontal="justify" vertical="justify" wrapText="1"/>
    </xf>
    <xf numFmtId="0" fontId="101" fillId="0" borderId="15" xfId="0" applyFont="1" applyFill="1" applyBorder="1" applyAlignment="1">
      <alignment horizontal="justify" vertical="justify" wrapText="1"/>
    </xf>
    <xf numFmtId="0" fontId="101" fillId="34" borderId="0" xfId="0" applyFont="1" applyFill="1" applyAlignment="1">
      <alignment horizontal="left"/>
    </xf>
    <xf numFmtId="0" fontId="126" fillId="0" borderId="0" xfId="46" applyFont="1" applyBorder="1" applyAlignment="1" quotePrefix="1">
      <alignment horizontal="left"/>
    </xf>
    <xf numFmtId="0" fontId="0" fillId="38" borderId="0" xfId="0" applyFill="1" applyBorder="1" applyAlignment="1">
      <alignment/>
    </xf>
    <xf numFmtId="0" fontId="0" fillId="0" borderId="0" xfId="0" applyFill="1" applyAlignment="1">
      <alignment vertical="justify" wrapText="1"/>
    </xf>
    <xf numFmtId="0" fontId="0" fillId="38" borderId="15" xfId="0" applyFill="1" applyBorder="1" applyAlignment="1">
      <alignment/>
    </xf>
    <xf numFmtId="0" fontId="95" fillId="38" borderId="0" xfId="0" applyFont="1" applyFill="1" applyBorder="1" applyAlignment="1">
      <alignment/>
    </xf>
    <xf numFmtId="0" fontId="100" fillId="38" borderId="14" xfId="0" applyFont="1" applyFill="1" applyBorder="1" applyAlignment="1">
      <alignment/>
    </xf>
    <xf numFmtId="0" fontId="100" fillId="38" borderId="0" xfId="0" applyFont="1" applyFill="1" applyBorder="1" applyAlignment="1">
      <alignment/>
    </xf>
    <xf numFmtId="169" fontId="17" fillId="38" borderId="0" xfId="50" applyFont="1" applyFill="1" applyBorder="1" applyAlignment="1">
      <alignment/>
    </xf>
    <xf numFmtId="0" fontId="127" fillId="38" borderId="0" xfId="0" applyFont="1" applyFill="1" applyBorder="1" applyAlignment="1">
      <alignment/>
    </xf>
    <xf numFmtId="0" fontId="128" fillId="38" borderId="0" xfId="0" applyFont="1" applyFill="1" applyAlignment="1">
      <alignment/>
    </xf>
    <xf numFmtId="0" fontId="129" fillId="0" borderId="0" xfId="0" applyFont="1" applyAlignment="1">
      <alignment horizontal="justify" vertical="center"/>
    </xf>
    <xf numFmtId="0" fontId="114" fillId="35" borderId="0" xfId="0" applyFont="1" applyFill="1" applyAlignment="1">
      <alignment/>
    </xf>
    <xf numFmtId="0" fontId="114" fillId="0" borderId="0" xfId="0" applyFont="1" applyFill="1" applyAlignment="1">
      <alignment/>
    </xf>
    <xf numFmtId="0" fontId="129" fillId="0" borderId="0" xfId="0" applyFont="1" applyAlignment="1">
      <alignment vertical="center"/>
    </xf>
    <xf numFmtId="0" fontId="130" fillId="0" borderId="10" xfId="0" applyFont="1" applyBorder="1" applyAlignment="1">
      <alignment horizontal="justify" vertical="center" wrapText="1"/>
    </xf>
    <xf numFmtId="0" fontId="130" fillId="0" borderId="10" xfId="0" applyFont="1" applyBorder="1" applyAlignment="1">
      <alignment horizontal="center" vertical="center" wrapText="1"/>
    </xf>
    <xf numFmtId="0" fontId="130" fillId="0" borderId="10" xfId="0" applyFont="1" applyBorder="1" applyAlignment="1">
      <alignment horizontal="right" vertical="center" wrapText="1"/>
    </xf>
    <xf numFmtId="0" fontId="131" fillId="35" borderId="10" xfId="0" applyFont="1" applyFill="1" applyBorder="1" applyAlignment="1">
      <alignment horizontal="justify" vertical="center" wrapText="1"/>
    </xf>
    <xf numFmtId="0" fontId="132" fillId="35" borderId="10" xfId="0" applyFont="1" applyFill="1" applyBorder="1" applyAlignment="1">
      <alignment horizontal="right" vertical="center" wrapText="1"/>
    </xf>
    <xf numFmtId="0" fontId="132" fillId="35" borderId="10" xfId="0" applyFont="1" applyFill="1" applyBorder="1" applyAlignment="1">
      <alignment horizontal="center" vertical="center" wrapText="1"/>
    </xf>
    <xf numFmtId="0" fontId="130" fillId="38" borderId="0" xfId="0" applyFont="1" applyFill="1" applyAlignment="1">
      <alignment vertical="center" wrapText="1"/>
    </xf>
    <xf numFmtId="0" fontId="130" fillId="38" borderId="0" xfId="0" applyFont="1" applyFill="1" applyAlignment="1">
      <alignment vertical="center"/>
    </xf>
    <xf numFmtId="0" fontId="16" fillId="38" borderId="0" xfId="0" applyFont="1" applyFill="1" applyAlignment="1">
      <alignment vertical="center" wrapText="1"/>
    </xf>
    <xf numFmtId="0" fontId="60" fillId="33" borderId="0" xfId="0" applyFont="1" applyFill="1" applyAlignment="1">
      <alignment vertical="center" wrapText="1"/>
    </xf>
    <xf numFmtId="0" fontId="0" fillId="0" borderId="0" xfId="0" applyAlignment="1">
      <alignment/>
    </xf>
    <xf numFmtId="0" fontId="125" fillId="33" borderId="0" xfId="0" applyFont="1" applyFill="1" applyAlignment="1">
      <alignment horizontal="center"/>
    </xf>
    <xf numFmtId="0" fontId="0" fillId="38" borderId="34" xfId="0" applyFill="1" applyBorder="1" applyAlignment="1">
      <alignment horizontal="center" vertical="center" wrapText="1"/>
    </xf>
    <xf numFmtId="0" fontId="0" fillId="0" borderId="0" xfId="0" applyAlignment="1">
      <alignment/>
    </xf>
    <xf numFmtId="0" fontId="125" fillId="33" borderId="0" xfId="0" applyFont="1" applyFill="1" applyAlignment="1">
      <alignment horizontal="center"/>
    </xf>
    <xf numFmtId="0" fontId="114" fillId="36" borderId="0" xfId="0" applyFont="1" applyFill="1" applyAlignment="1">
      <alignment horizontal="center" vertical="center" wrapText="1"/>
    </xf>
    <xf numFmtId="0" fontId="102" fillId="38" borderId="0" xfId="0" applyFont="1" applyFill="1" applyAlignment="1">
      <alignment horizontal="center" vertical="center" wrapText="1"/>
    </xf>
    <xf numFmtId="0" fontId="100" fillId="38" borderId="0" xfId="0" applyFont="1" applyFill="1" applyAlignment="1">
      <alignment horizontal="center" vertical="center"/>
    </xf>
    <xf numFmtId="0" fontId="4" fillId="33" borderId="0" xfId="0" applyFont="1" applyFill="1" applyBorder="1" applyAlignment="1">
      <alignment vertical="center"/>
    </xf>
    <xf numFmtId="0" fontId="101" fillId="0" borderId="0" xfId="0" applyFont="1" applyBorder="1" applyAlignment="1">
      <alignment/>
    </xf>
    <xf numFmtId="175" fontId="2" fillId="33" borderId="0" xfId="49" applyNumberFormat="1" applyFont="1" applyFill="1" applyBorder="1" applyAlignment="1">
      <alignment/>
    </xf>
    <xf numFmtId="0" fontId="121" fillId="35" borderId="0" xfId="49" applyNumberFormat="1" applyFont="1" applyFill="1" applyAlignment="1">
      <alignment horizontal="center"/>
    </xf>
    <xf numFmtId="0" fontId="0" fillId="38" borderId="34" xfId="0" applyFill="1" applyBorder="1" applyAlignment="1">
      <alignment vertical="center" wrapText="1"/>
    </xf>
    <xf numFmtId="0" fontId="0" fillId="38" borderId="10" xfId="0" applyFill="1" applyBorder="1" applyAlignment="1">
      <alignment vertical="center" wrapText="1"/>
    </xf>
    <xf numFmtId="0" fontId="16" fillId="38" borderId="0" xfId="0" applyFont="1" applyFill="1" applyAlignment="1">
      <alignment horizontal="center"/>
    </xf>
    <xf numFmtId="0" fontId="133" fillId="0" borderId="10" xfId="0" applyFont="1" applyBorder="1" applyAlignment="1">
      <alignment horizontal="center" vertical="center" wrapText="1"/>
    </xf>
    <xf numFmtId="0" fontId="0" fillId="0" borderId="0" xfId="0" applyAlignment="1">
      <alignment horizontal="center"/>
    </xf>
    <xf numFmtId="0" fontId="114" fillId="35" borderId="0" xfId="0" applyFont="1" applyFill="1" applyAlignment="1">
      <alignment vertical="center"/>
    </xf>
    <xf numFmtId="0" fontId="101" fillId="0" borderId="0" xfId="0" applyFont="1" applyAlignment="1">
      <alignment/>
    </xf>
    <xf numFmtId="0" fontId="4" fillId="33" borderId="12" xfId="78" applyFont="1" applyFill="1" applyBorder="1" applyAlignment="1">
      <alignment horizontal="center"/>
      <protection/>
    </xf>
    <xf numFmtId="0" fontId="134" fillId="33" borderId="0" xfId="0" applyFont="1" applyFill="1" applyAlignment="1">
      <alignment/>
    </xf>
    <xf numFmtId="0" fontId="2" fillId="33" borderId="0" xfId="78" applyFont="1" applyFill="1" applyAlignment="1">
      <alignment horizontal="center"/>
      <protection/>
    </xf>
    <xf numFmtId="0" fontId="105" fillId="0" borderId="0" xfId="0" applyFont="1" applyAlignment="1">
      <alignment horizontal="center" vertical="center"/>
    </xf>
    <xf numFmtId="0" fontId="101" fillId="0" borderId="35" xfId="0" applyFont="1" applyBorder="1" applyAlignment="1">
      <alignment/>
    </xf>
    <xf numFmtId="0" fontId="4" fillId="33" borderId="18" xfId="0" applyFont="1" applyFill="1" applyBorder="1" applyAlignment="1">
      <alignment horizontal="center" vertical="center"/>
    </xf>
    <xf numFmtId="0" fontId="4" fillId="33" borderId="14" xfId="0" applyFont="1" applyFill="1" applyBorder="1" applyAlignment="1">
      <alignment vertical="center"/>
    </xf>
    <xf numFmtId="0" fontId="101" fillId="0" borderId="14" xfId="0" applyFont="1" applyBorder="1" applyAlignment="1">
      <alignment/>
    </xf>
    <xf numFmtId="0" fontId="101" fillId="0" borderId="36" xfId="0" applyFont="1" applyBorder="1" applyAlignment="1">
      <alignment/>
    </xf>
    <xf numFmtId="0" fontId="102" fillId="0" borderId="34" xfId="0" applyFont="1" applyBorder="1" applyAlignment="1">
      <alignment horizontal="center" vertical="center"/>
    </xf>
    <xf numFmtId="0" fontId="102" fillId="0" borderId="19" xfId="0" applyFont="1" applyBorder="1" applyAlignment="1">
      <alignment horizontal="center" vertical="center"/>
    </xf>
    <xf numFmtId="0" fontId="89" fillId="0" borderId="19" xfId="46" applyBorder="1" applyAlignment="1">
      <alignment horizontal="center"/>
    </xf>
    <xf numFmtId="0" fontId="89" fillId="0" borderId="19" xfId="46" applyBorder="1" applyAlignment="1" quotePrefix="1">
      <alignment horizontal="center"/>
    </xf>
    <xf numFmtId="0" fontId="126" fillId="0" borderId="19" xfId="46" applyFont="1" applyBorder="1" applyAlignment="1" quotePrefix="1">
      <alignment horizontal="center"/>
    </xf>
    <xf numFmtId="1" fontId="121" fillId="35" borderId="0" xfId="49" applyNumberFormat="1" applyFont="1" applyFill="1" applyAlignment="1">
      <alignment horizontal="center"/>
    </xf>
    <xf numFmtId="173" fontId="89" fillId="0" borderId="0" xfId="46" applyNumberFormat="1" applyAlignment="1">
      <alignment horizontal="center" vertical="center"/>
    </xf>
    <xf numFmtId="0" fontId="135" fillId="35" borderId="0" xfId="0" applyFont="1" applyFill="1" applyAlignment="1">
      <alignment vertical="center"/>
    </xf>
    <xf numFmtId="0" fontId="85" fillId="36" borderId="0" xfId="0" applyFont="1" applyFill="1" applyAlignment="1">
      <alignment/>
    </xf>
    <xf numFmtId="0" fontId="136" fillId="0" borderId="0" xfId="0" applyFont="1" applyAlignment="1">
      <alignment/>
    </xf>
    <xf numFmtId="0" fontId="134" fillId="38" borderId="0" xfId="0" applyFont="1" applyFill="1" applyAlignment="1">
      <alignment horizontal="left" vertical="top" wrapText="1"/>
    </xf>
    <xf numFmtId="0" fontId="0" fillId="0" borderId="12" xfId="0" applyBorder="1" applyAlignment="1">
      <alignment/>
    </xf>
    <xf numFmtId="0" fontId="0" fillId="0" borderId="12" xfId="0" applyBorder="1" applyAlignment="1">
      <alignment horizontal="center"/>
    </xf>
    <xf numFmtId="0" fontId="0" fillId="38" borderId="0" xfId="0" applyFont="1" applyFill="1" applyAlignment="1">
      <alignment horizontal="left" vertical="center"/>
    </xf>
    <xf numFmtId="0" fontId="0" fillId="38" borderId="0" xfId="0" applyFont="1" applyFill="1" applyAlignment="1">
      <alignment/>
    </xf>
    <xf numFmtId="0" fontId="100" fillId="38" borderId="12" xfId="0" applyFont="1" applyFill="1" applyBorder="1" applyAlignment="1">
      <alignment/>
    </xf>
    <xf numFmtId="0" fontId="0" fillId="0" borderId="0" xfId="0" applyAlignment="1">
      <alignment/>
    </xf>
    <xf numFmtId="0" fontId="127" fillId="38" borderId="0" xfId="0" applyFont="1" applyFill="1" applyAlignment="1">
      <alignment horizontal="center"/>
    </xf>
    <xf numFmtId="0" fontId="114" fillId="35" borderId="35" xfId="0" applyFont="1" applyFill="1" applyBorder="1" applyAlignment="1">
      <alignment vertical="center"/>
    </xf>
    <xf numFmtId="0" fontId="114" fillId="35" borderId="18" xfId="0" applyFont="1" applyFill="1" applyBorder="1" applyAlignment="1">
      <alignment vertical="center"/>
    </xf>
    <xf numFmtId="0" fontId="114" fillId="35" borderId="37" xfId="0" applyFont="1" applyFill="1" applyBorder="1" applyAlignment="1">
      <alignment vertical="center"/>
    </xf>
    <xf numFmtId="0" fontId="114" fillId="35" borderId="0" xfId="0" applyFont="1" applyFill="1" applyBorder="1" applyAlignment="1">
      <alignment vertical="center"/>
    </xf>
    <xf numFmtId="0" fontId="102" fillId="0" borderId="0" xfId="0" applyFont="1" applyBorder="1" applyAlignment="1">
      <alignment vertical="center"/>
    </xf>
    <xf numFmtId="0" fontId="0" fillId="0" borderId="0" xfId="0" applyAlignment="1">
      <alignment/>
    </xf>
    <xf numFmtId="0" fontId="114" fillId="35" borderId="0" xfId="0" applyFont="1" applyFill="1" applyAlignment="1">
      <alignment horizontal="center" vertical="center" wrapText="1"/>
    </xf>
    <xf numFmtId="0" fontId="114" fillId="35" borderId="0" xfId="0" applyFont="1" applyFill="1" applyBorder="1" applyAlignment="1">
      <alignment horizontal="left" vertical="center"/>
    </xf>
    <xf numFmtId="0" fontId="130" fillId="0" borderId="10" xfId="0" applyFont="1" applyBorder="1" applyAlignment="1">
      <alignment horizontal="justify" vertical="center" wrapText="1"/>
    </xf>
    <xf numFmtId="0" fontId="136" fillId="33" borderId="0" xfId="0" applyFont="1" applyFill="1" applyAlignment="1">
      <alignment/>
    </xf>
    <xf numFmtId="0" fontId="136" fillId="0" borderId="0" xfId="0" applyFont="1" applyBorder="1" applyAlignment="1">
      <alignment/>
    </xf>
    <xf numFmtId="3" fontId="101" fillId="0" borderId="0" xfId="50" applyNumberFormat="1" applyFont="1" applyFill="1" applyAlignment="1">
      <alignment horizontal="center"/>
    </xf>
    <xf numFmtId="3" fontId="101" fillId="0" borderId="0" xfId="49" applyNumberFormat="1" applyFont="1" applyFill="1" applyAlignment="1">
      <alignment horizontal="center"/>
    </xf>
    <xf numFmtId="3" fontId="101" fillId="0" borderId="0" xfId="0" applyNumberFormat="1" applyFont="1" applyFill="1" applyAlignment="1">
      <alignment horizontal="center"/>
    </xf>
    <xf numFmtId="3" fontId="4" fillId="0" borderId="0" xfId="0" applyNumberFormat="1" applyFont="1" applyFill="1" applyAlignment="1">
      <alignment horizontal="center"/>
    </xf>
    <xf numFmtId="3" fontId="102" fillId="0" borderId="0" xfId="49" applyNumberFormat="1" applyFont="1" applyFill="1" applyAlignment="1">
      <alignment horizontal="center"/>
    </xf>
    <xf numFmtId="3" fontId="4" fillId="0" borderId="0" xfId="49" applyNumberFormat="1" applyFont="1" applyFill="1" applyBorder="1" applyAlignment="1">
      <alignment horizontal="center"/>
    </xf>
    <xf numFmtId="3" fontId="4" fillId="0" borderId="0" xfId="49" applyNumberFormat="1" applyFont="1" applyFill="1" applyAlignment="1">
      <alignment horizontal="center"/>
    </xf>
    <xf numFmtId="0" fontId="16" fillId="38" borderId="0" xfId="0" applyFont="1" applyFill="1" applyBorder="1" applyAlignment="1">
      <alignment/>
    </xf>
    <xf numFmtId="0" fontId="11" fillId="38" borderId="0" xfId="0" applyFont="1" applyFill="1" applyBorder="1" applyAlignment="1">
      <alignment vertical="center" wrapText="1"/>
    </xf>
    <xf numFmtId="0" fontId="11" fillId="38" borderId="0" xfId="0" applyFont="1" applyFill="1" applyBorder="1" applyAlignment="1">
      <alignment horizontal="center" vertical="center" wrapText="1"/>
    </xf>
    <xf numFmtId="0" fontId="14" fillId="0" borderId="38" xfId="0" applyFont="1" applyBorder="1" applyAlignment="1">
      <alignment vertical="center" wrapText="1"/>
    </xf>
    <xf numFmtId="9" fontId="123" fillId="38" borderId="0" xfId="145" applyFont="1" applyFill="1" applyBorder="1" applyAlignment="1">
      <alignment/>
    </xf>
    <xf numFmtId="175" fontId="103" fillId="38" borderId="0" xfId="53" applyNumberFormat="1" applyFont="1" applyFill="1" applyBorder="1" applyAlignment="1">
      <alignment horizontal="center"/>
    </xf>
    <xf numFmtId="0" fontId="123" fillId="38" borderId="0" xfId="0" applyFont="1" applyFill="1" applyBorder="1" applyAlignment="1">
      <alignment/>
    </xf>
    <xf numFmtId="0" fontId="137" fillId="38" borderId="0" xfId="0" applyFont="1" applyFill="1" applyBorder="1" applyAlignment="1">
      <alignment/>
    </xf>
    <xf numFmtId="0" fontId="95" fillId="38" borderId="0" xfId="0" applyFont="1" applyFill="1" applyAlignment="1">
      <alignment wrapText="1"/>
    </xf>
    <xf numFmtId="0" fontId="60" fillId="38" borderId="0" xfId="0" applyFont="1" applyFill="1" applyAlignment="1">
      <alignment wrapText="1"/>
    </xf>
    <xf numFmtId="0" fontId="16" fillId="38" borderId="0" xfId="0" applyFont="1" applyFill="1" applyAlignment="1">
      <alignment horizontal="center" wrapText="1"/>
    </xf>
    <xf numFmtId="3" fontId="16" fillId="38" borderId="0" xfId="0" applyNumberFormat="1" applyFont="1" applyFill="1" applyAlignment="1">
      <alignment horizontal="center"/>
    </xf>
    <xf numFmtId="0" fontId="17" fillId="38" borderId="0" xfId="0" applyFont="1" applyFill="1" applyAlignment="1">
      <alignment wrapText="1"/>
    </xf>
    <xf numFmtId="0" fontId="17" fillId="38" borderId="0" xfId="0" applyFont="1" applyFill="1" applyAlignment="1">
      <alignment horizontal="center" wrapText="1"/>
    </xf>
    <xf numFmtId="0" fontId="9" fillId="0" borderId="0" xfId="0" applyFont="1" applyAlignment="1">
      <alignment/>
    </xf>
    <xf numFmtId="0" fontId="135" fillId="0" borderId="0" xfId="0" applyFont="1" applyFill="1" applyAlignment="1">
      <alignment/>
    </xf>
    <xf numFmtId="175" fontId="135" fillId="0" borderId="0" xfId="49" applyNumberFormat="1" applyFont="1" applyFill="1" applyBorder="1" applyAlignment="1">
      <alignment/>
    </xf>
    <xf numFmtId="0" fontId="138" fillId="0" borderId="0" xfId="0" applyFont="1" applyAlignment="1">
      <alignment/>
    </xf>
    <xf numFmtId="0" fontId="101" fillId="33" borderId="11" xfId="0" applyFont="1" applyFill="1" applyBorder="1" applyAlignment="1">
      <alignment/>
    </xf>
    <xf numFmtId="0" fontId="101" fillId="33" borderId="17" xfId="0" applyFont="1" applyFill="1" applyBorder="1" applyAlignment="1">
      <alignment/>
    </xf>
    <xf numFmtId="0" fontId="101" fillId="33" borderId="39" xfId="0" applyFont="1" applyFill="1" applyBorder="1" applyAlignment="1">
      <alignment/>
    </xf>
    <xf numFmtId="0" fontId="102" fillId="33" borderId="35" xfId="0" applyFont="1" applyFill="1" applyBorder="1" applyAlignment="1">
      <alignment vertical="center"/>
    </xf>
    <xf numFmtId="0" fontId="102" fillId="33" borderId="11" xfId="0" applyFont="1" applyFill="1" applyBorder="1" applyAlignment="1">
      <alignment vertical="center"/>
    </xf>
    <xf numFmtId="14" fontId="102" fillId="33" borderId="39" xfId="0" applyNumberFormat="1" applyFont="1" applyFill="1" applyBorder="1" applyAlignment="1">
      <alignment vertical="center"/>
    </xf>
    <xf numFmtId="0" fontId="101" fillId="33" borderId="18" xfId="0" applyFont="1" applyFill="1" applyBorder="1" applyAlignment="1">
      <alignment/>
    </xf>
    <xf numFmtId="0" fontId="101" fillId="0" borderId="0" xfId="0" applyFont="1" applyFill="1" applyBorder="1" applyAlignment="1">
      <alignment/>
    </xf>
    <xf numFmtId="0" fontId="101" fillId="0" borderId="10" xfId="0" applyFont="1" applyFill="1" applyBorder="1" applyAlignment="1">
      <alignment horizontal="center"/>
    </xf>
    <xf numFmtId="174" fontId="101" fillId="0" borderId="40" xfId="49" applyNumberFormat="1" applyFont="1" applyFill="1" applyBorder="1" applyAlignment="1">
      <alignment/>
    </xf>
    <xf numFmtId="174" fontId="101" fillId="33" borderId="39" xfId="49" applyNumberFormat="1" applyFont="1" applyFill="1" applyBorder="1" applyAlignment="1">
      <alignment/>
    </xf>
    <xf numFmtId="0" fontId="101" fillId="33" borderId="10" xfId="0" applyFont="1" applyFill="1" applyBorder="1" applyAlignment="1">
      <alignment wrapText="1"/>
    </xf>
    <xf numFmtId="174" fontId="101" fillId="33" borderId="16" xfId="49" applyNumberFormat="1"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wrapText="1"/>
    </xf>
    <xf numFmtId="174" fontId="101" fillId="33" borderId="11" xfId="49" applyNumberFormat="1" applyFont="1" applyFill="1" applyBorder="1" applyAlignment="1">
      <alignment vertical="center"/>
    </xf>
    <xf numFmtId="9" fontId="101" fillId="0" borderId="39" xfId="145" applyFont="1" applyFill="1" applyBorder="1" applyAlignment="1">
      <alignment horizontal="center"/>
    </xf>
    <xf numFmtId="0" fontId="134" fillId="33" borderId="11" xfId="0" applyFont="1" applyFill="1" applyBorder="1" applyAlignment="1">
      <alignment/>
    </xf>
    <xf numFmtId="0" fontId="102" fillId="33" borderId="0" xfId="0" applyFont="1" applyFill="1" applyBorder="1" applyAlignment="1">
      <alignment vertical="center"/>
    </xf>
    <xf numFmtId="0" fontId="114" fillId="0" borderId="0" xfId="0" applyFont="1" applyFill="1" applyBorder="1" applyAlignment="1">
      <alignment vertical="center"/>
    </xf>
    <xf numFmtId="0" fontId="114" fillId="35" borderId="10" xfId="0" applyFont="1" applyFill="1" applyBorder="1" applyAlignment="1">
      <alignment horizontal="center" vertical="center"/>
    </xf>
    <xf numFmtId="0" fontId="0" fillId="0" borderId="0" xfId="0" applyAlignment="1">
      <alignment/>
    </xf>
    <xf numFmtId="0" fontId="114" fillId="35" borderId="12" xfId="78" applyNumberFormat="1" applyFont="1" applyFill="1" applyBorder="1" applyAlignment="1" quotePrefix="1">
      <alignment horizontal="center"/>
      <protection/>
    </xf>
    <xf numFmtId="0" fontId="114" fillId="35" borderId="0" xfId="0" applyFont="1" applyFill="1" applyBorder="1" applyAlignment="1">
      <alignment horizontal="center" vertical="center"/>
    </xf>
    <xf numFmtId="0" fontId="127" fillId="33" borderId="0" xfId="0" applyFont="1" applyFill="1" applyAlignment="1">
      <alignment/>
    </xf>
    <xf numFmtId="0" fontId="85" fillId="35" borderId="0" xfId="0" applyFont="1" applyFill="1" applyAlignment="1">
      <alignment horizontal="center"/>
    </xf>
    <xf numFmtId="0" fontId="85" fillId="35" borderId="0" xfId="0" applyFont="1" applyFill="1" applyAlignment="1">
      <alignment horizontal="center" vertical="center"/>
    </xf>
    <xf numFmtId="0" fontId="85" fillId="35" borderId="0" xfId="0" applyFont="1" applyFill="1" applyAlignment="1">
      <alignment vertical="center"/>
    </xf>
    <xf numFmtId="0" fontId="127" fillId="38" borderId="11" xfId="0" applyFont="1" applyFill="1" applyBorder="1" applyAlignment="1">
      <alignment/>
    </xf>
    <xf numFmtId="0" fontId="127" fillId="38" borderId="39" xfId="0" applyFont="1" applyFill="1" applyBorder="1" applyAlignment="1">
      <alignment/>
    </xf>
    <xf numFmtId="0" fontId="114" fillId="35" borderId="12" xfId="78" applyNumberFormat="1" applyFont="1" applyFill="1" applyBorder="1" applyAlignment="1" quotePrefix="1">
      <alignment horizontal="right"/>
      <protection/>
    </xf>
    <xf numFmtId="0" fontId="139" fillId="39" borderId="41" xfId="66" applyFont="1" applyFill="1" applyBorder="1" applyAlignment="1">
      <alignment vertical="center"/>
      <protection/>
    </xf>
    <xf numFmtId="0" fontId="11" fillId="39" borderId="41" xfId="66" applyFont="1" applyFill="1" applyBorder="1" applyAlignment="1">
      <alignment vertical="center"/>
      <protection/>
    </xf>
    <xf numFmtId="0" fontId="139" fillId="40" borderId="42" xfId="66" applyFont="1" applyFill="1" applyBorder="1" applyAlignment="1">
      <alignment horizontal="center" vertical="center" wrapText="1"/>
      <protection/>
    </xf>
    <xf numFmtId="0" fontId="139" fillId="40" borderId="43" xfId="66" applyFont="1" applyFill="1" applyBorder="1" applyAlignment="1">
      <alignment horizontal="center" vertical="center" wrapText="1"/>
      <protection/>
    </xf>
    <xf numFmtId="0" fontId="139" fillId="40" borderId="44" xfId="66" applyFont="1" applyFill="1" applyBorder="1" applyAlignment="1">
      <alignment horizontal="center" vertical="center"/>
      <protection/>
    </xf>
    <xf numFmtId="0" fontId="139" fillId="40" borderId="45" xfId="66" applyFont="1" applyFill="1" applyBorder="1" applyAlignment="1">
      <alignment vertical="center"/>
      <protection/>
    </xf>
    <xf numFmtId="0" fontId="139" fillId="40" borderId="45" xfId="66" applyFont="1" applyFill="1" applyBorder="1" applyAlignment="1">
      <alignment vertical="center" wrapText="1"/>
      <protection/>
    </xf>
    <xf numFmtId="0" fontId="139" fillId="40" borderId="46" xfId="66" applyFont="1" applyFill="1" applyBorder="1" applyAlignment="1">
      <alignment horizontal="center" vertical="center" wrapText="1"/>
      <protection/>
    </xf>
    <xf numFmtId="0" fontId="114" fillId="35" borderId="47" xfId="78" applyNumberFormat="1" applyFont="1" applyFill="1" applyBorder="1" applyAlignment="1" quotePrefix="1">
      <alignment horizontal="center"/>
      <protection/>
    </xf>
    <xf numFmtId="0" fontId="114" fillId="35" borderId="48" xfId="78" applyNumberFormat="1" applyFont="1" applyFill="1" applyBorder="1" applyAlignment="1" quotePrefix="1">
      <alignment horizontal="center"/>
      <protection/>
    </xf>
    <xf numFmtId="0" fontId="114" fillId="35" borderId="12" xfId="78" applyFont="1" applyFill="1" applyBorder="1" applyAlignment="1">
      <alignment horizontal="center"/>
      <protection/>
    </xf>
    <xf numFmtId="0" fontId="85" fillId="35" borderId="12" xfId="0" applyFont="1" applyFill="1" applyBorder="1" applyAlignment="1">
      <alignment horizontal="center" vertical="center"/>
    </xf>
    <xf numFmtId="0" fontId="85" fillId="35" borderId="0" xfId="0" applyFont="1" applyFill="1" applyAlignment="1">
      <alignment/>
    </xf>
    <xf numFmtId="0" fontId="114" fillId="0" borderId="0" xfId="0" applyFont="1" applyFill="1" applyAlignment="1">
      <alignment vertical="center" wrapText="1"/>
    </xf>
    <xf numFmtId="0" fontId="140" fillId="35" borderId="49" xfId="0" applyFont="1" applyFill="1" applyBorder="1" applyAlignment="1">
      <alignment horizontal="center" vertical="center" wrapText="1"/>
    </xf>
    <xf numFmtId="0" fontId="85" fillId="35" borderId="50" xfId="0" applyFont="1" applyFill="1" applyBorder="1" applyAlignment="1">
      <alignment/>
    </xf>
    <xf numFmtId="0" fontId="140" fillId="35" borderId="51" xfId="0" applyFont="1" applyFill="1" applyBorder="1" applyAlignment="1">
      <alignment horizontal="center" vertical="center" wrapText="1"/>
    </xf>
    <xf numFmtId="0" fontId="140" fillId="35" borderId="52" xfId="0" applyFont="1" applyFill="1" applyBorder="1" applyAlignment="1">
      <alignment vertical="center" wrapText="1"/>
    </xf>
    <xf numFmtId="0" fontId="140" fillId="35" borderId="51" xfId="0" applyFont="1" applyFill="1" applyBorder="1" applyAlignment="1">
      <alignment vertical="center" wrapText="1"/>
    </xf>
    <xf numFmtId="0" fontId="85" fillId="35" borderId="53" xfId="0" applyFont="1" applyFill="1" applyBorder="1" applyAlignment="1">
      <alignment/>
    </xf>
    <xf numFmtId="0" fontId="118" fillId="38" borderId="0" xfId="0" applyFont="1" applyFill="1" applyBorder="1" applyAlignment="1">
      <alignment horizontal="center"/>
    </xf>
    <xf numFmtId="0" fontId="114" fillId="35" borderId="0" xfId="0" applyFont="1" applyFill="1" applyBorder="1" applyAlignment="1">
      <alignment/>
    </xf>
    <xf numFmtId="9" fontId="137" fillId="38" borderId="0" xfId="145" applyFont="1" applyFill="1" applyBorder="1" applyAlignment="1">
      <alignment/>
    </xf>
    <xf numFmtId="0" fontId="16" fillId="38" borderId="54" xfId="0" applyFont="1" applyFill="1" applyBorder="1" applyAlignment="1">
      <alignment/>
    </xf>
    <xf numFmtId="0" fontId="4" fillId="0" borderId="0" xfId="0" applyFont="1" applyFill="1" applyAlignment="1">
      <alignment/>
    </xf>
    <xf numFmtId="0" fontId="135" fillId="35" borderId="0" xfId="0" applyFont="1" applyFill="1" applyAlignment="1">
      <alignment/>
    </xf>
    <xf numFmtId="175" fontId="135" fillId="35" borderId="0" xfId="49" applyNumberFormat="1" applyFont="1" applyFill="1" applyBorder="1" applyAlignment="1">
      <alignment/>
    </xf>
    <xf numFmtId="0" fontId="101" fillId="0" borderId="0" xfId="0" applyFont="1" applyFill="1" applyAlignment="1">
      <alignment horizontal="center"/>
    </xf>
    <xf numFmtId="0" fontId="89" fillId="0" borderId="0" xfId="46" applyAlignment="1">
      <alignment horizontal="right"/>
    </xf>
    <xf numFmtId="0" fontId="101" fillId="0" borderId="0" xfId="0" applyFont="1" applyAlignment="1">
      <alignment horizontal="justify" vertical="center"/>
    </xf>
    <xf numFmtId="0" fontId="0" fillId="41" borderId="0" xfId="0" applyFont="1" applyFill="1" applyBorder="1" applyAlignment="1">
      <alignment/>
    </xf>
    <xf numFmtId="0" fontId="0" fillId="41" borderId="19" xfId="0" applyFont="1" applyFill="1" applyBorder="1" applyAlignment="1">
      <alignment/>
    </xf>
    <xf numFmtId="0" fontId="0" fillId="41" borderId="10" xfId="0" applyFont="1" applyFill="1" applyBorder="1" applyAlignment="1">
      <alignment horizontal="center"/>
    </xf>
    <xf numFmtId="0" fontId="141" fillId="41" borderId="10" xfId="0" applyFont="1" applyFill="1" applyBorder="1" applyAlignment="1">
      <alignment/>
    </xf>
    <xf numFmtId="0" fontId="0" fillId="41" borderId="10" xfId="0" applyFont="1" applyFill="1" applyBorder="1" applyAlignment="1">
      <alignment/>
    </xf>
    <xf numFmtId="0" fontId="16" fillId="41" borderId="0" xfId="0" applyFont="1" applyFill="1" applyBorder="1" applyAlignment="1">
      <alignment/>
    </xf>
    <xf numFmtId="0" fontId="17" fillId="41" borderId="40" xfId="0" applyFont="1" applyFill="1" applyBorder="1" applyAlignment="1">
      <alignment/>
    </xf>
    <xf numFmtId="0" fontId="17" fillId="41" borderId="10" xfId="0" applyFont="1" applyFill="1" applyBorder="1" applyAlignment="1">
      <alignment/>
    </xf>
    <xf numFmtId="0" fontId="16" fillId="41" borderId="10" xfId="0" applyFont="1" applyFill="1" applyBorder="1" applyAlignment="1">
      <alignment/>
    </xf>
    <xf numFmtId="0" fontId="125" fillId="41" borderId="0" xfId="0" applyFont="1" applyFill="1" applyBorder="1" applyAlignment="1">
      <alignment/>
    </xf>
    <xf numFmtId="0" fontId="142" fillId="42" borderId="0" xfId="0" applyFont="1" applyFill="1" applyBorder="1" applyAlignment="1">
      <alignment/>
    </xf>
    <xf numFmtId="0" fontId="142" fillId="39" borderId="0" xfId="0" applyFont="1" applyFill="1" applyBorder="1" applyAlignment="1">
      <alignment/>
    </xf>
    <xf numFmtId="0" fontId="89" fillId="0" borderId="0" xfId="46" applyAlignment="1">
      <alignment horizontal="center" vertical="center"/>
    </xf>
    <xf numFmtId="0" fontId="89" fillId="0" borderId="40" xfId="46" applyBorder="1" applyAlignment="1">
      <alignment horizontal="center" vertical="center"/>
    </xf>
    <xf numFmtId="0" fontId="106" fillId="0" borderId="0" xfId="0" applyFont="1" applyFill="1" applyAlignment="1">
      <alignment/>
    </xf>
    <xf numFmtId="14" fontId="107" fillId="36" borderId="0" xfId="0" applyNumberFormat="1" applyFont="1" applyFill="1" applyAlignment="1">
      <alignment/>
    </xf>
    <xf numFmtId="0" fontId="102" fillId="0" borderId="0" xfId="0" applyFont="1" applyAlignment="1">
      <alignment horizontal="right"/>
    </xf>
    <xf numFmtId="0" fontId="101" fillId="0" borderId="12" xfId="0" applyFont="1" applyBorder="1" applyAlignment="1">
      <alignment/>
    </xf>
    <xf numFmtId="0" fontId="0" fillId="38" borderId="0" xfId="0" applyFill="1" applyAlignment="1">
      <alignment horizontal="center"/>
    </xf>
    <xf numFmtId="0" fontId="125" fillId="33" borderId="0" xfId="0" applyFont="1" applyFill="1" applyAlignment="1">
      <alignment horizontal="center"/>
    </xf>
    <xf numFmtId="0" fontId="107" fillId="36" borderId="0" xfId="0" applyFont="1" applyFill="1" applyAlignment="1">
      <alignment horizontal="center"/>
    </xf>
    <xf numFmtId="0" fontId="0" fillId="0" borderId="0" xfId="0" applyAlignment="1">
      <alignment/>
    </xf>
    <xf numFmtId="0" fontId="106" fillId="0" borderId="0" xfId="0" applyFont="1" applyAlignment="1">
      <alignment/>
    </xf>
    <xf numFmtId="0" fontId="106" fillId="0" borderId="0" xfId="0" applyFont="1" applyBorder="1" applyAlignment="1">
      <alignment/>
    </xf>
    <xf numFmtId="3" fontId="0" fillId="0" borderId="0" xfId="0" applyNumberFormat="1" applyAlignment="1">
      <alignment/>
    </xf>
    <xf numFmtId="0" fontId="101" fillId="0" borderId="0" xfId="0" applyFont="1" applyBorder="1" applyAlignment="1">
      <alignment vertical="justify" wrapText="1"/>
    </xf>
    <xf numFmtId="3" fontId="106" fillId="0" borderId="0" xfId="0" applyNumberFormat="1" applyFont="1" applyBorder="1" applyAlignment="1">
      <alignment horizontal="center" vertical="center"/>
    </xf>
    <xf numFmtId="3" fontId="101" fillId="33" borderId="10" xfId="0" applyNumberFormat="1" applyFont="1" applyFill="1" applyBorder="1" applyAlignment="1">
      <alignment horizontal="center"/>
    </xf>
    <xf numFmtId="3" fontId="102" fillId="33" borderId="10" xfId="0" applyNumberFormat="1" applyFont="1" applyFill="1" applyBorder="1" applyAlignment="1">
      <alignment horizontal="center"/>
    </xf>
    <xf numFmtId="3" fontId="2" fillId="38" borderId="0" xfId="0" applyNumberFormat="1" applyFont="1" applyFill="1" applyAlignment="1">
      <alignment/>
    </xf>
    <xf numFmtId="3" fontId="0" fillId="0" borderId="0" xfId="0" applyNumberFormat="1" applyAlignment="1">
      <alignment horizontal="center"/>
    </xf>
    <xf numFmtId="3" fontId="101" fillId="33" borderId="0" xfId="0" applyNumberFormat="1" applyFont="1" applyFill="1" applyAlignment="1">
      <alignment horizontal="center"/>
    </xf>
    <xf numFmtId="0" fontId="104" fillId="0" borderId="0" xfId="0" applyFont="1" applyAlignment="1">
      <alignment vertical="center"/>
    </xf>
    <xf numFmtId="3" fontId="4" fillId="33" borderId="0" xfId="78" applyNumberFormat="1" applyFont="1" applyFill="1" applyBorder="1" applyAlignment="1" quotePrefix="1">
      <alignment horizontal="center"/>
      <protection/>
    </xf>
    <xf numFmtId="3" fontId="2" fillId="33" borderId="0" xfId="78" applyNumberFormat="1" applyFont="1" applyFill="1" applyBorder="1" applyAlignment="1" quotePrefix="1">
      <alignment horizontal="center"/>
      <protection/>
    </xf>
    <xf numFmtId="3" fontId="4" fillId="33" borderId="13" xfId="49" applyNumberFormat="1" applyFont="1" applyFill="1" applyBorder="1" applyAlignment="1">
      <alignment horizontal="center"/>
    </xf>
    <xf numFmtId="3" fontId="2" fillId="33" borderId="0" xfId="52" applyNumberFormat="1" applyFont="1" applyFill="1" applyAlignment="1">
      <alignment horizontal="center"/>
    </xf>
    <xf numFmtId="3" fontId="2" fillId="33" borderId="0" xfId="52" applyNumberFormat="1" applyFont="1" applyFill="1" applyBorder="1" applyAlignment="1">
      <alignment horizontal="center"/>
    </xf>
    <xf numFmtId="3" fontId="2" fillId="33" borderId="0" xfId="49" applyNumberFormat="1" applyFont="1" applyFill="1" applyBorder="1" applyAlignment="1">
      <alignment horizontal="center"/>
    </xf>
    <xf numFmtId="180" fontId="4" fillId="33" borderId="0" xfId="56" applyNumberFormat="1" applyFont="1" applyFill="1" applyBorder="1" applyAlignment="1">
      <alignment horizontal="center"/>
    </xf>
    <xf numFmtId="180" fontId="101" fillId="0" borderId="0" xfId="0" applyNumberFormat="1" applyFont="1" applyAlignment="1">
      <alignment/>
    </xf>
    <xf numFmtId="0" fontId="20" fillId="0" borderId="10" xfId="142" applyFont="1" applyBorder="1">
      <alignment/>
      <protection/>
    </xf>
    <xf numFmtId="3" fontId="101" fillId="38" borderId="0" xfId="0" applyNumberFormat="1" applyFont="1" applyFill="1" applyAlignment="1">
      <alignment horizontal="center" vertical="top" wrapText="1"/>
    </xf>
    <xf numFmtId="3" fontId="0" fillId="38" borderId="0" xfId="0" applyNumberFormat="1" applyFill="1" applyAlignment="1">
      <alignment horizontal="center"/>
    </xf>
    <xf numFmtId="180" fontId="0" fillId="38" borderId="18" xfId="50" applyNumberFormat="1" applyFont="1" applyFill="1" applyBorder="1" applyAlignment="1">
      <alignment horizontal="center"/>
    </xf>
    <xf numFmtId="3" fontId="0" fillId="38" borderId="0" xfId="0" applyNumberFormat="1" applyFill="1" applyAlignment="1">
      <alignment/>
    </xf>
    <xf numFmtId="3" fontId="2" fillId="33" borderId="0" xfId="49" applyNumberFormat="1" applyFont="1" applyFill="1" applyAlignment="1">
      <alignment horizontal="center"/>
    </xf>
    <xf numFmtId="3" fontId="101" fillId="33" borderId="0" xfId="50" applyNumberFormat="1" applyFont="1" applyFill="1" applyAlignment="1">
      <alignment horizontal="center"/>
    </xf>
    <xf numFmtId="3" fontId="102" fillId="33" borderId="13" xfId="0" applyNumberFormat="1" applyFont="1" applyFill="1" applyBorder="1" applyAlignment="1">
      <alignment horizontal="center"/>
    </xf>
    <xf numFmtId="3" fontId="4" fillId="33" borderId="13" xfId="79" applyNumberFormat="1" applyFont="1" applyFill="1" applyBorder="1" applyAlignment="1">
      <alignment horizontal="center"/>
      <protection/>
    </xf>
    <xf numFmtId="3" fontId="0" fillId="38" borderId="18" xfId="50" applyNumberFormat="1" applyFont="1" applyFill="1" applyBorder="1" applyAlignment="1">
      <alignment horizontal="center"/>
    </xf>
    <xf numFmtId="14" fontId="0" fillId="0" borderId="0" xfId="0" applyNumberFormat="1" applyAlignment="1">
      <alignment horizontal="center"/>
    </xf>
    <xf numFmtId="14" fontId="0" fillId="0" borderId="0" xfId="0" applyNumberFormat="1" applyFont="1" applyBorder="1" applyAlignment="1">
      <alignment horizontal="center" vertical="center"/>
    </xf>
    <xf numFmtId="14" fontId="0" fillId="0" borderId="0" xfId="0" applyNumberFormat="1" applyFont="1" applyAlignment="1">
      <alignment horizontal="center"/>
    </xf>
    <xf numFmtId="0" fontId="135" fillId="35" borderId="0" xfId="0" applyFont="1" applyFill="1" applyAlignment="1">
      <alignment horizontal="center" vertical="center"/>
    </xf>
    <xf numFmtId="3" fontId="0" fillId="0" borderId="0" xfId="0" applyNumberFormat="1" applyFont="1" applyBorder="1" applyAlignment="1">
      <alignment horizontal="center"/>
    </xf>
    <xf numFmtId="3" fontId="0" fillId="0" borderId="0" xfId="0" applyNumberFormat="1" applyFont="1" applyAlignment="1">
      <alignment horizontal="center"/>
    </xf>
    <xf numFmtId="3" fontId="100" fillId="0" borderId="0" xfId="0" applyNumberFormat="1" applyFont="1" applyAlignment="1">
      <alignment horizontal="center"/>
    </xf>
    <xf numFmtId="14" fontId="0" fillId="0" borderId="0" xfId="0" applyNumberFormat="1" applyAlignment="1" quotePrefix="1">
      <alignment horizontal="center"/>
    </xf>
    <xf numFmtId="14" fontId="0" fillId="0" borderId="0" xfId="0" applyNumberFormat="1" applyFont="1" applyFill="1" applyBorder="1" applyAlignment="1">
      <alignment horizontal="center" vertical="center"/>
    </xf>
    <xf numFmtId="3" fontId="0" fillId="0" borderId="0" xfId="0" applyNumberFormat="1" applyFont="1" applyFill="1" applyBorder="1" applyAlignment="1">
      <alignment horizontal="center"/>
    </xf>
    <xf numFmtId="173" fontId="105" fillId="0" borderId="0" xfId="0" applyNumberFormat="1" applyFont="1" applyFill="1" applyAlignment="1">
      <alignment/>
    </xf>
    <xf numFmtId="3" fontId="3" fillId="38" borderId="19" xfId="58" applyNumberFormat="1" applyFont="1" applyFill="1" applyBorder="1" applyAlignment="1">
      <alignment horizontal="center"/>
    </xf>
    <xf numFmtId="3" fontId="3" fillId="38" borderId="19" xfId="58" applyNumberFormat="1" applyFont="1" applyFill="1" applyBorder="1" applyAlignment="1">
      <alignment/>
    </xf>
    <xf numFmtId="3" fontId="11" fillId="38" borderId="19" xfId="58" applyNumberFormat="1" applyFont="1" applyFill="1" applyBorder="1" applyAlignment="1">
      <alignment/>
    </xf>
    <xf numFmtId="3" fontId="11" fillId="38" borderId="15" xfId="58" applyNumberFormat="1" applyFont="1" applyFill="1" applyBorder="1" applyAlignment="1">
      <alignment/>
    </xf>
    <xf numFmtId="3" fontId="3" fillId="38" borderId="15" xfId="58" applyNumberFormat="1" applyFont="1" applyFill="1" applyBorder="1" applyAlignment="1">
      <alignment/>
    </xf>
    <xf numFmtId="3" fontId="11" fillId="38" borderId="19" xfId="58" applyNumberFormat="1" applyFont="1" applyFill="1" applyBorder="1" applyAlignment="1" quotePrefix="1">
      <alignment/>
    </xf>
    <xf numFmtId="3" fontId="11" fillId="38" borderId="19" xfId="58" applyNumberFormat="1" applyFont="1" applyFill="1" applyBorder="1" applyAlignment="1">
      <alignment horizontal="center"/>
    </xf>
    <xf numFmtId="3" fontId="3" fillId="38" borderId="14" xfId="58" applyNumberFormat="1" applyFont="1" applyFill="1" applyBorder="1" applyAlignment="1">
      <alignment horizontal="center"/>
    </xf>
    <xf numFmtId="3" fontId="11" fillId="38" borderId="14" xfId="58" applyNumberFormat="1" applyFont="1" applyFill="1" applyBorder="1" applyAlignment="1">
      <alignment horizontal="center"/>
    </xf>
    <xf numFmtId="180" fontId="9" fillId="33" borderId="13" xfId="54" applyNumberFormat="1" applyFont="1" applyFill="1" applyBorder="1" applyAlignment="1">
      <alignment horizontal="center"/>
    </xf>
    <xf numFmtId="3" fontId="101" fillId="0" borderId="0" xfId="0" applyNumberFormat="1" applyFont="1" applyFill="1" applyBorder="1" applyAlignment="1">
      <alignment/>
    </xf>
    <xf numFmtId="3" fontId="101" fillId="0" borderId="0" xfId="0" applyNumberFormat="1" applyFont="1"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0" fillId="0" borderId="0" xfId="0" applyFill="1" applyBorder="1" applyAlignment="1">
      <alignment/>
    </xf>
    <xf numFmtId="14" fontId="101" fillId="0" borderId="0" xfId="0" applyNumberFormat="1" applyFont="1" applyFill="1" applyBorder="1" applyAlignment="1">
      <alignment horizontal="right"/>
    </xf>
    <xf numFmtId="14" fontId="0" fillId="0" borderId="0" xfId="0" applyNumberFormat="1" applyFill="1" applyAlignment="1">
      <alignment horizontal="center"/>
    </xf>
    <xf numFmtId="0" fontId="0" fillId="0" borderId="0" xfId="0" applyFont="1" applyAlignment="1">
      <alignment/>
    </xf>
    <xf numFmtId="3" fontId="0" fillId="0" borderId="12" xfId="0" applyNumberFormat="1" applyFont="1" applyBorder="1" applyAlignment="1">
      <alignment horizontal="center"/>
    </xf>
    <xf numFmtId="3" fontId="0" fillId="0" borderId="0" xfId="0" applyNumberFormat="1" applyFill="1" applyAlignment="1">
      <alignment horizontal="center"/>
    </xf>
    <xf numFmtId="3" fontId="0" fillId="0" borderId="0" xfId="0" applyNumberFormat="1" applyFill="1" applyBorder="1" applyAlignment="1">
      <alignment/>
    </xf>
    <xf numFmtId="3" fontId="4" fillId="0" borderId="0" xfId="0" applyNumberFormat="1" applyFont="1" applyFill="1" applyAlignment="1">
      <alignment/>
    </xf>
    <xf numFmtId="3" fontId="102" fillId="0" borderId="0" xfId="0" applyNumberFormat="1" applyFont="1" applyFill="1" applyBorder="1" applyAlignment="1">
      <alignment/>
    </xf>
    <xf numFmtId="3" fontId="125" fillId="33" borderId="0" xfId="0" applyNumberFormat="1" applyFont="1" applyFill="1" applyAlignment="1">
      <alignment horizontal="center"/>
    </xf>
    <xf numFmtId="3" fontId="4" fillId="33" borderId="0" xfId="78" applyNumberFormat="1" applyFont="1" applyFill="1" applyAlignment="1" quotePrefix="1">
      <alignment horizontal="center"/>
      <protection/>
    </xf>
    <xf numFmtId="3" fontId="0" fillId="0" borderId="0" xfId="0" applyNumberFormat="1" applyBorder="1" applyAlignment="1">
      <alignment horizontal="center"/>
    </xf>
    <xf numFmtId="3" fontId="2" fillId="33" borderId="13" xfId="49" applyNumberFormat="1" applyFont="1" applyFill="1" applyBorder="1" applyAlignment="1">
      <alignment horizontal="center"/>
    </xf>
    <xf numFmtId="3" fontId="0" fillId="0" borderId="12" xfId="0" applyNumberFormat="1" applyBorder="1" applyAlignment="1">
      <alignment horizontal="center"/>
    </xf>
    <xf numFmtId="3" fontId="0" fillId="38" borderId="12" xfId="0" applyNumberFormat="1" applyFont="1" applyFill="1" applyBorder="1" applyAlignment="1">
      <alignment/>
    </xf>
    <xf numFmtId="3" fontId="0" fillId="33" borderId="0" xfId="0" applyNumberFormat="1" applyFill="1" applyAlignment="1">
      <alignment/>
    </xf>
    <xf numFmtId="3" fontId="0" fillId="33" borderId="0" xfId="0" applyNumberFormat="1" applyFill="1" applyAlignment="1">
      <alignment horizontal="center"/>
    </xf>
    <xf numFmtId="180" fontId="0" fillId="33" borderId="18" xfId="50" applyNumberFormat="1" applyFont="1" applyFill="1" applyBorder="1" applyAlignment="1">
      <alignment horizontal="center"/>
    </xf>
    <xf numFmtId="3" fontId="105" fillId="0" borderId="0" xfId="0" applyNumberFormat="1" applyFont="1" applyFill="1" applyAlignment="1">
      <alignment/>
    </xf>
    <xf numFmtId="3" fontId="11" fillId="0" borderId="55" xfId="0" applyNumberFormat="1" applyFont="1" applyBorder="1" applyAlignment="1">
      <alignment horizontal="center" vertical="center" wrapText="1"/>
    </xf>
    <xf numFmtId="3" fontId="11" fillId="0" borderId="56" xfId="0" applyNumberFormat="1" applyFont="1" applyBorder="1" applyAlignment="1">
      <alignment horizontal="center" vertical="center" wrapText="1"/>
    </xf>
    <xf numFmtId="3" fontId="11" fillId="0" borderId="57" xfId="0" applyNumberFormat="1" applyFont="1" applyBorder="1" applyAlignment="1">
      <alignment horizontal="center" vertical="center" wrapText="1"/>
    </xf>
    <xf numFmtId="3" fontId="11" fillId="0" borderId="58" xfId="0" applyNumberFormat="1" applyFont="1" applyBorder="1" applyAlignment="1">
      <alignment horizontal="center" vertical="center" wrapText="1"/>
    </xf>
    <xf numFmtId="0" fontId="11" fillId="43" borderId="32" xfId="0" applyFont="1" applyFill="1" applyBorder="1" applyAlignment="1">
      <alignment vertical="center" wrapText="1"/>
    </xf>
    <xf numFmtId="0" fontId="0" fillId="0" borderId="0" xfId="0" applyFill="1" applyAlignment="1" quotePrefix="1">
      <alignment/>
    </xf>
    <xf numFmtId="3" fontId="85" fillId="0" borderId="0" xfId="0" applyNumberFormat="1" applyFont="1" applyFill="1" applyAlignment="1">
      <alignment horizontal="center" vertical="center"/>
    </xf>
    <xf numFmtId="3" fontId="0" fillId="33" borderId="18" xfId="0" applyNumberFormat="1" applyFill="1" applyBorder="1" applyAlignment="1">
      <alignment horizontal="center"/>
    </xf>
    <xf numFmtId="3" fontId="103" fillId="38" borderId="18" xfId="50" applyNumberFormat="1" applyFont="1" applyFill="1" applyBorder="1" applyAlignment="1">
      <alignment horizontal="center"/>
    </xf>
    <xf numFmtId="3" fontId="103" fillId="38" borderId="0" xfId="0" applyNumberFormat="1" applyFont="1" applyFill="1" applyBorder="1" applyAlignment="1">
      <alignment horizontal="center"/>
    </xf>
    <xf numFmtId="3" fontId="103" fillId="38" borderId="0" xfId="145" applyNumberFormat="1" applyFont="1" applyFill="1" applyBorder="1" applyAlignment="1">
      <alignment horizontal="center"/>
    </xf>
    <xf numFmtId="3" fontId="103" fillId="38" borderId="0" xfId="50" applyNumberFormat="1" applyFont="1" applyFill="1" applyBorder="1" applyAlignment="1">
      <alignment horizontal="center"/>
    </xf>
    <xf numFmtId="3" fontId="101" fillId="0" borderId="0" xfId="0" applyNumberFormat="1" applyFont="1" applyAlignment="1">
      <alignment/>
    </xf>
    <xf numFmtId="173" fontId="114" fillId="35" borderId="0" xfId="49" applyNumberFormat="1" applyFont="1" applyFill="1" applyAlignment="1">
      <alignment horizontal="center" vertical="center" wrapText="1"/>
    </xf>
    <xf numFmtId="0" fontId="106" fillId="0" borderId="0" xfId="0" applyFont="1" applyAlignment="1">
      <alignment horizontal="center"/>
    </xf>
    <xf numFmtId="0" fontId="114" fillId="35" borderId="0" xfId="0" applyFont="1" applyFill="1" applyAlignment="1">
      <alignment horizontal="center" vertical="center" wrapText="1"/>
    </xf>
    <xf numFmtId="0" fontId="0" fillId="0" borderId="0" xfId="0" applyAlignment="1">
      <alignment/>
    </xf>
    <xf numFmtId="0" fontId="7" fillId="0" borderId="0" xfId="0" applyFont="1" applyAlignment="1">
      <alignment horizontal="center"/>
    </xf>
    <xf numFmtId="3" fontId="101" fillId="0" borderId="0" xfId="49" applyNumberFormat="1" applyFont="1" applyAlignment="1">
      <alignment/>
    </xf>
    <xf numFmtId="3" fontId="101" fillId="0" borderId="0" xfId="49" applyNumberFormat="1" applyFont="1" applyBorder="1" applyAlignment="1">
      <alignment/>
    </xf>
    <xf numFmtId="3" fontId="107" fillId="0" borderId="0" xfId="49" applyNumberFormat="1" applyFont="1" applyAlignment="1">
      <alignment/>
    </xf>
    <xf numFmtId="3" fontId="107" fillId="0" borderId="0" xfId="0" applyNumberFormat="1" applyFont="1" applyAlignment="1">
      <alignment/>
    </xf>
    <xf numFmtId="3" fontId="114" fillId="36" borderId="0" xfId="49" applyNumberFormat="1" applyFont="1" applyFill="1" applyBorder="1" applyAlignment="1">
      <alignment/>
    </xf>
    <xf numFmtId="3" fontId="2" fillId="0" borderId="0" xfId="49" applyNumberFormat="1" applyFont="1" applyAlignment="1">
      <alignment/>
    </xf>
    <xf numFmtId="3" fontId="108" fillId="0" borderId="0" xfId="49" applyNumberFormat="1" applyFont="1" applyAlignment="1">
      <alignment/>
    </xf>
    <xf numFmtId="3" fontId="114" fillId="36" borderId="0" xfId="49" applyNumberFormat="1" applyFont="1" applyFill="1" applyBorder="1" applyAlignment="1">
      <alignment vertical="center"/>
    </xf>
    <xf numFmtId="3" fontId="108" fillId="0" borderId="0" xfId="0" applyNumberFormat="1" applyFont="1" applyAlignment="1">
      <alignment/>
    </xf>
    <xf numFmtId="3" fontId="2" fillId="0" borderId="0" xfId="49" applyNumberFormat="1" applyFont="1" applyBorder="1" applyAlignment="1">
      <alignment/>
    </xf>
    <xf numFmtId="173" fontId="114" fillId="35" borderId="0" xfId="49" applyNumberFormat="1" applyFont="1" applyFill="1" applyBorder="1" applyAlignment="1">
      <alignment horizontal="center" vertical="center" wrapText="1"/>
    </xf>
    <xf numFmtId="173" fontId="114" fillId="33" borderId="0" xfId="49" applyNumberFormat="1" applyFont="1" applyFill="1" applyAlignment="1">
      <alignment horizontal="center" vertical="center" wrapText="1"/>
    </xf>
    <xf numFmtId="173" fontId="114" fillId="33" borderId="0" xfId="49" applyNumberFormat="1" applyFont="1" applyFill="1" applyBorder="1" applyAlignment="1">
      <alignment horizontal="center" vertical="center" wrapText="1"/>
    </xf>
    <xf numFmtId="3" fontId="101" fillId="33" borderId="0" xfId="49" applyNumberFormat="1" applyFont="1" applyFill="1" applyAlignment="1">
      <alignment/>
    </xf>
    <xf numFmtId="3" fontId="114" fillId="33" borderId="0" xfId="49" applyNumberFormat="1" applyFont="1" applyFill="1" applyBorder="1" applyAlignment="1">
      <alignment/>
    </xf>
    <xf numFmtId="173" fontId="101" fillId="33" borderId="0" xfId="49" applyNumberFormat="1" applyFont="1" applyFill="1" applyBorder="1" applyAlignment="1">
      <alignment horizontal="center"/>
    </xf>
    <xf numFmtId="3" fontId="101" fillId="33" borderId="0" xfId="49" applyNumberFormat="1" applyFont="1" applyFill="1" applyBorder="1" applyAlignment="1">
      <alignment/>
    </xf>
    <xf numFmtId="0" fontId="0" fillId="0" borderId="0" xfId="0" applyAlignment="1">
      <alignment/>
    </xf>
    <xf numFmtId="3" fontId="101" fillId="0" borderId="0" xfId="0" applyNumberFormat="1" applyFont="1" applyFill="1" applyAlignment="1">
      <alignment horizontal="center"/>
    </xf>
    <xf numFmtId="3" fontId="101" fillId="33" borderId="0" xfId="50" applyNumberFormat="1" applyFont="1" applyFill="1" applyAlignment="1">
      <alignment/>
    </xf>
    <xf numFmtId="3" fontId="106" fillId="33" borderId="0" xfId="50" applyNumberFormat="1" applyFont="1" applyFill="1" applyAlignment="1">
      <alignment/>
    </xf>
    <xf numFmtId="10" fontId="101" fillId="0" borderId="16" xfId="145" applyNumberFormat="1" applyFont="1" applyFill="1" applyBorder="1" applyAlignment="1">
      <alignment horizontal="center"/>
    </xf>
    <xf numFmtId="0" fontId="0" fillId="0" borderId="0" xfId="87">
      <alignment/>
      <protection/>
    </xf>
    <xf numFmtId="0" fontId="143" fillId="0" borderId="0" xfId="87" applyFont="1">
      <alignment/>
      <protection/>
    </xf>
    <xf numFmtId="14" fontId="102" fillId="33" borderId="0" xfId="0" applyNumberFormat="1" applyFont="1" applyFill="1" applyBorder="1" applyAlignment="1">
      <alignment vertical="center"/>
    </xf>
    <xf numFmtId="174" fontId="101" fillId="0" borderId="16" xfId="49" applyNumberFormat="1" applyFont="1" applyFill="1" applyBorder="1" applyAlignment="1">
      <alignment/>
    </xf>
    <xf numFmtId="174" fontId="101" fillId="0" borderId="39" xfId="49" applyNumberFormat="1" applyFont="1" applyFill="1" applyBorder="1" applyAlignment="1">
      <alignment/>
    </xf>
    <xf numFmtId="175" fontId="2" fillId="33" borderId="16" xfId="49" applyNumberFormat="1" applyFont="1" applyFill="1" applyBorder="1" applyAlignment="1">
      <alignment/>
    </xf>
    <xf numFmtId="0" fontId="4" fillId="33" borderId="0" xfId="0" applyFont="1" applyFill="1" applyAlignment="1">
      <alignment/>
    </xf>
    <xf numFmtId="0" fontId="2" fillId="0" borderId="0" xfId="86">
      <alignment/>
      <protection/>
    </xf>
    <xf numFmtId="0" fontId="21" fillId="0" borderId="0" xfId="143" applyFont="1" applyBorder="1" applyAlignment="1">
      <alignment/>
      <protection/>
    </xf>
    <xf numFmtId="0" fontId="4" fillId="0" borderId="14" xfId="86" applyFont="1" applyBorder="1" applyAlignment="1">
      <alignment horizontal="center"/>
      <protection/>
    </xf>
    <xf numFmtId="0" fontId="4" fillId="0" borderId="0" xfId="86" applyFont="1" applyBorder="1" applyAlignment="1">
      <alignment horizontal="center"/>
      <protection/>
    </xf>
    <xf numFmtId="0" fontId="4" fillId="0" borderId="15" xfId="86" applyFont="1" applyBorder="1" applyAlignment="1">
      <alignment horizontal="center"/>
      <protection/>
    </xf>
    <xf numFmtId="0" fontId="5" fillId="0" borderId="35" xfId="86" applyFont="1" applyBorder="1">
      <alignment/>
      <protection/>
    </xf>
    <xf numFmtId="0" fontId="5" fillId="0" borderId="18" xfId="86" applyFont="1" applyBorder="1">
      <alignment/>
      <protection/>
    </xf>
    <xf numFmtId="0" fontId="2" fillId="0" borderId="18" xfId="86" applyBorder="1">
      <alignment/>
      <protection/>
    </xf>
    <xf numFmtId="0" fontId="2" fillId="0" borderId="37" xfId="86" applyBorder="1">
      <alignment/>
      <protection/>
    </xf>
    <xf numFmtId="0" fontId="5" fillId="0" borderId="14" xfId="86" applyFont="1" applyBorder="1">
      <alignment/>
      <protection/>
    </xf>
    <xf numFmtId="0" fontId="5" fillId="0" borderId="0" xfId="86" applyFont="1" applyBorder="1">
      <alignment/>
      <protection/>
    </xf>
    <xf numFmtId="0" fontId="2" fillId="0" borderId="0" xfId="86" applyBorder="1">
      <alignment/>
      <protection/>
    </xf>
    <xf numFmtId="0" fontId="2" fillId="0" borderId="15" xfId="86" applyBorder="1">
      <alignment/>
      <protection/>
    </xf>
    <xf numFmtId="0" fontId="23" fillId="0" borderId="0" xfId="86" applyFont="1" applyBorder="1">
      <alignment/>
      <protection/>
    </xf>
    <xf numFmtId="0" fontId="2" fillId="0" borderId="14" xfId="86" applyBorder="1">
      <alignment/>
      <protection/>
    </xf>
    <xf numFmtId="0" fontId="2" fillId="0" borderId="14" xfId="86" applyFont="1" applyBorder="1">
      <alignment/>
      <protection/>
    </xf>
    <xf numFmtId="0" fontId="2" fillId="0" borderId="14" xfId="86" applyFont="1" applyFill="1" applyBorder="1">
      <alignment/>
      <protection/>
    </xf>
    <xf numFmtId="0" fontId="2" fillId="0" borderId="0" xfId="86" applyFill="1" applyBorder="1">
      <alignment/>
      <protection/>
    </xf>
    <xf numFmtId="0" fontId="2" fillId="0" borderId="14" xfId="86" applyFill="1" applyBorder="1">
      <alignment/>
      <protection/>
    </xf>
    <xf numFmtId="0" fontId="3" fillId="0" borderId="11" xfId="86" applyFont="1" applyBorder="1" applyAlignment="1">
      <alignment/>
      <protection/>
    </xf>
    <xf numFmtId="0" fontId="3" fillId="0" borderId="17" xfId="86" applyFont="1" applyBorder="1" applyAlignment="1">
      <alignment/>
      <protection/>
    </xf>
    <xf numFmtId="0" fontId="3" fillId="0" borderId="39" xfId="86" applyFont="1" applyBorder="1" applyAlignment="1">
      <alignment/>
      <protection/>
    </xf>
    <xf numFmtId="0" fontId="4" fillId="0" borderId="14" xfId="86" applyFont="1" applyBorder="1">
      <alignment/>
      <protection/>
    </xf>
    <xf numFmtId="0" fontId="4" fillId="0" borderId="0" xfId="86" applyFont="1" applyBorder="1">
      <alignment/>
      <protection/>
    </xf>
    <xf numFmtId="0" fontId="3" fillId="0" borderId="36" xfId="86" applyFont="1" applyBorder="1" applyAlignment="1">
      <alignment/>
      <protection/>
    </xf>
    <xf numFmtId="0" fontId="3" fillId="0" borderId="12" xfId="86" applyFont="1" applyBorder="1" applyAlignment="1">
      <alignment/>
      <protection/>
    </xf>
    <xf numFmtId="0" fontId="3" fillId="0" borderId="16" xfId="86" applyFont="1" applyBorder="1" applyAlignment="1">
      <alignment/>
      <protection/>
    </xf>
    <xf numFmtId="0" fontId="2" fillId="0" borderId="14" xfId="86" applyBorder="1" applyAlignment="1">
      <alignment horizontal="center"/>
      <protection/>
    </xf>
    <xf numFmtId="0" fontId="2" fillId="0" borderId="0" xfId="86" applyBorder="1" applyAlignment="1">
      <alignment horizontal="center"/>
      <protection/>
    </xf>
    <xf numFmtId="3" fontId="2" fillId="0" borderId="0" xfId="86" applyNumberFormat="1" applyBorder="1">
      <alignment/>
      <protection/>
    </xf>
    <xf numFmtId="0" fontId="2" fillId="0" borderId="14" xfId="86" applyFill="1" applyBorder="1" applyAlignment="1">
      <alignment horizontal="left"/>
      <protection/>
    </xf>
    <xf numFmtId="0" fontId="2" fillId="0" borderId="0" xfId="86" applyFont="1" applyBorder="1">
      <alignment/>
      <protection/>
    </xf>
    <xf numFmtId="3" fontId="2" fillId="0" borderId="15" xfId="86" applyNumberFormat="1" applyBorder="1">
      <alignment/>
      <protection/>
    </xf>
    <xf numFmtId="0" fontId="2" fillId="0" borderId="0" xfId="86" applyFont="1" applyFill="1" applyBorder="1">
      <alignment/>
      <protection/>
    </xf>
    <xf numFmtId="0" fontId="0" fillId="0" borderId="14" xfId="0" applyBorder="1" applyAlignment="1">
      <alignment/>
    </xf>
    <xf numFmtId="0" fontId="2" fillId="0" borderId="36" xfId="86" applyBorder="1">
      <alignment/>
      <protection/>
    </xf>
    <xf numFmtId="0" fontId="2" fillId="0" borderId="12" xfId="86" applyBorder="1">
      <alignment/>
      <protection/>
    </xf>
    <xf numFmtId="0" fontId="2" fillId="0" borderId="16" xfId="86" applyBorder="1">
      <alignment/>
      <protection/>
    </xf>
    <xf numFmtId="0" fontId="100" fillId="0" borderId="59" xfId="0" applyFont="1" applyBorder="1" applyAlignment="1">
      <alignment horizontal="center"/>
    </xf>
    <xf numFmtId="0" fontId="100" fillId="0" borderId="0" xfId="0" applyFont="1" applyBorder="1" applyAlignment="1">
      <alignment horizontal="center"/>
    </xf>
    <xf numFmtId="0" fontId="100" fillId="0" borderId="20" xfId="0" applyFont="1" applyBorder="1" applyAlignment="1">
      <alignment horizontal="center"/>
    </xf>
    <xf numFmtId="0" fontId="0" fillId="0" borderId="60" xfId="0" applyBorder="1" applyAlignment="1">
      <alignment/>
    </xf>
    <xf numFmtId="3" fontId="4" fillId="0" borderId="61" xfId="0" applyNumberFormat="1" applyFont="1" applyBorder="1" applyAlignment="1">
      <alignment horizontal="center" vertical="top" wrapText="1"/>
    </xf>
    <xf numFmtId="3" fontId="2" fillId="0" borderId="61" xfId="0" applyNumberFormat="1" applyFont="1" applyBorder="1" applyAlignment="1">
      <alignment horizontal="center" vertical="top" wrapText="1"/>
    </xf>
    <xf numFmtId="3" fontId="4" fillId="0" borderId="62" xfId="0" applyNumberFormat="1" applyFont="1" applyBorder="1" applyAlignment="1">
      <alignment horizontal="center" vertical="top" wrapText="1"/>
    </xf>
    <xf numFmtId="0" fontId="4" fillId="44" borderId="63" xfId="0" applyFont="1" applyFill="1" applyBorder="1" applyAlignment="1">
      <alignment horizontal="center" vertical="top" wrapText="1"/>
    </xf>
    <xf numFmtId="0" fontId="4" fillId="44" borderId="64" xfId="0" applyFont="1" applyFill="1" applyBorder="1" applyAlignment="1">
      <alignment horizontal="center" vertical="top" wrapText="1"/>
    </xf>
    <xf numFmtId="0" fontId="4" fillId="0" borderId="60" xfId="0" applyFont="1" applyFill="1" applyBorder="1" applyAlignment="1">
      <alignment horizontal="center" vertical="top" wrapText="1"/>
    </xf>
    <xf numFmtId="49" fontId="4" fillId="0" borderId="65" xfId="0" applyNumberFormat="1" applyFont="1" applyFill="1" applyBorder="1" applyAlignment="1">
      <alignment horizontal="left" vertical="top" wrapText="1"/>
    </xf>
    <xf numFmtId="49" fontId="4" fillId="0" borderId="65" xfId="0" applyNumberFormat="1" applyFont="1" applyFill="1" applyBorder="1" applyAlignment="1">
      <alignment horizontal="center" vertical="top" wrapText="1"/>
    </xf>
    <xf numFmtId="3" fontId="4" fillId="0" borderId="65" xfId="0" applyNumberFormat="1" applyFont="1" applyFill="1" applyBorder="1" applyAlignment="1">
      <alignment horizontal="right" vertical="top" wrapText="1"/>
    </xf>
    <xf numFmtId="10" fontId="4" fillId="0" borderId="65" xfId="0" applyNumberFormat="1" applyFont="1" applyFill="1" applyBorder="1" applyAlignment="1">
      <alignment horizontal="center" vertical="top" wrapText="1"/>
    </xf>
    <xf numFmtId="10" fontId="4" fillId="0" borderId="64" xfId="0" applyNumberFormat="1" applyFont="1" applyFill="1" applyBorder="1" applyAlignment="1">
      <alignment horizontal="center" vertical="top" wrapText="1"/>
    </xf>
    <xf numFmtId="0" fontId="4" fillId="0" borderId="66" xfId="0" applyFont="1" applyFill="1" applyBorder="1" applyAlignment="1">
      <alignment horizontal="center" vertical="top" wrapText="1"/>
    </xf>
    <xf numFmtId="49" fontId="4" fillId="0" borderId="0" xfId="0" applyNumberFormat="1" applyFont="1" applyFill="1" applyBorder="1" applyAlignment="1">
      <alignment horizontal="left" vertical="top" wrapText="1"/>
    </xf>
    <xf numFmtId="49" fontId="4" fillId="0" borderId="0" xfId="0" applyNumberFormat="1" applyFont="1" applyFill="1" applyBorder="1" applyAlignment="1">
      <alignment horizontal="center" vertical="top" wrapText="1"/>
    </xf>
    <xf numFmtId="3" fontId="4" fillId="0" borderId="0" xfId="0" applyNumberFormat="1" applyFont="1" applyFill="1" applyBorder="1" applyAlignment="1">
      <alignment horizontal="right" vertical="top" wrapText="1"/>
    </xf>
    <xf numFmtId="10" fontId="4" fillId="0" borderId="0" xfId="0" applyNumberFormat="1" applyFont="1" applyFill="1" applyBorder="1" applyAlignment="1">
      <alignment horizontal="center" vertical="top" wrapText="1"/>
    </xf>
    <xf numFmtId="10" fontId="4" fillId="0" borderId="67" xfId="0" applyNumberFormat="1" applyFont="1" applyFill="1" applyBorder="1" applyAlignment="1">
      <alignment horizontal="center" vertical="top" wrapText="1"/>
    </xf>
    <xf numFmtId="0" fontId="4" fillId="0" borderId="68" xfId="0" applyFont="1" applyFill="1" applyBorder="1" applyAlignment="1">
      <alignment horizontal="center" vertical="top" wrapText="1"/>
    </xf>
    <xf numFmtId="49" fontId="4" fillId="0" borderId="69" xfId="0" applyNumberFormat="1" applyFont="1" applyFill="1" applyBorder="1" applyAlignment="1">
      <alignment horizontal="left" vertical="top" wrapText="1"/>
    </xf>
    <xf numFmtId="49" fontId="4" fillId="0" borderId="69" xfId="0" applyNumberFormat="1" applyFont="1" applyFill="1" applyBorder="1" applyAlignment="1">
      <alignment horizontal="center" vertical="top" wrapText="1"/>
    </xf>
    <xf numFmtId="3" fontId="4" fillId="0" borderId="69" xfId="0" applyNumberFormat="1" applyFont="1" applyFill="1" applyBorder="1" applyAlignment="1">
      <alignment horizontal="right" vertical="top" wrapText="1"/>
    </xf>
    <xf numFmtId="10" fontId="4" fillId="0" borderId="69" xfId="0" applyNumberFormat="1" applyFont="1" applyFill="1" applyBorder="1" applyAlignment="1">
      <alignment horizontal="center" vertical="top" wrapText="1"/>
    </xf>
    <xf numFmtId="10" fontId="4" fillId="0" borderId="70" xfId="0" applyNumberFormat="1" applyFont="1" applyFill="1" applyBorder="1" applyAlignment="1">
      <alignment horizontal="center" vertical="top" wrapText="1"/>
    </xf>
    <xf numFmtId="0" fontId="4" fillId="0" borderId="71" xfId="0" applyFont="1" applyFill="1" applyBorder="1" applyAlignment="1">
      <alignment horizontal="center" vertical="top" wrapText="1"/>
    </xf>
    <xf numFmtId="49" fontId="4" fillId="0" borderId="54" xfId="0" applyNumberFormat="1" applyFont="1" applyFill="1" applyBorder="1" applyAlignment="1">
      <alignment horizontal="left" vertical="top" wrapText="1"/>
    </xf>
    <xf numFmtId="49" fontId="4" fillId="0" borderId="54" xfId="0" applyNumberFormat="1" applyFont="1" applyFill="1" applyBorder="1" applyAlignment="1">
      <alignment horizontal="center" vertical="top" wrapText="1"/>
    </xf>
    <xf numFmtId="3" fontId="4" fillId="0" borderId="54" xfId="0" applyNumberFormat="1" applyFont="1" applyFill="1" applyBorder="1" applyAlignment="1">
      <alignment horizontal="right" vertical="top" wrapText="1"/>
    </xf>
    <xf numFmtId="10" fontId="4" fillId="0" borderId="54" xfId="0" applyNumberFormat="1" applyFont="1" applyFill="1" applyBorder="1" applyAlignment="1">
      <alignment horizontal="center" vertical="top" wrapText="1"/>
    </xf>
    <xf numFmtId="10" fontId="4" fillId="0" borderId="72" xfId="0" applyNumberFormat="1" applyFont="1" applyFill="1" applyBorder="1" applyAlignment="1">
      <alignment horizontal="center" vertical="top" wrapText="1"/>
    </xf>
    <xf numFmtId="49" fontId="106" fillId="0" borderId="0" xfId="0" applyNumberFormat="1" applyFont="1" applyBorder="1" applyAlignment="1">
      <alignment vertical="center" wrapText="1"/>
    </xf>
    <xf numFmtId="49" fontId="106" fillId="0" borderId="0" xfId="0" applyNumberFormat="1" applyFont="1" applyBorder="1" applyAlignment="1">
      <alignment wrapText="1"/>
    </xf>
    <xf numFmtId="0" fontId="100" fillId="0" borderId="0" xfId="0" applyFont="1" applyBorder="1" applyAlignment="1">
      <alignment/>
    </xf>
    <xf numFmtId="0" fontId="0" fillId="0" borderId="0" xfId="0" applyBorder="1" applyAlignment="1">
      <alignment/>
    </xf>
    <xf numFmtId="0" fontId="144" fillId="0" borderId="0" xfId="0" applyFont="1" applyBorder="1" applyAlignment="1">
      <alignment/>
    </xf>
    <xf numFmtId="0" fontId="0" fillId="0" borderId="0" xfId="0" applyBorder="1" applyAlignment="1">
      <alignment horizontal="left"/>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93" fillId="0" borderId="0" xfId="0" applyFont="1" applyFill="1" applyBorder="1" applyAlignment="1">
      <alignment horizontal="left"/>
    </xf>
    <xf numFmtId="0" fontId="93" fillId="0" borderId="0" xfId="0" applyFont="1" applyFill="1" applyBorder="1" applyAlignment="1">
      <alignment horizontal="center"/>
    </xf>
    <xf numFmtId="0" fontId="93" fillId="0" borderId="0" xfId="0" applyFont="1" applyFill="1" applyBorder="1" applyAlignment="1">
      <alignment horizontal="center" wrapText="1"/>
    </xf>
    <xf numFmtId="10" fontId="106" fillId="0" borderId="0" xfId="0" applyNumberFormat="1" applyFont="1" applyAlignment="1">
      <alignment/>
    </xf>
    <xf numFmtId="10" fontId="102" fillId="0" borderId="0" xfId="0" applyNumberFormat="1" applyFont="1" applyAlignment="1">
      <alignment vertical="center"/>
    </xf>
    <xf numFmtId="10" fontId="101" fillId="0" borderId="0" xfId="0" applyNumberFormat="1" applyFont="1" applyAlignment="1">
      <alignment vertical="center"/>
    </xf>
    <xf numFmtId="10" fontId="4" fillId="44" borderId="64" xfId="0" applyNumberFormat="1" applyFont="1" applyFill="1" applyBorder="1" applyAlignment="1">
      <alignment horizontal="center" vertical="top" wrapText="1"/>
    </xf>
    <xf numFmtId="0" fontId="2" fillId="0" borderId="0" xfId="0" applyFont="1" applyAlignment="1">
      <alignment/>
    </xf>
    <xf numFmtId="14" fontId="2" fillId="0" borderId="0" xfId="86" applyNumberFormat="1" applyBorder="1">
      <alignment/>
      <protection/>
    </xf>
    <xf numFmtId="3" fontId="2" fillId="0" borderId="0" xfId="86" applyNumberFormat="1" applyFont="1" applyBorder="1">
      <alignment/>
      <protection/>
    </xf>
    <xf numFmtId="3" fontId="4" fillId="0" borderId="17" xfId="49" applyNumberFormat="1" applyFont="1" applyFill="1" applyBorder="1" applyAlignment="1">
      <alignment horizontal="center"/>
    </xf>
    <xf numFmtId="3" fontId="2" fillId="0" borderId="0" xfId="49" applyNumberFormat="1" applyFont="1" applyFill="1" applyAlignment="1">
      <alignment horizontal="center"/>
    </xf>
    <xf numFmtId="3" fontId="121" fillId="35" borderId="0" xfId="49" applyNumberFormat="1" applyFont="1" applyFill="1" applyBorder="1" applyAlignment="1">
      <alignment horizontal="center"/>
    </xf>
    <xf numFmtId="3" fontId="121" fillId="35" borderId="18" xfId="49" applyNumberFormat="1" applyFont="1" applyFill="1" applyBorder="1" applyAlignment="1">
      <alignment horizontal="center"/>
    </xf>
    <xf numFmtId="3" fontId="145" fillId="33" borderId="0" xfId="49" applyNumberFormat="1" applyFont="1" applyFill="1" applyAlignment="1">
      <alignment horizontal="center"/>
    </xf>
    <xf numFmtId="3" fontId="145" fillId="33" borderId="0" xfId="49" applyNumberFormat="1" applyFont="1" applyFill="1" applyBorder="1" applyAlignment="1">
      <alignment horizontal="center"/>
    </xf>
    <xf numFmtId="3" fontId="107" fillId="0" borderId="0" xfId="0" applyNumberFormat="1" applyFont="1" applyFill="1" applyAlignment="1">
      <alignment horizontal="center"/>
    </xf>
    <xf numFmtId="3" fontId="120" fillId="0" borderId="0" xfId="0" applyNumberFormat="1" applyFont="1" applyFill="1" applyAlignment="1">
      <alignment horizontal="center"/>
    </xf>
    <xf numFmtId="3" fontId="104" fillId="0" borderId="0" xfId="0" applyNumberFormat="1" applyFont="1" applyFill="1" applyAlignment="1">
      <alignment horizontal="center"/>
    </xf>
    <xf numFmtId="3" fontId="146" fillId="0" borderId="0" xfId="50" applyNumberFormat="1" applyFont="1" applyFill="1" applyAlignment="1">
      <alignment horizontal="center"/>
    </xf>
    <xf numFmtId="3" fontId="101" fillId="0" borderId="0" xfId="0" applyNumberFormat="1" applyFont="1" applyFill="1" applyAlignment="1">
      <alignment horizontal="center"/>
    </xf>
    <xf numFmtId="0" fontId="106" fillId="0" borderId="0" xfId="0" applyFont="1" applyAlignment="1">
      <alignment/>
    </xf>
    <xf numFmtId="0" fontId="106" fillId="0" borderId="0" xfId="0" applyFont="1" applyBorder="1" applyAlignment="1">
      <alignment/>
    </xf>
    <xf numFmtId="0" fontId="4" fillId="44" borderId="20" xfId="0" applyFont="1" applyFill="1" applyBorder="1" applyAlignment="1">
      <alignment horizontal="center" vertical="top" wrapText="1"/>
    </xf>
    <xf numFmtId="0" fontId="4" fillId="44" borderId="21" xfId="0" applyFont="1" applyFill="1" applyBorder="1" applyAlignment="1">
      <alignment horizontal="center" vertical="top" wrapText="1"/>
    </xf>
    <xf numFmtId="0" fontId="4" fillId="45" borderId="62" xfId="0" applyFont="1" applyFill="1" applyBorder="1" applyAlignment="1">
      <alignment horizontal="center" vertical="top" wrapText="1"/>
    </xf>
    <xf numFmtId="49" fontId="4" fillId="45" borderId="20" xfId="0" applyNumberFormat="1" applyFont="1" applyFill="1" applyBorder="1" applyAlignment="1">
      <alignment horizontal="left" vertical="top" wrapText="1"/>
    </xf>
    <xf numFmtId="49" fontId="4" fillId="45" borderId="72" xfId="0" applyNumberFormat="1" applyFont="1" applyFill="1" applyBorder="1" applyAlignment="1">
      <alignment horizontal="center" vertical="top" wrapText="1"/>
    </xf>
    <xf numFmtId="3" fontId="4" fillId="45" borderId="20" xfId="0" applyNumberFormat="1" applyFont="1" applyFill="1" applyBorder="1" applyAlignment="1">
      <alignment horizontal="right" vertical="top" wrapText="1"/>
    </xf>
    <xf numFmtId="49" fontId="4" fillId="45" borderId="20" xfId="0" applyNumberFormat="1" applyFont="1" applyFill="1" applyBorder="1" applyAlignment="1">
      <alignment horizontal="center" vertical="top" wrapText="1"/>
    </xf>
    <xf numFmtId="3" fontId="4" fillId="45" borderId="72" xfId="0" applyNumberFormat="1" applyFont="1" applyFill="1" applyBorder="1" applyAlignment="1">
      <alignment horizontal="right" vertical="top" wrapText="1"/>
    </xf>
    <xf numFmtId="10" fontId="4" fillId="45" borderId="72" xfId="0" applyNumberFormat="1" applyFont="1" applyFill="1" applyBorder="1" applyAlignment="1">
      <alignment horizontal="center" vertical="top" wrapText="1"/>
    </xf>
    <xf numFmtId="49" fontId="4" fillId="45" borderId="62" xfId="0" applyNumberFormat="1" applyFont="1" applyFill="1" applyBorder="1" applyAlignment="1">
      <alignment horizontal="left" vertical="top" wrapText="1"/>
    </xf>
    <xf numFmtId="3" fontId="4" fillId="45" borderId="62" xfId="0" applyNumberFormat="1" applyFont="1" applyFill="1" applyBorder="1" applyAlignment="1">
      <alignment horizontal="right" vertical="top" wrapText="1"/>
    </xf>
    <xf numFmtId="49" fontId="4" fillId="45" borderId="62" xfId="0" applyNumberFormat="1" applyFont="1" applyFill="1" applyBorder="1" applyAlignment="1">
      <alignment horizontal="center" vertical="top" wrapText="1"/>
    </xf>
    <xf numFmtId="49" fontId="4" fillId="0" borderId="62" xfId="0" applyNumberFormat="1" applyFont="1" applyFill="1" applyBorder="1" applyAlignment="1">
      <alignment horizontal="left" vertical="top" wrapText="1"/>
    </xf>
    <xf numFmtId="49" fontId="4" fillId="0" borderId="72" xfId="0" applyNumberFormat="1" applyFont="1" applyFill="1" applyBorder="1" applyAlignment="1">
      <alignment horizontal="center" vertical="top" wrapText="1"/>
    </xf>
    <xf numFmtId="3" fontId="4" fillId="0" borderId="62" xfId="0" applyNumberFormat="1" applyFont="1" applyFill="1" applyBorder="1" applyAlignment="1">
      <alignment horizontal="right" vertical="top" wrapText="1"/>
    </xf>
    <xf numFmtId="49" fontId="4" fillId="0" borderId="62" xfId="0" applyNumberFormat="1" applyFont="1" applyFill="1" applyBorder="1" applyAlignment="1">
      <alignment horizontal="center" vertical="top" wrapText="1"/>
    </xf>
    <xf numFmtId="3" fontId="4" fillId="0" borderId="72" xfId="0" applyNumberFormat="1" applyFont="1" applyFill="1" applyBorder="1" applyAlignment="1">
      <alignment horizontal="right" vertical="top" wrapText="1"/>
    </xf>
    <xf numFmtId="49" fontId="4" fillId="0" borderId="20" xfId="0" applyNumberFormat="1" applyFont="1" applyFill="1" applyBorder="1" applyAlignment="1">
      <alignment horizontal="left" vertical="top" wrapText="1"/>
    </xf>
    <xf numFmtId="49" fontId="4" fillId="0" borderId="20"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3" fontId="4" fillId="0" borderId="20" xfId="0" applyNumberFormat="1" applyFont="1" applyFill="1" applyBorder="1" applyAlignment="1">
      <alignment horizontal="right" vertical="top" wrapText="1"/>
    </xf>
    <xf numFmtId="3" fontId="4" fillId="0" borderId="21" xfId="0" applyNumberFormat="1" applyFont="1" applyFill="1" applyBorder="1" applyAlignment="1">
      <alignment horizontal="right" vertical="top" wrapText="1"/>
    </xf>
    <xf numFmtId="10" fontId="4" fillId="0" borderId="21" xfId="0" applyNumberFormat="1" applyFont="1" applyFill="1" applyBorder="1" applyAlignment="1">
      <alignment horizontal="center" vertical="top" wrapText="1"/>
    </xf>
    <xf numFmtId="0" fontId="4" fillId="45" borderId="20" xfId="0" applyFont="1" applyFill="1" applyBorder="1" applyAlignment="1">
      <alignment horizontal="center" vertical="top" wrapText="1"/>
    </xf>
    <xf numFmtId="0" fontId="4" fillId="45" borderId="73" xfId="0" applyFont="1" applyFill="1" applyBorder="1" applyAlignment="1">
      <alignment horizontal="justify" vertical="top" wrapText="1"/>
    </xf>
    <xf numFmtId="49" fontId="4" fillId="45" borderId="21" xfId="0" applyNumberFormat="1" applyFont="1" applyFill="1" applyBorder="1" applyAlignment="1">
      <alignment horizontal="justify" vertical="top" wrapText="1"/>
    </xf>
    <xf numFmtId="10" fontId="4" fillId="45" borderId="21" xfId="0" applyNumberFormat="1" applyFont="1" applyFill="1" applyBorder="1" applyAlignment="1">
      <alignment horizontal="center" vertical="top" wrapText="1"/>
    </xf>
    <xf numFmtId="0" fontId="144" fillId="0" borderId="0" xfId="0" applyFont="1" applyAlignment="1">
      <alignment/>
    </xf>
    <xf numFmtId="0" fontId="101" fillId="0" borderId="0" xfId="0" applyFont="1" applyFill="1" applyBorder="1" applyAlignment="1">
      <alignment vertical="justify" wrapText="1"/>
    </xf>
    <xf numFmtId="0" fontId="101" fillId="0" borderId="15" xfId="0" applyFont="1" applyFill="1" applyBorder="1" applyAlignment="1">
      <alignment vertical="justify" wrapText="1"/>
    </xf>
    <xf numFmtId="0" fontId="106" fillId="0" borderId="0" xfId="0" applyFont="1" applyAlignment="1">
      <alignment/>
    </xf>
    <xf numFmtId="0" fontId="106" fillId="0" borderId="15" xfId="0" applyFont="1" applyBorder="1" applyAlignment="1">
      <alignment/>
    </xf>
    <xf numFmtId="3" fontId="0" fillId="38" borderId="10" xfId="0" applyNumberFormat="1" applyFill="1" applyBorder="1" applyAlignment="1">
      <alignment horizontal="center"/>
    </xf>
    <xf numFmtId="10" fontId="124" fillId="0" borderId="10" xfId="0" applyNumberFormat="1" applyFont="1" applyBorder="1" applyAlignment="1">
      <alignment horizontal="center" vertical="center" wrapText="1"/>
    </xf>
    <xf numFmtId="3" fontId="0" fillId="0" borderId="0" xfId="0" applyNumberFormat="1" applyFill="1" applyBorder="1" applyAlignment="1">
      <alignment horizontal="center"/>
    </xf>
    <xf numFmtId="0" fontId="0" fillId="0" borderId="0" xfId="0" applyAlignment="1">
      <alignment/>
    </xf>
    <xf numFmtId="0" fontId="4" fillId="0" borderId="0" xfId="0" applyFont="1" applyFill="1" applyAlignment="1">
      <alignment horizontal="center"/>
    </xf>
    <xf numFmtId="0" fontId="2" fillId="0" borderId="0" xfId="0" applyFont="1" applyFill="1" applyAlignment="1">
      <alignment horizontal="center"/>
    </xf>
    <xf numFmtId="3" fontId="4" fillId="0" borderId="0" xfId="0" applyNumberFormat="1" applyFont="1" applyFill="1" applyAlignment="1">
      <alignment horizontal="center"/>
    </xf>
    <xf numFmtId="0" fontId="4" fillId="0" borderId="0" xfId="0" applyFont="1" applyFill="1" applyAlignment="1">
      <alignment horizontal="left"/>
    </xf>
    <xf numFmtId="0" fontId="0" fillId="0" borderId="0" xfId="0" applyAlignment="1">
      <alignment horizontal="left"/>
    </xf>
    <xf numFmtId="0" fontId="8" fillId="0" borderId="0" xfId="0" applyFont="1" applyFill="1" applyAlignment="1">
      <alignment horizontal="left" vertical="center"/>
    </xf>
    <xf numFmtId="0" fontId="121" fillId="35" borderId="0" xfId="0" applyFont="1" applyFill="1" applyAlignment="1">
      <alignment horizontal="left" vertical="center"/>
    </xf>
    <xf numFmtId="173" fontId="147" fillId="0" borderId="0" xfId="49" applyNumberFormat="1" applyFont="1" applyFill="1" applyAlignment="1">
      <alignment horizontal="center"/>
    </xf>
    <xf numFmtId="173" fontId="109" fillId="0" borderId="0" xfId="49" applyNumberFormat="1" applyFont="1" applyFill="1" applyAlignment="1">
      <alignment horizontal="center"/>
    </xf>
    <xf numFmtId="0" fontId="101" fillId="0" borderId="0" xfId="0" applyFont="1" applyFill="1" applyAlignment="1">
      <alignment horizontal="left"/>
    </xf>
    <xf numFmtId="3" fontId="109" fillId="0" borderId="0" xfId="49" applyNumberFormat="1" applyFont="1" applyFill="1" applyAlignment="1">
      <alignment horizontal="center"/>
    </xf>
    <xf numFmtId="0" fontId="4" fillId="0" borderId="0" xfId="0" applyFont="1" applyFill="1" applyAlignment="1">
      <alignment horizontal="left" vertical="center"/>
    </xf>
    <xf numFmtId="0" fontId="121" fillId="35" borderId="0" xfId="0" applyFont="1" applyFill="1" applyAlignment="1">
      <alignment horizontal="left"/>
    </xf>
    <xf numFmtId="3" fontId="101" fillId="0" borderId="0" xfId="0" applyNumberFormat="1" applyFont="1" applyFill="1" applyAlignment="1">
      <alignment horizontal="center"/>
    </xf>
    <xf numFmtId="0" fontId="101" fillId="0" borderId="0" xfId="0" applyFont="1" applyFill="1" applyAlignment="1">
      <alignment horizontal="center"/>
    </xf>
    <xf numFmtId="173" fontId="114" fillId="35" borderId="0" xfId="49" applyNumberFormat="1" applyFont="1" applyFill="1" applyAlignment="1">
      <alignment horizontal="center" vertical="center" wrapText="1"/>
    </xf>
    <xf numFmtId="173" fontId="114" fillId="35" borderId="12" xfId="49" applyNumberFormat="1" applyFont="1" applyFill="1" applyBorder="1" applyAlignment="1">
      <alignment horizontal="center" vertical="center" wrapText="1"/>
    </xf>
    <xf numFmtId="0" fontId="106" fillId="0" borderId="0" xfId="0" applyFont="1" applyAlignment="1">
      <alignment horizontal="center"/>
    </xf>
    <xf numFmtId="0" fontId="114" fillId="0" borderId="0" xfId="0" applyFont="1" applyFill="1" applyAlignment="1">
      <alignment horizontal="center" vertical="center" wrapText="1"/>
    </xf>
    <xf numFmtId="0" fontId="114" fillId="35" borderId="0" xfId="0" applyFont="1" applyFill="1" applyAlignment="1">
      <alignment horizontal="center" vertical="center" wrapText="1"/>
    </xf>
    <xf numFmtId="0" fontId="106" fillId="34" borderId="0" xfId="0" applyFont="1" applyFill="1" applyAlignment="1">
      <alignment horizontal="center"/>
    </xf>
    <xf numFmtId="0" fontId="9" fillId="0" borderId="0" xfId="0" applyFont="1" applyAlignment="1">
      <alignment horizontal="center"/>
    </xf>
    <xf numFmtId="0" fontId="7" fillId="0" borderId="0" xfId="0" applyFont="1" applyAlignment="1">
      <alignment horizontal="center"/>
    </xf>
    <xf numFmtId="49" fontId="106" fillId="0" borderId="0" xfId="0" applyNumberFormat="1" applyFont="1" applyAlignment="1">
      <alignment horizontal="justify" vertical="center" wrapText="1"/>
    </xf>
    <xf numFmtId="49" fontId="106" fillId="0" borderId="0" xfId="0" applyNumberFormat="1" applyFont="1" applyAlignment="1">
      <alignment wrapText="1"/>
    </xf>
    <xf numFmtId="49" fontId="106" fillId="0" borderId="0" xfId="0" applyNumberFormat="1" applyFont="1" applyAlignment="1">
      <alignment horizontal="left" wrapText="1"/>
    </xf>
    <xf numFmtId="0" fontId="101" fillId="0" borderId="0" xfId="0" applyFont="1" applyBorder="1" applyAlignment="1">
      <alignment horizontal="center" vertical="center"/>
    </xf>
    <xf numFmtId="0" fontId="102" fillId="0" borderId="0" xfId="0" applyFont="1" applyAlignment="1">
      <alignment horizontal="left" vertical="center"/>
    </xf>
    <xf numFmtId="0" fontId="106" fillId="0" borderId="0" xfId="0" applyFont="1" applyAlignment="1">
      <alignment wrapText="1"/>
    </xf>
    <xf numFmtId="0" fontId="106" fillId="0" borderId="0" xfId="0" applyFont="1" applyBorder="1" applyAlignment="1">
      <alignment horizontal="left" wrapText="1"/>
    </xf>
    <xf numFmtId="0" fontId="4" fillId="0" borderId="59" xfId="0" applyFont="1" applyBorder="1" applyAlignment="1">
      <alignment horizontal="center" vertical="top" wrapText="1"/>
    </xf>
    <xf numFmtId="0" fontId="4" fillId="0" borderId="73" xfId="0" applyFont="1" applyBorder="1" applyAlignment="1">
      <alignment horizontal="center" vertical="top" wrapText="1"/>
    </xf>
    <xf numFmtId="0" fontId="4" fillId="0" borderId="21" xfId="0" applyFont="1" applyBorder="1" applyAlignment="1">
      <alignment horizontal="center" vertical="top" wrapText="1"/>
    </xf>
    <xf numFmtId="0" fontId="4" fillId="0" borderId="73" xfId="0" applyFont="1" applyBorder="1" applyAlignment="1">
      <alignment horizontal="justify" vertical="top" wrapText="1"/>
    </xf>
    <xf numFmtId="0" fontId="4" fillId="0" borderId="0" xfId="0" applyFont="1" applyBorder="1" applyAlignment="1">
      <alignment horizontal="justify" vertical="top" wrapText="1"/>
    </xf>
    <xf numFmtId="0" fontId="100" fillId="0" borderId="59" xfId="0" applyFont="1" applyBorder="1" applyAlignment="1">
      <alignment horizontal="center"/>
    </xf>
    <xf numFmtId="0" fontId="100" fillId="0" borderId="73" xfId="0" applyFont="1" applyBorder="1" applyAlignment="1">
      <alignment horizontal="center"/>
    </xf>
    <xf numFmtId="0" fontId="100" fillId="0" borderId="21" xfId="0" applyFont="1" applyBorder="1" applyAlignment="1">
      <alignment horizontal="center"/>
    </xf>
    <xf numFmtId="0" fontId="13" fillId="0" borderId="0" xfId="0" applyFont="1" applyBorder="1" applyAlignment="1">
      <alignment horizontal="justify" vertical="justify" wrapText="1"/>
    </xf>
    <xf numFmtId="0" fontId="104" fillId="0" borderId="14" xfId="0" applyFont="1" applyFill="1" applyBorder="1" applyAlignment="1">
      <alignment horizontal="justify" vertical="justify" wrapText="1"/>
    </xf>
    <xf numFmtId="0" fontId="104" fillId="0" borderId="0" xfId="0" applyFont="1" applyFill="1" applyBorder="1" applyAlignment="1">
      <alignment horizontal="justify" vertical="justify" wrapText="1"/>
    </xf>
    <xf numFmtId="0" fontId="104" fillId="0" borderId="15" xfId="0" applyFont="1" applyFill="1" applyBorder="1" applyAlignment="1">
      <alignment horizontal="justify" vertical="justify" wrapText="1"/>
    </xf>
    <xf numFmtId="0" fontId="101" fillId="0" borderId="0" xfId="0" applyFont="1" applyFill="1" applyAlignment="1">
      <alignment horizontal="left" vertical="justify" wrapText="1"/>
    </xf>
    <xf numFmtId="0" fontId="101" fillId="0" borderId="14" xfId="0" applyFont="1" applyFill="1" applyBorder="1" applyAlignment="1">
      <alignment horizontal="left" vertical="justify" wrapText="1"/>
    </xf>
    <xf numFmtId="0" fontId="101" fillId="0" borderId="0" xfId="0" applyFont="1" applyFill="1" applyBorder="1" applyAlignment="1">
      <alignment horizontal="left" vertical="justify" wrapText="1"/>
    </xf>
    <xf numFmtId="0" fontId="101" fillId="0" borderId="15" xfId="0" applyFont="1" applyFill="1" applyBorder="1" applyAlignment="1">
      <alignment horizontal="left" vertical="justify" wrapText="1"/>
    </xf>
    <xf numFmtId="0" fontId="102" fillId="0" borderId="14" xfId="0" applyFont="1" applyFill="1" applyBorder="1" applyAlignment="1">
      <alignment horizontal="left" vertical="justify" wrapText="1"/>
    </xf>
    <xf numFmtId="0" fontId="102" fillId="0" borderId="0" xfId="0" applyFont="1" applyFill="1" applyBorder="1" applyAlignment="1">
      <alignment horizontal="left" vertical="justify" wrapText="1"/>
    </xf>
    <xf numFmtId="0" fontId="102" fillId="0" borderId="15" xfId="0" applyFont="1" applyFill="1" applyBorder="1" applyAlignment="1">
      <alignment horizontal="left" vertical="justify" wrapText="1"/>
    </xf>
    <xf numFmtId="0" fontId="102" fillId="0" borderId="14" xfId="0" applyFont="1" applyFill="1" applyBorder="1" applyAlignment="1">
      <alignment horizontal="left"/>
    </xf>
    <xf numFmtId="0" fontId="102" fillId="0" borderId="0" xfId="0" applyFont="1" applyFill="1" applyBorder="1" applyAlignment="1">
      <alignment horizontal="left"/>
    </xf>
    <xf numFmtId="0" fontId="102" fillId="0" borderId="15" xfId="0" applyFont="1" applyFill="1" applyBorder="1" applyAlignment="1">
      <alignment horizontal="left"/>
    </xf>
    <xf numFmtId="0" fontId="104" fillId="0" borderId="0" xfId="0" applyFont="1" applyFill="1" applyAlignment="1">
      <alignment horizontal="left" vertical="justify" wrapText="1"/>
    </xf>
    <xf numFmtId="0" fontId="101" fillId="0" borderId="0" xfId="0" applyFont="1" applyAlignment="1">
      <alignment horizontal="left" vertical="top" wrapText="1"/>
    </xf>
    <xf numFmtId="0" fontId="2" fillId="0" borderId="36" xfId="0" applyFont="1" applyFill="1" applyBorder="1" applyAlignment="1">
      <alignment horizontal="left" vertical="justify" wrapText="1"/>
    </xf>
    <xf numFmtId="0" fontId="2" fillId="0" borderId="12" xfId="0" applyFont="1" applyFill="1" applyBorder="1" applyAlignment="1">
      <alignment horizontal="left" vertical="justify" wrapText="1"/>
    </xf>
    <xf numFmtId="0" fontId="2" fillId="0" borderId="16" xfId="0" applyFont="1" applyFill="1" applyBorder="1" applyAlignment="1">
      <alignment horizontal="left" vertical="justify" wrapText="1"/>
    </xf>
    <xf numFmtId="0" fontId="18" fillId="14" borderId="0" xfId="0" applyFont="1" applyFill="1" applyAlignment="1">
      <alignment horizontal="left" vertical="center" wrapText="1"/>
    </xf>
    <xf numFmtId="0" fontId="18" fillId="14" borderId="15" xfId="0" applyFont="1" applyFill="1" applyBorder="1" applyAlignment="1">
      <alignment horizontal="left" vertical="center" wrapText="1"/>
    </xf>
    <xf numFmtId="0" fontId="4" fillId="0" borderId="14"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15" xfId="0" applyFont="1" applyFill="1" applyBorder="1" applyAlignment="1">
      <alignment horizontal="left" vertical="justify" wrapText="1"/>
    </xf>
    <xf numFmtId="0" fontId="104" fillId="0" borderId="14" xfId="0" applyFont="1" applyFill="1" applyBorder="1" applyAlignment="1">
      <alignment horizontal="left" vertical="justify" wrapText="1"/>
    </xf>
    <xf numFmtId="0" fontId="104" fillId="0" borderId="0" xfId="0" applyFont="1" applyFill="1" applyBorder="1" applyAlignment="1">
      <alignment horizontal="left" vertical="justify" wrapText="1"/>
    </xf>
    <xf numFmtId="0" fontId="104" fillId="0" borderId="15" xfId="0" applyFont="1" applyFill="1" applyBorder="1" applyAlignment="1">
      <alignment horizontal="left" vertical="justify" wrapText="1"/>
    </xf>
    <xf numFmtId="0" fontId="104" fillId="0" borderId="0" xfId="0" applyFont="1" applyFill="1" applyBorder="1" applyAlignment="1">
      <alignment horizontal="justify" vertical="justify"/>
    </xf>
    <xf numFmtId="0" fontId="104" fillId="0" borderId="15" xfId="0" applyFont="1" applyFill="1" applyBorder="1" applyAlignment="1">
      <alignment horizontal="justify" vertical="justify"/>
    </xf>
    <xf numFmtId="0" fontId="148" fillId="14" borderId="14" xfId="0" applyFont="1" applyFill="1" applyBorder="1" applyAlignment="1">
      <alignment horizontal="left" wrapText="1"/>
    </xf>
    <xf numFmtId="0" fontId="148" fillId="14" borderId="0" xfId="0" applyFont="1" applyFill="1" applyBorder="1" applyAlignment="1">
      <alignment horizontal="left" wrapText="1"/>
    </xf>
    <xf numFmtId="0" fontId="148" fillId="14" borderId="15" xfId="0" applyFont="1" applyFill="1" applyBorder="1" applyAlignment="1">
      <alignment horizontal="left" wrapText="1"/>
    </xf>
    <xf numFmtId="0" fontId="123" fillId="0" borderId="14" xfId="0" applyFont="1" applyBorder="1" applyAlignment="1">
      <alignment horizontal="left" vertical="top" wrapText="1"/>
    </xf>
    <xf numFmtId="0" fontId="123" fillId="0" borderId="0" xfId="0" applyFont="1" applyBorder="1" applyAlignment="1">
      <alignment horizontal="left" vertical="top" wrapText="1"/>
    </xf>
    <xf numFmtId="0" fontId="123" fillId="0" borderId="15" xfId="0" applyFont="1" applyBorder="1" applyAlignment="1">
      <alignment horizontal="left" vertical="top" wrapText="1"/>
    </xf>
    <xf numFmtId="0" fontId="114" fillId="35" borderId="14" xfId="0" applyFont="1" applyFill="1" applyBorder="1" applyAlignment="1">
      <alignment horizontal="left" vertical="center"/>
    </xf>
    <xf numFmtId="0" fontId="114" fillId="35" borderId="0" xfId="0" applyFont="1" applyFill="1" applyBorder="1" applyAlignment="1">
      <alignment horizontal="left" vertical="center"/>
    </xf>
    <xf numFmtId="0" fontId="114" fillId="35" borderId="15" xfId="0" applyFont="1" applyFill="1" applyBorder="1" applyAlignment="1">
      <alignment horizontal="left" vertical="center"/>
    </xf>
    <xf numFmtId="0" fontId="11" fillId="0" borderId="35" xfId="0" applyFont="1" applyFill="1" applyBorder="1" applyAlignment="1">
      <alignment horizontal="justify" vertical="justify" wrapText="1"/>
    </xf>
    <xf numFmtId="0" fontId="11" fillId="0" borderId="18" xfId="0" applyFont="1" applyFill="1" applyBorder="1" applyAlignment="1">
      <alignment horizontal="justify" vertical="justify" wrapText="1"/>
    </xf>
    <xf numFmtId="0" fontId="11" fillId="0" borderId="37" xfId="0" applyFont="1" applyFill="1" applyBorder="1" applyAlignment="1">
      <alignment horizontal="justify" vertical="justify" wrapText="1"/>
    </xf>
    <xf numFmtId="0" fontId="114" fillId="35" borderId="0" xfId="0" applyFont="1" applyFill="1" applyAlignment="1">
      <alignment horizontal="left"/>
    </xf>
    <xf numFmtId="0" fontId="125" fillId="33" borderId="0" xfId="0" applyFont="1" applyFill="1" applyAlignment="1">
      <alignment horizontal="center"/>
    </xf>
    <xf numFmtId="0" fontId="104" fillId="33" borderId="11" xfId="0" applyFont="1" applyFill="1" applyBorder="1" applyAlignment="1">
      <alignment horizontal="center"/>
    </xf>
    <xf numFmtId="0" fontId="104" fillId="33" borderId="39" xfId="0" applyFont="1" applyFill="1" applyBorder="1" applyAlignment="1">
      <alignment horizontal="center"/>
    </xf>
    <xf numFmtId="0" fontId="101" fillId="0" borderId="0" xfId="0" applyFont="1" applyAlignment="1">
      <alignment horizontal="left" vertical="center"/>
    </xf>
    <xf numFmtId="0" fontId="114" fillId="35" borderId="0" xfId="0" applyFont="1" applyFill="1" applyAlignment="1">
      <alignment horizontal="left" vertical="center"/>
    </xf>
    <xf numFmtId="0" fontId="139" fillId="40" borderId="11" xfId="66" applyFont="1" applyFill="1" applyBorder="1" applyAlignment="1">
      <alignment horizontal="left" vertical="center"/>
      <protection/>
    </xf>
    <xf numFmtId="0" fontId="139" fillId="40" borderId="17" xfId="66" applyFont="1" applyFill="1" applyBorder="1" applyAlignment="1">
      <alignment horizontal="left" vertical="center"/>
      <protection/>
    </xf>
    <xf numFmtId="0" fontId="139" fillId="40" borderId="39" xfId="66" applyFont="1" applyFill="1" applyBorder="1" applyAlignment="1">
      <alignment horizontal="left" vertical="center"/>
      <protection/>
    </xf>
    <xf numFmtId="0" fontId="102" fillId="0" borderId="0" xfId="0" applyFont="1" applyAlignment="1">
      <alignment horizontal="left"/>
    </xf>
    <xf numFmtId="0" fontId="100" fillId="38" borderId="0" xfId="0" applyFont="1" applyFill="1" applyAlignment="1">
      <alignment horizontal="center" vertical="center"/>
    </xf>
    <xf numFmtId="0" fontId="128" fillId="33" borderId="0" xfId="0" applyFont="1" applyFill="1" applyAlignment="1">
      <alignment horizontal="left"/>
    </xf>
    <xf numFmtId="0" fontId="114" fillId="35" borderId="0" xfId="0" applyFont="1" applyFill="1" applyAlignment="1">
      <alignment horizontal="center" vertical="center"/>
    </xf>
    <xf numFmtId="0" fontId="0" fillId="38" borderId="0" xfId="0" applyFill="1" applyAlignment="1">
      <alignment horizontal="center"/>
    </xf>
    <xf numFmtId="0" fontId="127" fillId="38" borderId="0" xfId="0" applyFont="1" applyFill="1" applyAlignment="1">
      <alignment horizontal="center"/>
    </xf>
    <xf numFmtId="0" fontId="18" fillId="38" borderId="0" xfId="0" applyFont="1" applyFill="1" applyAlignment="1">
      <alignment horizontal="left" wrapText="1"/>
    </xf>
    <xf numFmtId="0" fontId="11" fillId="0" borderId="60" xfId="0" applyFont="1" applyBorder="1" applyAlignment="1">
      <alignment horizontal="center" vertical="center" wrapText="1"/>
    </xf>
    <xf numFmtId="0" fontId="11" fillId="0" borderId="71" xfId="0" applyFont="1" applyBorder="1" applyAlignment="1">
      <alignment horizontal="center" vertical="center" wrapText="1"/>
    </xf>
    <xf numFmtId="0" fontId="114" fillId="35" borderId="0" xfId="0" applyFont="1" applyFill="1" applyBorder="1" applyAlignment="1">
      <alignment horizontal="left"/>
    </xf>
    <xf numFmtId="9" fontId="103" fillId="38" borderId="0" xfId="145" applyFont="1" applyFill="1" applyBorder="1" applyAlignment="1">
      <alignment horizontal="center"/>
    </xf>
    <xf numFmtId="9" fontId="137" fillId="38" borderId="0" xfId="145" applyFont="1" applyFill="1" applyBorder="1" applyAlignment="1">
      <alignment horizontal="left"/>
    </xf>
    <xf numFmtId="0" fontId="123" fillId="38" borderId="0" xfId="0" applyFont="1" applyFill="1" applyBorder="1" applyAlignment="1">
      <alignment horizontal="left"/>
    </xf>
    <xf numFmtId="0" fontId="16" fillId="38" borderId="0" xfId="0" applyFont="1" applyFill="1" applyAlignment="1">
      <alignment horizontal="left"/>
    </xf>
    <xf numFmtId="0" fontId="16" fillId="38" borderId="0" xfId="0" applyFont="1" applyFill="1" applyAlignment="1">
      <alignment horizontal="left" vertical="center" wrapText="1"/>
    </xf>
    <xf numFmtId="0" fontId="85" fillId="35" borderId="0" xfId="0" applyFont="1" applyFill="1" applyAlignment="1">
      <alignment horizontal="left"/>
    </xf>
    <xf numFmtId="0" fontId="130" fillId="0" borderId="0" xfId="0" applyFont="1" applyAlignment="1">
      <alignment horizontal="left" vertical="center" wrapText="1"/>
    </xf>
    <xf numFmtId="0" fontId="130" fillId="38" borderId="0" xfId="0" applyFont="1" applyFill="1" applyAlignment="1">
      <alignment horizontal="left" vertical="center" wrapText="1"/>
    </xf>
    <xf numFmtId="0" fontId="130" fillId="38" borderId="0" xfId="0" applyFont="1" applyFill="1" applyAlignment="1">
      <alignment horizontal="left" vertical="center"/>
    </xf>
    <xf numFmtId="0" fontId="16" fillId="38" borderId="0" xfId="0" applyFont="1" applyFill="1" applyAlignment="1">
      <alignment horizontal="left" wrapText="1"/>
    </xf>
    <xf numFmtId="0" fontId="141" fillId="41" borderId="0" xfId="0" applyFont="1" applyFill="1" applyBorder="1" applyAlignment="1">
      <alignment horizontal="left"/>
    </xf>
    <xf numFmtId="0" fontId="18" fillId="41" borderId="0" xfId="0" applyFont="1" applyFill="1" applyBorder="1" applyAlignment="1">
      <alignment horizontal="left" wrapText="1"/>
    </xf>
    <xf numFmtId="0" fontId="22" fillId="44" borderId="74" xfId="86" applyFont="1" applyFill="1" applyBorder="1" applyAlignment="1">
      <alignment horizontal="center"/>
      <protection/>
    </xf>
    <xf numFmtId="0" fontId="22" fillId="44" borderId="75" xfId="86" applyFont="1" applyFill="1" applyBorder="1" applyAlignment="1">
      <alignment horizontal="center"/>
      <protection/>
    </xf>
    <xf numFmtId="0" fontId="22" fillId="44" borderId="76" xfId="86" applyFont="1" applyFill="1" applyBorder="1" applyAlignment="1">
      <alignment horizontal="center"/>
      <protection/>
    </xf>
    <xf numFmtId="0" fontId="4" fillId="0" borderId="77" xfId="86" applyFont="1" applyBorder="1" applyAlignment="1">
      <alignment horizontal="center"/>
      <protection/>
    </xf>
    <xf numFmtId="0" fontId="4" fillId="0" borderId="65" xfId="86" applyFont="1" applyBorder="1" applyAlignment="1">
      <alignment horizontal="center"/>
      <protection/>
    </xf>
    <xf numFmtId="0" fontId="4" fillId="0" borderId="78" xfId="86" applyFont="1" applyBorder="1" applyAlignment="1">
      <alignment horizontal="center"/>
      <protection/>
    </xf>
    <xf numFmtId="0" fontId="24" fillId="44" borderId="14" xfId="86" applyFont="1" applyFill="1" applyBorder="1" applyAlignment="1">
      <alignment horizontal="center"/>
      <protection/>
    </xf>
    <xf numFmtId="0" fontId="24" fillId="44" borderId="0" xfId="86" applyFont="1" applyFill="1" applyBorder="1" applyAlignment="1">
      <alignment horizontal="center"/>
      <protection/>
    </xf>
    <xf numFmtId="0" fontId="24" fillId="44" borderId="15" xfId="86" applyFont="1" applyFill="1" applyBorder="1" applyAlignment="1">
      <alignment horizontal="center"/>
      <protection/>
    </xf>
    <xf numFmtId="0" fontId="13" fillId="0" borderId="10" xfId="86" applyFont="1" applyBorder="1" applyAlignment="1">
      <alignment horizontal="center" vertical="center"/>
      <protection/>
    </xf>
    <xf numFmtId="0" fontId="2" fillId="0" borderId="0" xfId="86" applyFont="1" applyBorder="1" applyAlignment="1">
      <alignment horizontal="center"/>
      <protection/>
    </xf>
    <xf numFmtId="0" fontId="2" fillId="0" borderId="0" xfId="86" applyBorder="1" applyAlignment="1">
      <alignment horizontal="center"/>
      <protection/>
    </xf>
    <xf numFmtId="0" fontId="2" fillId="0" borderId="10" xfId="86" applyBorder="1" applyAlignment="1">
      <alignment horizontal="center"/>
      <protection/>
    </xf>
    <xf numFmtId="0" fontId="3" fillId="0" borderId="14" xfId="86" applyFont="1" applyFill="1" applyBorder="1" applyAlignment="1">
      <alignment horizontal="left"/>
      <protection/>
    </xf>
    <xf numFmtId="0" fontId="3" fillId="0" borderId="0" xfId="86" applyFont="1" applyFill="1" applyBorder="1" applyAlignment="1">
      <alignment horizontal="left"/>
      <protection/>
    </xf>
    <xf numFmtId="0" fontId="3" fillId="0" borderId="15" xfId="86" applyFont="1" applyFill="1" applyBorder="1" applyAlignment="1">
      <alignment horizontal="left"/>
      <protection/>
    </xf>
    <xf numFmtId="3" fontId="2" fillId="0" borderId="11" xfId="86" applyNumberFormat="1" applyBorder="1" applyAlignment="1">
      <alignment horizontal="center"/>
      <protection/>
    </xf>
    <xf numFmtId="3" fontId="2" fillId="0" borderId="39" xfId="86" applyNumberFormat="1" applyBorder="1" applyAlignment="1">
      <alignment horizontal="center"/>
      <protection/>
    </xf>
    <xf numFmtId="0" fontId="13" fillId="0" borderId="10" xfId="86" applyFont="1" applyBorder="1" applyAlignment="1">
      <alignment horizontal="center" wrapText="1" shrinkToFit="1"/>
      <protection/>
    </xf>
    <xf numFmtId="9" fontId="2" fillId="0" borderId="10" xfId="86" applyNumberFormat="1" applyBorder="1" applyAlignment="1">
      <alignment horizontal="center"/>
      <protection/>
    </xf>
    <xf numFmtId="0" fontId="6" fillId="44" borderId="11" xfId="86" applyFont="1" applyFill="1" applyBorder="1" applyAlignment="1">
      <alignment horizontal="center" vertical="center"/>
      <protection/>
    </xf>
    <xf numFmtId="0" fontId="6" fillId="44" borderId="17" xfId="86" applyFont="1" applyFill="1" applyBorder="1" applyAlignment="1">
      <alignment horizontal="center" vertical="center"/>
      <protection/>
    </xf>
    <xf numFmtId="0" fontId="6" fillId="44" borderId="39" xfId="86" applyFont="1" applyFill="1" applyBorder="1" applyAlignment="1">
      <alignment horizontal="center" vertical="center"/>
      <protection/>
    </xf>
    <xf numFmtId="0" fontId="13" fillId="44" borderId="17" xfId="86" applyFont="1" applyFill="1" applyBorder="1" applyAlignment="1">
      <alignment horizontal="center" vertical="center" wrapText="1" shrinkToFit="1"/>
      <protection/>
    </xf>
    <xf numFmtId="0" fontId="13" fillId="44" borderId="39" xfId="86" applyFont="1" applyFill="1" applyBorder="1" applyAlignment="1">
      <alignment horizontal="center" vertical="center" wrapText="1" shrinkToFit="1"/>
      <protection/>
    </xf>
    <xf numFmtId="0" fontId="13" fillId="0" borderId="11" xfId="86" applyFont="1" applyBorder="1" applyAlignment="1">
      <alignment horizontal="center" vertical="center" wrapText="1" shrinkToFit="1"/>
      <protection/>
    </xf>
    <xf numFmtId="0" fontId="13" fillId="0" borderId="39" xfId="86" applyFont="1" applyBorder="1" applyAlignment="1">
      <alignment horizontal="center" vertical="center" wrapText="1" shrinkToFit="1"/>
      <protection/>
    </xf>
  </cellXfs>
  <cellStyles count="14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4 2"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3" xfId="51"/>
    <cellStyle name="Millares 100 11" xfId="52"/>
    <cellStyle name="Millares 174 2" xfId="53"/>
    <cellStyle name="Millares 2" xfId="54"/>
    <cellStyle name="Millares 2 2" xfId="55"/>
    <cellStyle name="Millares 212" xfId="56"/>
    <cellStyle name="Millares 3" xfId="57"/>
    <cellStyle name="Millares 3 11" xfId="58"/>
    <cellStyle name="Millares 4" xfId="59"/>
    <cellStyle name="Millares 654 2 2" xfId="60"/>
    <cellStyle name="Millares 656" xfId="61"/>
    <cellStyle name="Millares 657" xfId="62"/>
    <cellStyle name="Currency" xfId="63"/>
    <cellStyle name="Currency [0]" xfId="64"/>
    <cellStyle name="Neutral" xfId="65"/>
    <cellStyle name="Normal 10 10 2 2 2" xfId="66"/>
    <cellStyle name="Normal 1016" xfId="67"/>
    <cellStyle name="Normal 1018" xfId="68"/>
    <cellStyle name="Normal 1022" xfId="69"/>
    <cellStyle name="Normal 1024" xfId="70"/>
    <cellStyle name="Normal 1025" xfId="71"/>
    <cellStyle name="Normal 1026" xfId="72"/>
    <cellStyle name="Normal 1027" xfId="73"/>
    <cellStyle name="Normal 105" xfId="74"/>
    <cellStyle name="Normal 107" xfId="75"/>
    <cellStyle name="Normal 109" xfId="76"/>
    <cellStyle name="Normal 12 10" xfId="77"/>
    <cellStyle name="Normal 12 2 10" xfId="78"/>
    <cellStyle name="Normal 12 2 2 4" xfId="79"/>
    <cellStyle name="Normal 125" xfId="80"/>
    <cellStyle name="Normal 126" xfId="81"/>
    <cellStyle name="Normal 199 2 2" xfId="82"/>
    <cellStyle name="Normal 2" xfId="83"/>
    <cellStyle name="Normal 2 10 2 2 2" xfId="84"/>
    <cellStyle name="Normal 2 2 2 3" xfId="85"/>
    <cellStyle name="Normal 4" xfId="86"/>
    <cellStyle name="Normal 6" xfId="87"/>
    <cellStyle name="Normal 601" xfId="88"/>
    <cellStyle name="Normal 605" xfId="89"/>
    <cellStyle name="Normal 606" xfId="90"/>
    <cellStyle name="Normal 636" xfId="91"/>
    <cellStyle name="Normal 640" xfId="92"/>
    <cellStyle name="Normal 643" xfId="93"/>
    <cellStyle name="Normal 646" xfId="94"/>
    <cellStyle name="Normal 647" xfId="95"/>
    <cellStyle name="Normal 649" xfId="96"/>
    <cellStyle name="Normal 650" xfId="97"/>
    <cellStyle name="Normal 651" xfId="98"/>
    <cellStyle name="Normal 652" xfId="99"/>
    <cellStyle name="Normal 653" xfId="100"/>
    <cellStyle name="Normal 654" xfId="101"/>
    <cellStyle name="Normal 655" xfId="102"/>
    <cellStyle name="Normal 656" xfId="103"/>
    <cellStyle name="Normal 657" xfId="104"/>
    <cellStyle name="Normal 658" xfId="105"/>
    <cellStyle name="Normal 659" xfId="106"/>
    <cellStyle name="Normal 660" xfId="107"/>
    <cellStyle name="Normal 662" xfId="108"/>
    <cellStyle name="Normal 663" xfId="109"/>
    <cellStyle name="Normal 664" xfId="110"/>
    <cellStyle name="Normal 665" xfId="111"/>
    <cellStyle name="Normal 667" xfId="112"/>
    <cellStyle name="Normal 673" xfId="113"/>
    <cellStyle name="Normal 674" xfId="114"/>
    <cellStyle name="Normal 675" xfId="115"/>
    <cellStyle name="Normal 676" xfId="116"/>
    <cellStyle name="Normal 677" xfId="117"/>
    <cellStyle name="Normal 678" xfId="118"/>
    <cellStyle name="Normal 679" xfId="119"/>
    <cellStyle name="Normal 684" xfId="120"/>
    <cellStyle name="Normal 713" xfId="121"/>
    <cellStyle name="Normal 714" xfId="122"/>
    <cellStyle name="Normal 715" xfId="123"/>
    <cellStyle name="Normal 744" xfId="124"/>
    <cellStyle name="Normal 802" xfId="125"/>
    <cellStyle name="Normal 944" xfId="126"/>
    <cellStyle name="Normal 947" xfId="127"/>
    <cellStyle name="Normal 952" xfId="128"/>
    <cellStyle name="Normal 957" xfId="129"/>
    <cellStyle name="Normal 958" xfId="130"/>
    <cellStyle name="Normal 959" xfId="131"/>
    <cellStyle name="Normal 960" xfId="132"/>
    <cellStyle name="Normal 961" xfId="133"/>
    <cellStyle name="Normal 962" xfId="134"/>
    <cellStyle name="Normal 963" xfId="135"/>
    <cellStyle name="Normal 964" xfId="136"/>
    <cellStyle name="Normal 965" xfId="137"/>
    <cellStyle name="Normal 966" xfId="138"/>
    <cellStyle name="Normal 967" xfId="139"/>
    <cellStyle name="Normal 971" xfId="140"/>
    <cellStyle name="Normal 986" xfId="141"/>
    <cellStyle name="Normal_ANEXOC" xfId="142"/>
    <cellStyle name="Normal_ANEXOJ" xfId="143"/>
    <cellStyle name="Notas" xfId="144"/>
    <cellStyle name="Percent" xfId="145"/>
    <cellStyle name="Salida" xfId="146"/>
    <cellStyle name="Texto de advertencia" xfId="147"/>
    <cellStyle name="Texto explicativo" xfId="148"/>
    <cellStyle name="Título" xfId="149"/>
    <cellStyle name="Título 1" xfId="150"/>
    <cellStyle name="Título 2" xfId="151"/>
    <cellStyle name="Título 3" xfId="152"/>
    <cellStyle name="Total" xfId="1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externalLink" Target="externalLinks/externalLink3.xml" /><Relationship Id="rId54" Type="http://schemas.openxmlformats.org/officeDocument/2006/relationships/externalLink" Target="externalLinks/externalLink4.xml" /><Relationship Id="rId55" Type="http://schemas.openxmlformats.org/officeDocument/2006/relationships/externalLink" Target="externalLinks/externalLink5.xml" /><Relationship Id="rId56" Type="http://schemas.openxmlformats.org/officeDocument/2006/relationships/externalLink" Target="externalLinks/externalLink6.xml" /><Relationship Id="rId57" Type="http://schemas.openxmlformats.org/officeDocument/2006/relationships/externalLink" Target="externalLinks/externalLink7.xml" /><Relationship Id="rId5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6.xml.rels><?xml version="1.0" encoding="utf-8" standalone="yes"?><Relationships xmlns="http://schemas.openxmlformats.org/package/2006/relationships"><Relationship Id="rId1" Type="http://schemas.openxmlformats.org/officeDocument/2006/relationships/image" Target="../media/image3.emf" /></Relationships>
</file>

<file path=xl/drawings/_rels/drawing4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0</xdr:col>
      <xdr:colOff>1352550</xdr:colOff>
      <xdr:row>3</xdr:row>
      <xdr:rowOff>47625</xdr:rowOff>
    </xdr:to>
    <xdr:pic>
      <xdr:nvPicPr>
        <xdr:cNvPr id="1" name="Picture 1" descr="image001"/>
        <xdr:cNvPicPr preferRelativeResize="1">
          <a:picLocks noChangeAspect="1"/>
        </xdr:cNvPicPr>
      </xdr:nvPicPr>
      <xdr:blipFill>
        <a:blip r:embed="rId1"/>
        <a:stretch>
          <a:fillRect/>
        </a:stretch>
      </xdr:blipFill>
      <xdr:spPr>
        <a:xfrm>
          <a:off x="104775" y="76200"/>
          <a:ext cx="1247775" cy="457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190500</xdr:colOff>
      <xdr:row>34</xdr:row>
      <xdr:rowOff>47625</xdr:rowOff>
    </xdr:from>
    <xdr:to>
      <xdr:col>6</xdr:col>
      <xdr:colOff>190500</xdr:colOff>
      <xdr:row>43</xdr:row>
      <xdr:rowOff>38100</xdr:rowOff>
    </xdr:to>
    <xdr:pic>
      <xdr:nvPicPr>
        <xdr:cNvPr id="1" name="Imagen 1"/>
        <xdr:cNvPicPr preferRelativeResize="1">
          <a:picLocks noChangeAspect="1"/>
        </xdr:cNvPicPr>
      </xdr:nvPicPr>
      <xdr:blipFill>
        <a:blip r:embed="rId1"/>
        <a:srcRect l="11004" r="10534" b="16900"/>
        <a:stretch>
          <a:fillRect/>
        </a:stretch>
      </xdr:blipFill>
      <xdr:spPr>
        <a:xfrm>
          <a:off x="8048625" y="6858000"/>
          <a:ext cx="4105275" cy="1447800"/>
        </a:xfrm>
        <a:prstGeom prst="rect">
          <a:avLst/>
        </a:prstGeom>
        <a:noFill/>
        <a:ln w="9525" cmpd="sng">
          <a:noFill/>
        </a:ln>
      </xdr:spPr>
    </xdr:pic>
    <xdr:clientData/>
  </xdr:twoCellAnchor>
  <xdr:twoCellAnchor>
    <xdr:from>
      <xdr:col>7</xdr:col>
      <xdr:colOff>0</xdr:colOff>
      <xdr:row>0</xdr:row>
      <xdr:rowOff>0</xdr:rowOff>
    </xdr:from>
    <xdr:to>
      <xdr:col>7</xdr:col>
      <xdr:colOff>1247775</xdr:colOff>
      <xdr:row>2</xdr:row>
      <xdr:rowOff>76200</xdr:rowOff>
    </xdr:to>
    <xdr:pic>
      <xdr:nvPicPr>
        <xdr:cNvPr id="2" name="Picture 1" descr="image001"/>
        <xdr:cNvPicPr preferRelativeResize="1">
          <a:picLocks noChangeAspect="1"/>
        </xdr:cNvPicPr>
      </xdr:nvPicPr>
      <xdr:blipFill>
        <a:blip r:embed="rId2"/>
        <a:stretch>
          <a:fillRect/>
        </a:stretch>
      </xdr:blipFill>
      <xdr:spPr>
        <a:xfrm>
          <a:off x="12944475" y="0"/>
          <a:ext cx="1247775" cy="457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762000</xdr:colOff>
      <xdr:row>0</xdr:row>
      <xdr:rowOff>47625</xdr:rowOff>
    </xdr:from>
    <xdr:to>
      <xdr:col>6</xdr:col>
      <xdr:colOff>790575</xdr:colOff>
      <xdr:row>2</xdr:row>
      <xdr:rowOff>152400</xdr:rowOff>
    </xdr:to>
    <xdr:pic>
      <xdr:nvPicPr>
        <xdr:cNvPr id="1" name="Picture 1" descr="image001"/>
        <xdr:cNvPicPr preferRelativeResize="1">
          <a:picLocks noChangeAspect="1"/>
        </xdr:cNvPicPr>
      </xdr:nvPicPr>
      <xdr:blipFill>
        <a:blip r:embed="rId1"/>
        <a:stretch>
          <a:fillRect/>
        </a:stretch>
      </xdr:blipFill>
      <xdr:spPr>
        <a:xfrm>
          <a:off x="8905875" y="47625"/>
          <a:ext cx="1247775" cy="457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0</xdr:row>
      <xdr:rowOff>0</xdr:rowOff>
    </xdr:from>
    <xdr:to>
      <xdr:col>2</xdr:col>
      <xdr:colOff>1057275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4419600" y="0"/>
          <a:ext cx="1247775" cy="4572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0</xdr:row>
      <xdr:rowOff>47625</xdr:rowOff>
    </xdr:from>
    <xdr:to>
      <xdr:col>2</xdr:col>
      <xdr:colOff>1638300</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4705350" y="47625"/>
          <a:ext cx="1247775" cy="4572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1</xdr:row>
      <xdr:rowOff>95250</xdr:rowOff>
    </xdr:from>
    <xdr:to>
      <xdr:col>12</xdr:col>
      <xdr:colOff>723900</xdr:colOff>
      <xdr:row>3</xdr:row>
      <xdr:rowOff>171450</xdr:rowOff>
    </xdr:to>
    <xdr:pic>
      <xdr:nvPicPr>
        <xdr:cNvPr id="1" name="Picture 1" descr="image001"/>
        <xdr:cNvPicPr preferRelativeResize="1">
          <a:picLocks noChangeAspect="1"/>
        </xdr:cNvPicPr>
      </xdr:nvPicPr>
      <xdr:blipFill>
        <a:blip r:embed="rId1"/>
        <a:stretch>
          <a:fillRect/>
        </a:stretch>
      </xdr:blipFill>
      <xdr:spPr>
        <a:xfrm>
          <a:off x="11811000" y="285750"/>
          <a:ext cx="1247775" cy="4572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1038225</xdr:colOff>
      <xdr:row>0</xdr:row>
      <xdr:rowOff>19050</xdr:rowOff>
    </xdr:from>
    <xdr:to>
      <xdr:col>4</xdr:col>
      <xdr:colOff>9525</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4829175" y="19050"/>
          <a:ext cx="1247775" cy="4572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57150</xdr:rowOff>
    </xdr:from>
    <xdr:to>
      <xdr:col>4</xdr:col>
      <xdr:colOff>495300</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4819650" y="57150"/>
          <a:ext cx="1247775" cy="4572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0</xdr:row>
      <xdr:rowOff>66675</xdr:rowOff>
    </xdr:from>
    <xdr:to>
      <xdr:col>3</xdr:col>
      <xdr:colOff>609600</xdr:colOff>
      <xdr:row>2</xdr:row>
      <xdr:rowOff>142875</xdr:rowOff>
    </xdr:to>
    <xdr:pic>
      <xdr:nvPicPr>
        <xdr:cNvPr id="1" name="Picture 1" descr="image001"/>
        <xdr:cNvPicPr preferRelativeResize="1">
          <a:picLocks noChangeAspect="1"/>
        </xdr:cNvPicPr>
      </xdr:nvPicPr>
      <xdr:blipFill>
        <a:blip r:embed="rId1"/>
        <a:stretch>
          <a:fillRect/>
        </a:stretch>
      </xdr:blipFill>
      <xdr:spPr>
        <a:xfrm>
          <a:off x="3305175" y="66675"/>
          <a:ext cx="1247775" cy="4572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1095375</xdr:colOff>
      <xdr:row>0</xdr:row>
      <xdr:rowOff>66675</xdr:rowOff>
    </xdr:from>
    <xdr:to>
      <xdr:col>4</xdr:col>
      <xdr:colOff>1114425</xdr:colOff>
      <xdr:row>2</xdr:row>
      <xdr:rowOff>142875</xdr:rowOff>
    </xdr:to>
    <xdr:pic>
      <xdr:nvPicPr>
        <xdr:cNvPr id="1" name="Picture 1" descr="image001"/>
        <xdr:cNvPicPr preferRelativeResize="1">
          <a:picLocks noChangeAspect="1"/>
        </xdr:cNvPicPr>
      </xdr:nvPicPr>
      <xdr:blipFill>
        <a:blip r:embed="rId1"/>
        <a:stretch>
          <a:fillRect/>
        </a:stretch>
      </xdr:blipFill>
      <xdr:spPr>
        <a:xfrm>
          <a:off x="8239125" y="66675"/>
          <a:ext cx="1247775" cy="4572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1181100</xdr:colOff>
      <xdr:row>0</xdr:row>
      <xdr:rowOff>66675</xdr:rowOff>
    </xdr:from>
    <xdr:to>
      <xdr:col>11</xdr:col>
      <xdr:colOff>1219200</xdr:colOff>
      <xdr:row>2</xdr:row>
      <xdr:rowOff>142875</xdr:rowOff>
    </xdr:to>
    <xdr:pic>
      <xdr:nvPicPr>
        <xdr:cNvPr id="1" name="Picture 1" descr="image001"/>
        <xdr:cNvPicPr preferRelativeResize="1">
          <a:picLocks noChangeAspect="1"/>
        </xdr:cNvPicPr>
      </xdr:nvPicPr>
      <xdr:blipFill>
        <a:blip r:embed="rId1"/>
        <a:stretch>
          <a:fillRect/>
        </a:stretch>
      </xdr:blipFill>
      <xdr:spPr>
        <a:xfrm>
          <a:off x="14925675" y="66675"/>
          <a:ext cx="124777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0</xdr:rowOff>
    </xdr:from>
    <xdr:to>
      <xdr:col>6</xdr:col>
      <xdr:colOff>1247775</xdr:colOff>
      <xdr:row>4</xdr:row>
      <xdr:rowOff>38100</xdr:rowOff>
    </xdr:to>
    <xdr:pic>
      <xdr:nvPicPr>
        <xdr:cNvPr id="1" name="Picture 1" descr="image001"/>
        <xdr:cNvPicPr preferRelativeResize="1">
          <a:picLocks noChangeAspect="1"/>
        </xdr:cNvPicPr>
      </xdr:nvPicPr>
      <xdr:blipFill>
        <a:blip r:embed="rId1"/>
        <a:stretch>
          <a:fillRect/>
        </a:stretch>
      </xdr:blipFill>
      <xdr:spPr>
        <a:xfrm>
          <a:off x="6019800" y="190500"/>
          <a:ext cx="1247775" cy="5048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95250</xdr:rowOff>
    </xdr:from>
    <xdr:to>
      <xdr:col>2</xdr:col>
      <xdr:colOff>1247775</xdr:colOff>
      <xdr:row>2</xdr:row>
      <xdr:rowOff>171450</xdr:rowOff>
    </xdr:to>
    <xdr:pic>
      <xdr:nvPicPr>
        <xdr:cNvPr id="1" name="Picture 1" descr="image001"/>
        <xdr:cNvPicPr preferRelativeResize="1">
          <a:picLocks noChangeAspect="1"/>
        </xdr:cNvPicPr>
      </xdr:nvPicPr>
      <xdr:blipFill>
        <a:blip r:embed="rId1"/>
        <a:stretch>
          <a:fillRect/>
        </a:stretch>
      </xdr:blipFill>
      <xdr:spPr>
        <a:xfrm>
          <a:off x="4200525" y="95250"/>
          <a:ext cx="1247775" cy="4572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1457325</xdr:colOff>
      <xdr:row>0</xdr:row>
      <xdr:rowOff>28575</xdr:rowOff>
    </xdr:from>
    <xdr:to>
      <xdr:col>4</xdr:col>
      <xdr:colOff>428625</xdr:colOff>
      <xdr:row>2</xdr:row>
      <xdr:rowOff>104775</xdr:rowOff>
    </xdr:to>
    <xdr:pic>
      <xdr:nvPicPr>
        <xdr:cNvPr id="1" name="Picture 1" descr="image001"/>
        <xdr:cNvPicPr preferRelativeResize="1">
          <a:picLocks noChangeAspect="1"/>
        </xdr:cNvPicPr>
      </xdr:nvPicPr>
      <xdr:blipFill>
        <a:blip r:embed="rId1"/>
        <a:stretch>
          <a:fillRect/>
        </a:stretch>
      </xdr:blipFill>
      <xdr:spPr>
        <a:xfrm>
          <a:off x="6200775" y="28575"/>
          <a:ext cx="1247775" cy="4572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47625</xdr:rowOff>
    </xdr:from>
    <xdr:to>
      <xdr:col>5</xdr:col>
      <xdr:colOff>438150</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7181850" y="47625"/>
          <a:ext cx="1247775" cy="4572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0</xdr:row>
      <xdr:rowOff>0</xdr:rowOff>
    </xdr:from>
    <xdr:to>
      <xdr:col>4</xdr:col>
      <xdr:colOff>752475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5705475" y="0"/>
          <a:ext cx="1247775" cy="4572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7</xdr:col>
      <xdr:colOff>104775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10401300" y="0"/>
          <a:ext cx="1247775" cy="4572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1143000</xdr:colOff>
      <xdr:row>0</xdr:row>
      <xdr:rowOff>0</xdr:rowOff>
    </xdr:from>
    <xdr:to>
      <xdr:col>2</xdr:col>
      <xdr:colOff>1085850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3695700" y="0"/>
          <a:ext cx="1247775" cy="4572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1238250</xdr:colOff>
      <xdr:row>0</xdr:row>
      <xdr:rowOff>28575</xdr:rowOff>
    </xdr:from>
    <xdr:to>
      <xdr:col>4</xdr:col>
      <xdr:colOff>457200</xdr:colOff>
      <xdr:row>2</xdr:row>
      <xdr:rowOff>104775</xdr:rowOff>
    </xdr:to>
    <xdr:pic>
      <xdr:nvPicPr>
        <xdr:cNvPr id="1" name="Picture 1" descr="image001"/>
        <xdr:cNvPicPr preferRelativeResize="1">
          <a:picLocks noChangeAspect="1"/>
        </xdr:cNvPicPr>
      </xdr:nvPicPr>
      <xdr:blipFill>
        <a:blip r:embed="rId1"/>
        <a:stretch>
          <a:fillRect/>
        </a:stretch>
      </xdr:blipFill>
      <xdr:spPr>
        <a:xfrm>
          <a:off x="4800600" y="28575"/>
          <a:ext cx="1247775" cy="4572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28575</xdr:rowOff>
    </xdr:from>
    <xdr:to>
      <xdr:col>8</xdr:col>
      <xdr:colOff>85725</xdr:colOff>
      <xdr:row>10</xdr:row>
      <xdr:rowOff>171450</xdr:rowOff>
    </xdr:to>
    <xdr:sp>
      <xdr:nvSpPr>
        <xdr:cNvPr id="1" name="CuadroTexto 2"/>
        <xdr:cNvSpPr txBox="1">
          <a:spLocks noChangeArrowheads="1"/>
        </xdr:cNvSpPr>
      </xdr:nvSpPr>
      <xdr:spPr>
        <a:xfrm>
          <a:off x="47625" y="1552575"/>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p>
      </xdr:txBody>
    </xdr:sp>
    <xdr:clientData/>
  </xdr:twoCellAnchor>
  <xdr:twoCellAnchor>
    <xdr:from>
      <xdr:col>0</xdr:col>
      <xdr:colOff>47625</xdr:colOff>
      <xdr:row>12</xdr:row>
      <xdr:rowOff>38100</xdr:rowOff>
    </xdr:from>
    <xdr:to>
      <xdr:col>8</xdr:col>
      <xdr:colOff>85725</xdr:colOff>
      <xdr:row>14</xdr:row>
      <xdr:rowOff>180975</xdr:rowOff>
    </xdr:to>
    <xdr:sp>
      <xdr:nvSpPr>
        <xdr:cNvPr id="2" name="CuadroTexto 3"/>
        <xdr:cNvSpPr txBox="1">
          <a:spLocks noChangeArrowheads="1"/>
        </xdr:cNvSpPr>
      </xdr:nvSpPr>
      <xdr:spPr>
        <a:xfrm>
          <a:off x="47625" y="2324100"/>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16</xdr:row>
      <xdr:rowOff>28575</xdr:rowOff>
    </xdr:from>
    <xdr:to>
      <xdr:col>8</xdr:col>
      <xdr:colOff>85725</xdr:colOff>
      <xdr:row>18</xdr:row>
      <xdr:rowOff>171450</xdr:rowOff>
    </xdr:to>
    <xdr:sp>
      <xdr:nvSpPr>
        <xdr:cNvPr id="3" name="CuadroTexto 4"/>
        <xdr:cNvSpPr txBox="1">
          <a:spLocks noChangeArrowheads="1"/>
        </xdr:cNvSpPr>
      </xdr:nvSpPr>
      <xdr:spPr>
        <a:xfrm>
          <a:off x="47625" y="3076575"/>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23</xdr:row>
      <xdr:rowOff>85725</xdr:rowOff>
    </xdr:from>
    <xdr:to>
      <xdr:col>8</xdr:col>
      <xdr:colOff>85725</xdr:colOff>
      <xdr:row>26</xdr:row>
      <xdr:rowOff>38100</xdr:rowOff>
    </xdr:to>
    <xdr:sp>
      <xdr:nvSpPr>
        <xdr:cNvPr id="4" name="CuadroTexto 5"/>
        <xdr:cNvSpPr txBox="1">
          <a:spLocks noChangeArrowheads="1"/>
        </xdr:cNvSpPr>
      </xdr:nvSpPr>
      <xdr:spPr>
        <a:xfrm>
          <a:off x="47625" y="4467225"/>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r>
            <a:rPr lang="en-US" cap="none" sz="1100" b="0" i="0" u="none" baseline="0">
              <a:solidFill>
                <a:srgbClr val="000000"/>
              </a:solidFill>
              <a:latin typeface="Calibri"/>
              <a:ea typeface="Calibri"/>
              <a:cs typeface="Calibri"/>
            </a:rPr>
            <a:t>
</a:t>
          </a:r>
        </a:p>
      </xdr:txBody>
    </xdr:sp>
    <xdr:clientData/>
  </xdr:twoCellAnchor>
  <xdr:twoCellAnchor>
    <xdr:from>
      <xdr:col>6</xdr:col>
      <xdr:colOff>114300</xdr:colOff>
      <xdr:row>0</xdr:row>
      <xdr:rowOff>76200</xdr:rowOff>
    </xdr:from>
    <xdr:to>
      <xdr:col>7</xdr:col>
      <xdr:colOff>600075</xdr:colOff>
      <xdr:row>2</xdr:row>
      <xdr:rowOff>152400</xdr:rowOff>
    </xdr:to>
    <xdr:pic>
      <xdr:nvPicPr>
        <xdr:cNvPr id="5" name="Picture 1" descr="image001"/>
        <xdr:cNvPicPr preferRelativeResize="1">
          <a:picLocks noChangeAspect="1"/>
        </xdr:cNvPicPr>
      </xdr:nvPicPr>
      <xdr:blipFill>
        <a:blip r:embed="rId1"/>
        <a:stretch>
          <a:fillRect/>
        </a:stretch>
      </xdr:blipFill>
      <xdr:spPr>
        <a:xfrm>
          <a:off x="6410325" y="76200"/>
          <a:ext cx="1247775" cy="4572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19050</xdr:rowOff>
    </xdr:from>
    <xdr:to>
      <xdr:col>4</xdr:col>
      <xdr:colOff>542925</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5305425" y="19050"/>
          <a:ext cx="1247775" cy="4572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1247775</xdr:colOff>
      <xdr:row>0</xdr:row>
      <xdr:rowOff>76200</xdr:rowOff>
    </xdr:from>
    <xdr:to>
      <xdr:col>4</xdr:col>
      <xdr:colOff>466725</xdr:colOff>
      <xdr:row>2</xdr:row>
      <xdr:rowOff>152400</xdr:rowOff>
    </xdr:to>
    <xdr:pic>
      <xdr:nvPicPr>
        <xdr:cNvPr id="1" name="Picture 1" descr="image001"/>
        <xdr:cNvPicPr preferRelativeResize="1">
          <a:picLocks noChangeAspect="1"/>
        </xdr:cNvPicPr>
      </xdr:nvPicPr>
      <xdr:blipFill>
        <a:blip r:embed="rId1"/>
        <a:stretch>
          <a:fillRect/>
        </a:stretch>
      </xdr:blipFill>
      <xdr:spPr>
        <a:xfrm>
          <a:off x="5229225" y="76200"/>
          <a:ext cx="1247775"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1247775</xdr:colOff>
      <xdr:row>3</xdr:row>
      <xdr:rowOff>133350</xdr:rowOff>
    </xdr:to>
    <xdr:pic>
      <xdr:nvPicPr>
        <xdr:cNvPr id="1" name="Picture 1" descr="image001"/>
        <xdr:cNvPicPr preferRelativeResize="1">
          <a:picLocks noChangeAspect="1"/>
        </xdr:cNvPicPr>
      </xdr:nvPicPr>
      <xdr:blipFill>
        <a:blip r:embed="rId1"/>
        <a:stretch>
          <a:fillRect/>
        </a:stretch>
      </xdr:blipFill>
      <xdr:spPr>
        <a:xfrm>
          <a:off x="6943725" y="190500"/>
          <a:ext cx="1247775" cy="4857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0</xdr:row>
      <xdr:rowOff>19050</xdr:rowOff>
    </xdr:from>
    <xdr:to>
      <xdr:col>6</xdr:col>
      <xdr:colOff>95250</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6524625" y="19050"/>
          <a:ext cx="1247775" cy="4572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0</xdr:row>
      <xdr:rowOff>0</xdr:rowOff>
    </xdr:from>
    <xdr:to>
      <xdr:col>6</xdr:col>
      <xdr:colOff>28575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5953125" y="0"/>
          <a:ext cx="1247775" cy="4572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1</xdr:row>
      <xdr:rowOff>0</xdr:rowOff>
    </xdr:from>
    <xdr:to>
      <xdr:col>7</xdr:col>
      <xdr:colOff>19050</xdr:colOff>
      <xdr:row>3</xdr:row>
      <xdr:rowOff>76200</xdr:rowOff>
    </xdr:to>
    <xdr:pic>
      <xdr:nvPicPr>
        <xdr:cNvPr id="1" name="Picture 1" descr="image001"/>
        <xdr:cNvPicPr preferRelativeResize="1">
          <a:picLocks noChangeAspect="1"/>
        </xdr:cNvPicPr>
      </xdr:nvPicPr>
      <xdr:blipFill>
        <a:blip r:embed="rId1"/>
        <a:stretch>
          <a:fillRect/>
        </a:stretch>
      </xdr:blipFill>
      <xdr:spPr>
        <a:xfrm>
          <a:off x="10506075" y="190500"/>
          <a:ext cx="1247775" cy="4572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0</xdr:row>
      <xdr:rowOff>104775</xdr:rowOff>
    </xdr:from>
    <xdr:to>
      <xdr:col>7</xdr:col>
      <xdr:colOff>28575</xdr:colOff>
      <xdr:row>2</xdr:row>
      <xdr:rowOff>180975</xdr:rowOff>
    </xdr:to>
    <xdr:pic>
      <xdr:nvPicPr>
        <xdr:cNvPr id="1" name="Picture 1" descr="image001"/>
        <xdr:cNvPicPr preferRelativeResize="1">
          <a:picLocks noChangeAspect="1"/>
        </xdr:cNvPicPr>
      </xdr:nvPicPr>
      <xdr:blipFill>
        <a:blip r:embed="rId1"/>
        <a:stretch>
          <a:fillRect/>
        </a:stretch>
      </xdr:blipFill>
      <xdr:spPr>
        <a:xfrm>
          <a:off x="6496050" y="104775"/>
          <a:ext cx="1247775" cy="4572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885825</xdr:colOff>
      <xdr:row>0</xdr:row>
      <xdr:rowOff>133350</xdr:rowOff>
    </xdr:from>
    <xdr:to>
      <xdr:col>6</xdr:col>
      <xdr:colOff>981075</xdr:colOff>
      <xdr:row>3</xdr:row>
      <xdr:rowOff>19050</xdr:rowOff>
    </xdr:to>
    <xdr:pic>
      <xdr:nvPicPr>
        <xdr:cNvPr id="1" name="Picture 1" descr="image001"/>
        <xdr:cNvPicPr preferRelativeResize="1">
          <a:picLocks noChangeAspect="1"/>
        </xdr:cNvPicPr>
      </xdr:nvPicPr>
      <xdr:blipFill>
        <a:blip r:embed="rId1"/>
        <a:stretch>
          <a:fillRect/>
        </a:stretch>
      </xdr:blipFill>
      <xdr:spPr>
        <a:xfrm>
          <a:off x="8410575" y="133350"/>
          <a:ext cx="1247775" cy="45720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0</xdr:row>
      <xdr:rowOff>28575</xdr:rowOff>
    </xdr:from>
    <xdr:to>
      <xdr:col>3</xdr:col>
      <xdr:colOff>561975</xdr:colOff>
      <xdr:row>2</xdr:row>
      <xdr:rowOff>104775</xdr:rowOff>
    </xdr:to>
    <xdr:pic>
      <xdr:nvPicPr>
        <xdr:cNvPr id="1" name="Picture 1" descr="image001"/>
        <xdr:cNvPicPr preferRelativeResize="1">
          <a:picLocks noChangeAspect="1"/>
        </xdr:cNvPicPr>
      </xdr:nvPicPr>
      <xdr:blipFill>
        <a:blip r:embed="rId1"/>
        <a:stretch>
          <a:fillRect/>
        </a:stretch>
      </xdr:blipFill>
      <xdr:spPr>
        <a:xfrm>
          <a:off x="4181475" y="28575"/>
          <a:ext cx="1247775" cy="45720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0</xdr:row>
      <xdr:rowOff>0</xdr:rowOff>
    </xdr:from>
    <xdr:to>
      <xdr:col>3</xdr:col>
      <xdr:colOff>685800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4381500" y="0"/>
          <a:ext cx="1247775" cy="45720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38100</xdr:rowOff>
    </xdr:from>
    <xdr:to>
      <xdr:col>3</xdr:col>
      <xdr:colOff>695325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4248150" y="38100"/>
          <a:ext cx="1247775" cy="41910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0</xdr:row>
      <xdr:rowOff>47625</xdr:rowOff>
    </xdr:from>
    <xdr:to>
      <xdr:col>3</xdr:col>
      <xdr:colOff>609600</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3590925" y="47625"/>
          <a:ext cx="1247775" cy="45720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0</xdr:row>
      <xdr:rowOff>57150</xdr:rowOff>
    </xdr:from>
    <xdr:to>
      <xdr:col>3</xdr:col>
      <xdr:colOff>666750</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5219700" y="57150"/>
          <a:ext cx="1247775"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190500</xdr:rowOff>
    </xdr:from>
    <xdr:to>
      <xdr:col>22</xdr:col>
      <xdr:colOff>180975</xdr:colOff>
      <xdr:row>3</xdr:row>
      <xdr:rowOff>171450</xdr:rowOff>
    </xdr:to>
    <xdr:pic>
      <xdr:nvPicPr>
        <xdr:cNvPr id="1" name="Picture 1" descr="image001"/>
        <xdr:cNvPicPr preferRelativeResize="1">
          <a:picLocks noChangeAspect="1"/>
        </xdr:cNvPicPr>
      </xdr:nvPicPr>
      <xdr:blipFill>
        <a:blip r:embed="rId1"/>
        <a:stretch>
          <a:fillRect/>
        </a:stretch>
      </xdr:blipFill>
      <xdr:spPr>
        <a:xfrm>
          <a:off x="14420850" y="190500"/>
          <a:ext cx="1419225" cy="55245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0</xdr:row>
      <xdr:rowOff>0</xdr:rowOff>
    </xdr:from>
    <xdr:to>
      <xdr:col>3</xdr:col>
      <xdr:colOff>1438275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6257925" y="0"/>
          <a:ext cx="1247775" cy="45720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0</xdr:row>
      <xdr:rowOff>47625</xdr:rowOff>
    </xdr:from>
    <xdr:to>
      <xdr:col>5</xdr:col>
      <xdr:colOff>114300</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7191375" y="47625"/>
          <a:ext cx="1247775" cy="457200"/>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390525</xdr:colOff>
      <xdr:row>0</xdr:row>
      <xdr:rowOff>66675</xdr:rowOff>
    </xdr:from>
    <xdr:to>
      <xdr:col>7</xdr:col>
      <xdr:colOff>876300</xdr:colOff>
      <xdr:row>2</xdr:row>
      <xdr:rowOff>142875</xdr:rowOff>
    </xdr:to>
    <xdr:pic>
      <xdr:nvPicPr>
        <xdr:cNvPr id="1" name="Picture 1" descr="image001"/>
        <xdr:cNvPicPr preferRelativeResize="1">
          <a:picLocks noChangeAspect="1"/>
        </xdr:cNvPicPr>
      </xdr:nvPicPr>
      <xdr:blipFill>
        <a:blip r:embed="rId1"/>
        <a:stretch>
          <a:fillRect/>
        </a:stretch>
      </xdr:blipFill>
      <xdr:spPr>
        <a:xfrm>
          <a:off x="9391650" y="66675"/>
          <a:ext cx="1247775" cy="457200"/>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0</xdr:row>
      <xdr:rowOff>47625</xdr:rowOff>
    </xdr:from>
    <xdr:to>
      <xdr:col>6</xdr:col>
      <xdr:colOff>619125</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8096250" y="47625"/>
          <a:ext cx="1247775" cy="457200"/>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95250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9763125" y="0"/>
          <a:ext cx="1247775" cy="457200"/>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0</xdr:row>
      <xdr:rowOff>95250</xdr:rowOff>
    </xdr:from>
    <xdr:to>
      <xdr:col>4</xdr:col>
      <xdr:colOff>57150</xdr:colOff>
      <xdr:row>2</xdr:row>
      <xdr:rowOff>171450</xdr:rowOff>
    </xdr:to>
    <xdr:pic>
      <xdr:nvPicPr>
        <xdr:cNvPr id="1" name="Picture 1" descr="image001"/>
        <xdr:cNvPicPr preferRelativeResize="1">
          <a:picLocks noChangeAspect="1"/>
        </xdr:cNvPicPr>
      </xdr:nvPicPr>
      <xdr:blipFill>
        <a:blip r:embed="rId1"/>
        <a:stretch>
          <a:fillRect/>
        </a:stretch>
      </xdr:blipFill>
      <xdr:spPr>
        <a:xfrm>
          <a:off x="4714875" y="95250"/>
          <a:ext cx="1247775" cy="457200"/>
        </a:xfrm>
        <a:prstGeom prst="rect">
          <a:avLst/>
        </a:prstGeom>
        <a:noFill/>
        <a:ln w="9525" cmpd="sng">
          <a:noFill/>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0</xdr:rowOff>
    </xdr:from>
    <xdr:to>
      <xdr:col>0</xdr:col>
      <xdr:colOff>4105275</xdr:colOff>
      <xdr:row>36</xdr:row>
      <xdr:rowOff>123825</xdr:rowOff>
    </xdr:to>
    <xdr:pic>
      <xdr:nvPicPr>
        <xdr:cNvPr id="1" name="Imagen 1"/>
        <xdr:cNvPicPr preferRelativeResize="1">
          <a:picLocks noChangeAspect="1"/>
        </xdr:cNvPicPr>
      </xdr:nvPicPr>
      <xdr:blipFill>
        <a:blip r:embed="rId1"/>
        <a:srcRect l="11004" r="10534" b="16900"/>
        <a:stretch>
          <a:fillRect/>
        </a:stretch>
      </xdr:blipFill>
      <xdr:spPr>
        <a:xfrm>
          <a:off x="0" y="5791200"/>
          <a:ext cx="4105275" cy="1647825"/>
        </a:xfrm>
        <a:prstGeom prst="rect">
          <a:avLst/>
        </a:prstGeom>
        <a:noFill/>
        <a:ln w="9525" cmpd="sng">
          <a:noFill/>
        </a:ln>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76200</xdr:rowOff>
    </xdr:from>
    <xdr:to>
      <xdr:col>9</xdr:col>
      <xdr:colOff>809625</xdr:colOff>
      <xdr:row>3</xdr:row>
      <xdr:rowOff>28575</xdr:rowOff>
    </xdr:to>
    <xdr:pic>
      <xdr:nvPicPr>
        <xdr:cNvPr id="1" name="Picture 1" descr="image001"/>
        <xdr:cNvPicPr preferRelativeResize="1">
          <a:picLocks noChangeAspect="1"/>
        </xdr:cNvPicPr>
      </xdr:nvPicPr>
      <xdr:blipFill>
        <a:blip r:embed="rId1"/>
        <a:stretch>
          <a:fillRect/>
        </a:stretch>
      </xdr:blipFill>
      <xdr:spPr>
        <a:xfrm>
          <a:off x="8810625" y="76200"/>
          <a:ext cx="1571625"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0</xdr:row>
      <xdr:rowOff>133350</xdr:rowOff>
    </xdr:from>
    <xdr:to>
      <xdr:col>2</xdr:col>
      <xdr:colOff>1590675</xdr:colOff>
      <xdr:row>4</xdr:row>
      <xdr:rowOff>114300</xdr:rowOff>
    </xdr:to>
    <xdr:pic>
      <xdr:nvPicPr>
        <xdr:cNvPr id="1" name="Picture 1" descr="image001"/>
        <xdr:cNvPicPr preferRelativeResize="1">
          <a:picLocks noChangeAspect="1"/>
        </xdr:cNvPicPr>
      </xdr:nvPicPr>
      <xdr:blipFill>
        <a:blip r:embed="rId1"/>
        <a:stretch>
          <a:fillRect/>
        </a:stretch>
      </xdr:blipFill>
      <xdr:spPr>
        <a:xfrm>
          <a:off x="6791325" y="133350"/>
          <a:ext cx="1409700"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57150</xdr:rowOff>
    </xdr:from>
    <xdr:to>
      <xdr:col>5</xdr:col>
      <xdr:colOff>876300</xdr:colOff>
      <xdr:row>4</xdr:row>
      <xdr:rowOff>28575</xdr:rowOff>
    </xdr:to>
    <xdr:pic>
      <xdr:nvPicPr>
        <xdr:cNvPr id="1" name="Picture 1" descr="image001"/>
        <xdr:cNvPicPr preferRelativeResize="1">
          <a:picLocks noChangeAspect="1"/>
        </xdr:cNvPicPr>
      </xdr:nvPicPr>
      <xdr:blipFill>
        <a:blip r:embed="rId1"/>
        <a:stretch>
          <a:fillRect/>
        </a:stretch>
      </xdr:blipFill>
      <xdr:spPr>
        <a:xfrm>
          <a:off x="8248650" y="247650"/>
          <a:ext cx="876300" cy="533400"/>
        </a:xfrm>
        <a:prstGeom prst="rect">
          <a:avLst/>
        </a:prstGeom>
        <a:noFill/>
        <a:ln w="9525" cmpd="sng">
          <a:noFill/>
        </a:ln>
      </xdr:spPr>
    </xdr:pic>
    <xdr:clientData/>
  </xdr:twoCellAnchor>
  <xdr:twoCellAnchor editAs="oneCell">
    <xdr:from>
      <xdr:col>0</xdr:col>
      <xdr:colOff>47625</xdr:colOff>
      <xdr:row>16</xdr:row>
      <xdr:rowOff>19050</xdr:rowOff>
    </xdr:from>
    <xdr:to>
      <xdr:col>4</xdr:col>
      <xdr:colOff>1590675</xdr:colOff>
      <xdr:row>25</xdr:row>
      <xdr:rowOff>133350</xdr:rowOff>
    </xdr:to>
    <xdr:pic>
      <xdr:nvPicPr>
        <xdr:cNvPr id="2" name="Picture 437"/>
        <xdr:cNvPicPr preferRelativeResize="1">
          <a:picLocks noChangeAspect="1"/>
        </xdr:cNvPicPr>
      </xdr:nvPicPr>
      <xdr:blipFill>
        <a:blip r:embed="rId2"/>
        <a:stretch>
          <a:fillRect/>
        </a:stretch>
      </xdr:blipFill>
      <xdr:spPr>
        <a:xfrm>
          <a:off x="47625" y="3067050"/>
          <a:ext cx="7962900" cy="1828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123825</xdr:rowOff>
    </xdr:from>
    <xdr:to>
      <xdr:col>0</xdr:col>
      <xdr:colOff>1295400</xdr:colOff>
      <xdr:row>3</xdr:row>
      <xdr:rowOff>9525</xdr:rowOff>
    </xdr:to>
    <xdr:pic>
      <xdr:nvPicPr>
        <xdr:cNvPr id="1" name="Picture 1" descr="image001"/>
        <xdr:cNvPicPr preferRelativeResize="1">
          <a:picLocks noChangeAspect="1"/>
        </xdr:cNvPicPr>
      </xdr:nvPicPr>
      <xdr:blipFill>
        <a:blip r:embed="rId1"/>
        <a:stretch>
          <a:fillRect/>
        </a:stretch>
      </xdr:blipFill>
      <xdr:spPr>
        <a:xfrm>
          <a:off x="47625" y="123825"/>
          <a:ext cx="1247775" cy="457200"/>
        </a:xfrm>
        <a:prstGeom prst="rect">
          <a:avLst/>
        </a:prstGeom>
        <a:noFill/>
        <a:ln w="9525" cmpd="sng">
          <a:noFill/>
        </a:ln>
      </xdr:spPr>
    </xdr:pic>
    <xdr:clientData/>
  </xdr:twoCellAnchor>
  <xdr:twoCellAnchor editAs="oneCell">
    <xdr:from>
      <xdr:col>0</xdr:col>
      <xdr:colOff>1190625</xdr:colOff>
      <xdr:row>45</xdr:row>
      <xdr:rowOff>9525</xdr:rowOff>
    </xdr:from>
    <xdr:to>
      <xdr:col>4</xdr:col>
      <xdr:colOff>419100</xdr:colOff>
      <xdr:row>47</xdr:row>
      <xdr:rowOff>542925</xdr:rowOff>
    </xdr:to>
    <xdr:pic>
      <xdr:nvPicPr>
        <xdr:cNvPr id="2" name="Imagen 2"/>
        <xdr:cNvPicPr preferRelativeResize="1">
          <a:picLocks noChangeAspect="1"/>
        </xdr:cNvPicPr>
      </xdr:nvPicPr>
      <xdr:blipFill>
        <a:blip r:embed="rId2"/>
        <a:srcRect l="11004" r="10534" b="16900"/>
        <a:stretch>
          <a:fillRect/>
        </a:stretch>
      </xdr:blipFill>
      <xdr:spPr>
        <a:xfrm>
          <a:off x="1190625" y="12401550"/>
          <a:ext cx="4105275" cy="1447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1209675</xdr:colOff>
      <xdr:row>0</xdr:row>
      <xdr:rowOff>47625</xdr:rowOff>
    </xdr:from>
    <xdr:to>
      <xdr:col>3</xdr:col>
      <xdr:colOff>933450</xdr:colOff>
      <xdr:row>2</xdr:row>
      <xdr:rowOff>180975</xdr:rowOff>
    </xdr:to>
    <xdr:pic>
      <xdr:nvPicPr>
        <xdr:cNvPr id="1" name="Picture 1" descr="image001"/>
        <xdr:cNvPicPr preferRelativeResize="1">
          <a:picLocks noChangeAspect="1"/>
        </xdr:cNvPicPr>
      </xdr:nvPicPr>
      <xdr:blipFill>
        <a:blip r:embed="rId1"/>
        <a:stretch>
          <a:fillRect/>
        </a:stretch>
      </xdr:blipFill>
      <xdr:spPr>
        <a:xfrm>
          <a:off x="4629150" y="47625"/>
          <a:ext cx="1247775" cy="457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0</xdr:row>
      <xdr:rowOff>19050</xdr:rowOff>
    </xdr:from>
    <xdr:to>
      <xdr:col>2</xdr:col>
      <xdr:colOff>990600</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5676900" y="19050"/>
          <a:ext cx="1247775" cy="457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253.12\Users\User\AppData\Local\Temp\flujo%20cnv2020\Notas%20a%20los%20Estados%20Financieros%2031%2003%2021%20FLUJ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widilfo%20Copia%20de%20plana%20ejecutiva%20bcp%20(00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omar%20negofin%20saeca%20-%20solicitud%20bcp%20-%20datos%20personales%20-%2007012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gustavoj%20Copia%20de%20plana%20ejecutiva%20bcp.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lore%20de%20plana%20ejecutiva%20bcp.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julia%20Copia%20de%20plana%20ejecutiva%20bcp%20(004).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1.253.12\Users\User\AppData\Local\Temp\Notas%20a%20los%20Estados%20Financieros%2031.03.2021%20Borrado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BG"/>
      <sheetName val="ER"/>
      <sheetName val="EVPN"/>
      <sheetName val="Hoja1"/>
      <sheetName val="EEFF-"/>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anexo c"/>
      <sheetName val="Nota 17"/>
      <sheetName val="Nota 18"/>
      <sheetName val="Nota 19"/>
      <sheetName val="Nota 20"/>
      <sheetName val="Nota 22"/>
      <sheetName val=" Nota 21"/>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 val="anexco c"/>
    </sheetNames>
    <sheetDataSet>
      <sheetData sheetId="0">
        <row r="1">
          <cell r="C1" t="str">
            <v>NEGOFIN S.A.E.C.A.</v>
          </cell>
        </row>
        <row r="2">
          <cell r="S2">
            <v>1</v>
          </cell>
          <cell r="T2" t="str">
            <v>Enero</v>
          </cell>
        </row>
        <row r="3">
          <cell r="S3">
            <v>2</v>
          </cell>
          <cell r="T3" t="str">
            <v>Febrero</v>
          </cell>
        </row>
        <row r="4">
          <cell r="S4">
            <v>3</v>
          </cell>
          <cell r="T4" t="str">
            <v>Marzo</v>
          </cell>
        </row>
        <row r="5">
          <cell r="S5">
            <v>4</v>
          </cell>
          <cell r="T5" t="str">
            <v>Abril</v>
          </cell>
        </row>
        <row r="6">
          <cell r="B6">
            <v>44286</v>
          </cell>
          <cell r="S6">
            <v>5</v>
          </cell>
          <cell r="T6" t="str">
            <v>Mayo</v>
          </cell>
        </row>
        <row r="7">
          <cell r="S7">
            <v>6</v>
          </cell>
          <cell r="T7" t="str">
            <v>Junio</v>
          </cell>
        </row>
        <row r="8">
          <cell r="S8">
            <v>7</v>
          </cell>
          <cell r="T8" t="str">
            <v>Julio</v>
          </cell>
        </row>
        <row r="9">
          <cell r="S9">
            <v>8</v>
          </cell>
          <cell r="T9" t="str">
            <v>Agosto</v>
          </cell>
        </row>
        <row r="10">
          <cell r="S10">
            <v>9</v>
          </cell>
          <cell r="T10" t="str">
            <v>Septiembre</v>
          </cell>
        </row>
        <row r="11">
          <cell r="S11">
            <v>10</v>
          </cell>
          <cell r="T11" t="str">
            <v>Octubre</v>
          </cell>
        </row>
        <row r="12">
          <cell r="S12">
            <v>11</v>
          </cell>
          <cell r="T12" t="str">
            <v>Noviembre</v>
          </cell>
        </row>
        <row r="13">
          <cell r="S13">
            <v>12</v>
          </cell>
          <cell r="T13" t="str">
            <v>Diciembre</v>
          </cell>
        </row>
      </sheetData>
      <sheetData sheetId="1">
        <row r="14">
          <cell r="F14">
            <v>21753585.599999998</v>
          </cell>
        </row>
        <row r="27">
          <cell r="I27">
            <v>197682.00900000034</v>
          </cell>
        </row>
        <row r="29">
          <cell r="H29">
            <v>24685295.922000013</v>
          </cell>
        </row>
        <row r="43">
          <cell r="H43">
            <v>7126598.611999966</v>
          </cell>
        </row>
      </sheetData>
      <sheetData sheetId="2">
        <row r="13">
          <cell r="C13">
            <v>62267275.7</v>
          </cell>
        </row>
        <row r="21">
          <cell r="C21">
            <v>4585808.7</v>
          </cell>
        </row>
      </sheetData>
      <sheetData sheetId="4">
        <row r="28">
          <cell r="H28">
            <v>18873836</v>
          </cell>
        </row>
      </sheetData>
      <sheetData sheetId="33">
        <row r="37">
          <cell r="C37">
            <v>18727895.7</v>
          </cell>
        </row>
      </sheetData>
      <sheetData sheetId="38">
        <row r="14">
          <cell r="B14">
            <v>1653314.3</v>
          </cell>
          <cell r="C14">
            <v>981908.4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sheetDataSet>
      <sheetData sheetId="0">
        <row r="6">
          <cell r="C6" t="str">
            <v>Widilfo Escobar Cikel</v>
          </cell>
          <cell r="L6" t="str">
            <v>Gerente Gral Adjunto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s>
    <sheetDataSet>
      <sheetData sheetId="0">
        <row r="6">
          <cell r="L6" t="str">
            <v>Gerente Financiero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s>
    <sheetDataSet>
      <sheetData sheetId="0">
        <row r="6">
          <cell r="L6" t="str">
            <v>Gerente de Informatica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ja1"/>
    </sheetNames>
    <sheetDataSet>
      <sheetData sheetId="0">
        <row r="6">
          <cell r="L6" t="str">
            <v>Gte. RRHH.</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oja1"/>
    </sheetNames>
    <sheetDataSet>
      <sheetData sheetId="0">
        <row r="10">
          <cell r="L10" t="str">
            <v>Auditora</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Nota 22"/>
      <sheetName val=" Nota 21"/>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 val="ANEXO C"/>
      <sheetName val="ANEXO D"/>
    </sheetNames>
    <sheetDataSet>
      <sheetData sheetId="45">
        <row r="1">
          <cell r="A1" t="str">
            <v>PYG</v>
          </cell>
          <cell r="B1" t="str">
            <v>Guaraní</v>
          </cell>
        </row>
        <row r="2">
          <cell r="A2" t="str">
            <v>USD</v>
          </cell>
          <cell r="B2" t="str">
            <v>Dólar estadounidense</v>
          </cell>
        </row>
        <row r="3">
          <cell r="A3" t="str">
            <v>EUR</v>
          </cell>
          <cell r="B3" t="str">
            <v>Euro</v>
          </cell>
        </row>
        <row r="4">
          <cell r="A4" t="str">
            <v>AED</v>
          </cell>
          <cell r="B4" t="str">
            <v>Dírham de los Emiratos Árabes Unidos</v>
          </cell>
        </row>
        <row r="5">
          <cell r="A5" t="str">
            <v>AFN</v>
          </cell>
          <cell r="B5" t="str">
            <v>Afgani</v>
          </cell>
        </row>
        <row r="6">
          <cell r="A6" t="str">
            <v>ALL</v>
          </cell>
          <cell r="B6" t="str">
            <v>Lek</v>
          </cell>
        </row>
        <row r="7">
          <cell r="A7" t="str">
            <v>AMD</v>
          </cell>
          <cell r="B7" t="str">
            <v>Dram armenio</v>
          </cell>
        </row>
        <row r="8">
          <cell r="A8" t="str">
            <v>ANG</v>
          </cell>
          <cell r="B8" t="str">
            <v>Florín antillano neerlandés</v>
          </cell>
        </row>
        <row r="9">
          <cell r="A9" t="str">
            <v>AOA</v>
          </cell>
          <cell r="B9" t="str">
            <v>Kwanza</v>
          </cell>
        </row>
        <row r="10">
          <cell r="A10" t="str">
            <v>ARS</v>
          </cell>
          <cell r="B10" t="str">
            <v>Peso argentino</v>
          </cell>
        </row>
        <row r="11">
          <cell r="A11" t="str">
            <v>AUD</v>
          </cell>
          <cell r="B11" t="str">
            <v>Dólar australiano</v>
          </cell>
        </row>
        <row r="12">
          <cell r="A12" t="str">
            <v>AWG</v>
          </cell>
          <cell r="B12" t="str">
            <v>Florín arubeño</v>
          </cell>
        </row>
        <row r="13">
          <cell r="A13" t="str">
            <v>AZN</v>
          </cell>
          <cell r="B13" t="str">
            <v>Manat azerbaiyano</v>
          </cell>
        </row>
        <row r="14">
          <cell r="A14" t="str">
            <v>BAM</v>
          </cell>
          <cell r="B14" t="str">
            <v>Marco convertible</v>
          </cell>
        </row>
        <row r="15">
          <cell r="A15" t="str">
            <v>BBD</v>
          </cell>
          <cell r="B15" t="str">
            <v>Dólar de Barbados</v>
          </cell>
        </row>
        <row r="16">
          <cell r="A16" t="str">
            <v>BDT</v>
          </cell>
          <cell r="B16" t="str">
            <v>Taka</v>
          </cell>
        </row>
        <row r="17">
          <cell r="A17" t="str">
            <v>BGN</v>
          </cell>
          <cell r="B17" t="str">
            <v>Lev búlgaro</v>
          </cell>
        </row>
        <row r="18">
          <cell r="A18" t="str">
            <v>BHD</v>
          </cell>
          <cell r="B18" t="str">
            <v>Dinar bareiní</v>
          </cell>
        </row>
        <row r="19">
          <cell r="A19" t="str">
            <v>BIF</v>
          </cell>
          <cell r="B19" t="str">
            <v>Franco de Burundi</v>
          </cell>
        </row>
        <row r="20">
          <cell r="A20" t="str">
            <v>BMD</v>
          </cell>
          <cell r="B20" t="str">
            <v>Dólar bermudeño</v>
          </cell>
        </row>
        <row r="21">
          <cell r="A21" t="str">
            <v>BND</v>
          </cell>
          <cell r="B21" t="str">
            <v>Dólar de Brunéi</v>
          </cell>
        </row>
        <row r="22">
          <cell r="A22" t="str">
            <v>BOB</v>
          </cell>
          <cell r="B22" t="str">
            <v>Boliviano</v>
          </cell>
        </row>
        <row r="23">
          <cell r="A23" t="str">
            <v>BOV</v>
          </cell>
          <cell r="B23" t="str">
            <v>MVDOL</v>
          </cell>
        </row>
        <row r="24">
          <cell r="A24" t="str">
            <v>BRL</v>
          </cell>
          <cell r="B24" t="str">
            <v>Real brasileño</v>
          </cell>
        </row>
        <row r="25">
          <cell r="A25" t="str">
            <v>BSD</v>
          </cell>
          <cell r="B25" t="str">
            <v>Dólar bahameño</v>
          </cell>
        </row>
        <row r="26">
          <cell r="A26" t="str">
            <v>BTN</v>
          </cell>
          <cell r="B26" t="str">
            <v>Ngultrum</v>
          </cell>
        </row>
        <row r="27">
          <cell r="A27" t="str">
            <v>BWP</v>
          </cell>
          <cell r="B27" t="str">
            <v>Pula</v>
          </cell>
        </row>
        <row r="28">
          <cell r="A28" t="str">
            <v>BYN</v>
          </cell>
          <cell r="B28" t="str">
            <v>Rublo bielorruso</v>
          </cell>
        </row>
        <row r="29">
          <cell r="A29" t="str">
            <v>BZD</v>
          </cell>
          <cell r="B29" t="str">
            <v>Dólar beliceño</v>
          </cell>
        </row>
        <row r="30">
          <cell r="A30" t="str">
            <v>CAD</v>
          </cell>
          <cell r="B30" t="str">
            <v>Dólar canadiense</v>
          </cell>
        </row>
        <row r="31">
          <cell r="A31" t="str">
            <v>CDF</v>
          </cell>
          <cell r="B31" t="str">
            <v>Franco congoleño</v>
          </cell>
        </row>
        <row r="32">
          <cell r="A32" t="str">
            <v>CHE</v>
          </cell>
          <cell r="B32" t="str">
            <v>Euro WIR</v>
          </cell>
        </row>
        <row r="33">
          <cell r="A33" t="str">
            <v>CHF</v>
          </cell>
          <cell r="B33" t="str">
            <v>Franco suizo</v>
          </cell>
        </row>
        <row r="34">
          <cell r="A34" t="str">
            <v>CHW</v>
          </cell>
          <cell r="B34" t="str">
            <v>Franco WIR</v>
          </cell>
        </row>
        <row r="35">
          <cell r="A35" t="str">
            <v>CLF</v>
          </cell>
          <cell r="B35" t="str">
            <v>Unidad de fomento</v>
          </cell>
        </row>
        <row r="36">
          <cell r="A36" t="str">
            <v>CLP</v>
          </cell>
          <cell r="B36" t="str">
            <v>Peso chileno</v>
          </cell>
        </row>
        <row r="37">
          <cell r="A37" t="str">
            <v>CNY</v>
          </cell>
          <cell r="B37" t="str">
            <v>Yuan chino</v>
          </cell>
        </row>
        <row r="38">
          <cell r="A38" t="str">
            <v>COP</v>
          </cell>
          <cell r="B38" t="str">
            <v>Peso colombiano</v>
          </cell>
        </row>
        <row r="39">
          <cell r="A39" t="str">
            <v>COU</v>
          </cell>
          <cell r="B39" t="str">
            <v>Unidad de valor real</v>
          </cell>
        </row>
        <row r="40">
          <cell r="A40" t="str">
            <v>CRC</v>
          </cell>
          <cell r="B40" t="str">
            <v>Colón costarricense</v>
          </cell>
        </row>
        <row r="41">
          <cell r="A41" t="str">
            <v>CUC</v>
          </cell>
          <cell r="B41" t="str">
            <v>Peso convertible</v>
          </cell>
        </row>
        <row r="42">
          <cell r="A42" t="str">
            <v>CUP</v>
          </cell>
          <cell r="B42" t="str">
            <v>Peso cubano</v>
          </cell>
        </row>
        <row r="43">
          <cell r="A43" t="str">
            <v>CVE</v>
          </cell>
          <cell r="B43" t="str">
            <v>Escudo caboverdiano</v>
          </cell>
        </row>
        <row r="44">
          <cell r="A44" t="str">
            <v>CZK</v>
          </cell>
          <cell r="B44" t="str">
            <v>Corona checa</v>
          </cell>
        </row>
        <row r="45">
          <cell r="A45" t="str">
            <v>DJF</v>
          </cell>
          <cell r="B45" t="str">
            <v>Franco yibutiano</v>
          </cell>
        </row>
        <row r="46">
          <cell r="A46" t="str">
            <v>DKK</v>
          </cell>
          <cell r="B46" t="str">
            <v>Corona danesa</v>
          </cell>
        </row>
        <row r="47">
          <cell r="A47" t="str">
            <v>DOP</v>
          </cell>
          <cell r="B47" t="str">
            <v>Peso dominicano</v>
          </cell>
        </row>
        <row r="48">
          <cell r="A48" t="str">
            <v>DZD</v>
          </cell>
          <cell r="B48" t="str">
            <v>Dinar argelino</v>
          </cell>
        </row>
        <row r="49">
          <cell r="A49" t="str">
            <v>EGP</v>
          </cell>
          <cell r="B49" t="str">
            <v>Libra egipcia</v>
          </cell>
        </row>
        <row r="50">
          <cell r="A50" t="str">
            <v>ERN</v>
          </cell>
          <cell r="B50" t="str">
            <v>Nakfa</v>
          </cell>
        </row>
        <row r="51">
          <cell r="A51" t="str">
            <v>ETB</v>
          </cell>
          <cell r="B51" t="str">
            <v>Birr etíope</v>
          </cell>
        </row>
        <row r="52">
          <cell r="A52" t="str">
            <v>FJD</v>
          </cell>
          <cell r="B52" t="str">
            <v>Dólar fiyiano</v>
          </cell>
        </row>
        <row r="53">
          <cell r="A53" t="str">
            <v>FKP</v>
          </cell>
          <cell r="B53" t="str">
            <v>Libra malvinense</v>
          </cell>
        </row>
        <row r="54">
          <cell r="A54" t="str">
            <v>GBP</v>
          </cell>
          <cell r="B54" t="str">
            <v>Libra esterlina</v>
          </cell>
        </row>
        <row r="55">
          <cell r="A55" t="str">
            <v>GEL</v>
          </cell>
          <cell r="B55" t="str">
            <v>Lari</v>
          </cell>
        </row>
        <row r="56">
          <cell r="A56" t="str">
            <v>GHS</v>
          </cell>
          <cell r="B56" t="str">
            <v>Cedi ghanés</v>
          </cell>
        </row>
        <row r="57">
          <cell r="A57" t="str">
            <v>GIP</v>
          </cell>
          <cell r="B57" t="str">
            <v>Libra de Gibraltar</v>
          </cell>
        </row>
        <row r="58">
          <cell r="A58" t="str">
            <v>GMD</v>
          </cell>
          <cell r="B58" t="str">
            <v>Dalasi</v>
          </cell>
        </row>
        <row r="59">
          <cell r="A59" t="str">
            <v>GNF</v>
          </cell>
          <cell r="B59" t="str">
            <v>Franco guineano</v>
          </cell>
        </row>
        <row r="60">
          <cell r="A60" t="str">
            <v>GTQ</v>
          </cell>
          <cell r="B60" t="str">
            <v>Quetzal</v>
          </cell>
        </row>
        <row r="61">
          <cell r="A61" t="str">
            <v>GYD</v>
          </cell>
          <cell r="B61" t="str">
            <v>Dólar guyanés</v>
          </cell>
        </row>
        <row r="62">
          <cell r="A62" t="str">
            <v>HKD</v>
          </cell>
          <cell r="B62" t="str">
            <v>Dólar de Hong Kong</v>
          </cell>
        </row>
        <row r="63">
          <cell r="A63" t="str">
            <v>HNL</v>
          </cell>
          <cell r="B63" t="str">
            <v>Lempira</v>
          </cell>
        </row>
        <row r="64">
          <cell r="A64" t="str">
            <v>HRK</v>
          </cell>
          <cell r="B64" t="str">
            <v>Kuna</v>
          </cell>
        </row>
        <row r="65">
          <cell r="A65" t="str">
            <v>HTG</v>
          </cell>
          <cell r="B65" t="str">
            <v>Gourde</v>
          </cell>
        </row>
        <row r="66">
          <cell r="A66" t="str">
            <v>HUF</v>
          </cell>
          <cell r="B66" t="str">
            <v>Forinto</v>
          </cell>
        </row>
        <row r="67">
          <cell r="A67" t="str">
            <v>IDR</v>
          </cell>
          <cell r="B67" t="str">
            <v>Rupia indonesia</v>
          </cell>
        </row>
        <row r="68">
          <cell r="A68" t="str">
            <v>ILS</v>
          </cell>
          <cell r="B68" t="str">
            <v>Nuevo shéquel israelí</v>
          </cell>
        </row>
        <row r="69">
          <cell r="A69" t="str">
            <v>INR</v>
          </cell>
          <cell r="B69" t="str">
            <v>Rupia india</v>
          </cell>
        </row>
        <row r="70">
          <cell r="A70" t="str">
            <v>IQD</v>
          </cell>
          <cell r="B70" t="str">
            <v>Dinar iraquí</v>
          </cell>
        </row>
        <row r="71">
          <cell r="A71" t="str">
            <v>IRR</v>
          </cell>
          <cell r="B71" t="str">
            <v>Rial iraní</v>
          </cell>
        </row>
        <row r="72">
          <cell r="A72" t="str">
            <v>ISK</v>
          </cell>
          <cell r="B72" t="str">
            <v>Corona islandesa</v>
          </cell>
        </row>
        <row r="73">
          <cell r="A73" t="str">
            <v>JMD</v>
          </cell>
          <cell r="B73" t="str">
            <v>Dólar jamaiquino</v>
          </cell>
        </row>
        <row r="74">
          <cell r="A74" t="str">
            <v>JOD</v>
          </cell>
          <cell r="B74" t="str">
            <v>Dinar jordano</v>
          </cell>
        </row>
        <row r="75">
          <cell r="A75" t="str">
            <v>JPY</v>
          </cell>
          <cell r="B75" t="str">
            <v>Yen</v>
          </cell>
        </row>
        <row r="76">
          <cell r="A76" t="str">
            <v>KES</v>
          </cell>
          <cell r="B76" t="str">
            <v>Chelín keniano</v>
          </cell>
        </row>
        <row r="77">
          <cell r="A77" t="str">
            <v>KGS</v>
          </cell>
          <cell r="B77" t="str">
            <v>Som</v>
          </cell>
        </row>
        <row r="78">
          <cell r="A78" t="str">
            <v>KHR</v>
          </cell>
          <cell r="B78" t="str">
            <v>Riel</v>
          </cell>
        </row>
        <row r="79">
          <cell r="A79" t="str">
            <v>KMF</v>
          </cell>
          <cell r="B79" t="str">
            <v>Franco comorense</v>
          </cell>
        </row>
        <row r="80">
          <cell r="A80" t="str">
            <v>KPW</v>
          </cell>
          <cell r="B80" t="str">
            <v>Won norcoreano</v>
          </cell>
        </row>
        <row r="81">
          <cell r="A81" t="str">
            <v>KRW</v>
          </cell>
          <cell r="B81" t="str">
            <v>Won</v>
          </cell>
        </row>
        <row r="82">
          <cell r="A82" t="str">
            <v>KWD</v>
          </cell>
          <cell r="B82" t="str">
            <v>Dinar kuwaití</v>
          </cell>
        </row>
        <row r="83">
          <cell r="A83" t="str">
            <v>KYD</v>
          </cell>
          <cell r="B83" t="str">
            <v>Dólar de las Islas Caimán</v>
          </cell>
        </row>
        <row r="84">
          <cell r="A84" t="str">
            <v>KZT</v>
          </cell>
          <cell r="B84" t="str">
            <v>Tenge</v>
          </cell>
        </row>
        <row r="85">
          <cell r="A85" t="str">
            <v>LAK</v>
          </cell>
          <cell r="B85" t="str">
            <v>Kip</v>
          </cell>
        </row>
        <row r="86">
          <cell r="A86" t="str">
            <v>LBP</v>
          </cell>
          <cell r="B86" t="str">
            <v>Libra libanesa</v>
          </cell>
        </row>
        <row r="87">
          <cell r="A87" t="str">
            <v>LKR</v>
          </cell>
          <cell r="B87" t="str">
            <v>Rupia de Sri Lanka</v>
          </cell>
        </row>
        <row r="88">
          <cell r="A88" t="str">
            <v>LRD</v>
          </cell>
          <cell r="B88" t="str">
            <v>Dólar liberiano</v>
          </cell>
        </row>
        <row r="89">
          <cell r="A89" t="str">
            <v>LSL</v>
          </cell>
          <cell r="B89" t="str">
            <v>Loti</v>
          </cell>
        </row>
        <row r="90">
          <cell r="A90" t="str">
            <v>LYD</v>
          </cell>
          <cell r="B90" t="str">
            <v>Dinar libio</v>
          </cell>
        </row>
        <row r="91">
          <cell r="A91" t="str">
            <v>MAD</v>
          </cell>
          <cell r="B91" t="str">
            <v>Dírham marroquí</v>
          </cell>
        </row>
        <row r="92">
          <cell r="A92" t="str">
            <v>MDL</v>
          </cell>
          <cell r="B92" t="str">
            <v>Leu moldavo</v>
          </cell>
        </row>
        <row r="93">
          <cell r="A93" t="str">
            <v>MGA</v>
          </cell>
          <cell r="B93" t="str">
            <v>Ariary malgache</v>
          </cell>
        </row>
        <row r="94">
          <cell r="A94" t="str">
            <v>MKD</v>
          </cell>
          <cell r="B94" t="str">
            <v>Denar</v>
          </cell>
        </row>
        <row r="95">
          <cell r="A95" t="str">
            <v>MMK</v>
          </cell>
          <cell r="B95" t="str">
            <v>Kyat</v>
          </cell>
        </row>
        <row r="96">
          <cell r="A96" t="str">
            <v>MNT</v>
          </cell>
          <cell r="B96" t="str">
            <v>Tugrik</v>
          </cell>
        </row>
        <row r="97">
          <cell r="A97" t="str">
            <v>MOP</v>
          </cell>
          <cell r="B97" t="str">
            <v>Pataca</v>
          </cell>
        </row>
        <row r="98">
          <cell r="A98" t="str">
            <v>MRU</v>
          </cell>
          <cell r="B98" t="str">
            <v>Uguiya</v>
          </cell>
        </row>
        <row r="99">
          <cell r="A99" t="str">
            <v>MUR</v>
          </cell>
          <cell r="B99" t="str">
            <v>Rupia de Mauricio</v>
          </cell>
        </row>
        <row r="100">
          <cell r="A100" t="str">
            <v>MVR</v>
          </cell>
          <cell r="B100" t="str">
            <v>Rufiyaa</v>
          </cell>
        </row>
        <row r="101">
          <cell r="A101" t="str">
            <v>MWK</v>
          </cell>
          <cell r="B101" t="str">
            <v>Kwacha</v>
          </cell>
        </row>
        <row r="102">
          <cell r="A102" t="str">
            <v>MXN</v>
          </cell>
          <cell r="B102" t="str">
            <v>Peso mexicano</v>
          </cell>
        </row>
        <row r="103">
          <cell r="A103" t="str">
            <v>MXV</v>
          </cell>
          <cell r="B103" t="str">
            <v>Unidad de Inversión (UDI) mexicana</v>
          </cell>
        </row>
        <row r="104">
          <cell r="A104" t="str">
            <v>MYR</v>
          </cell>
          <cell r="B104" t="str">
            <v>Ringgit malayo</v>
          </cell>
        </row>
        <row r="105">
          <cell r="A105" t="str">
            <v>MZN</v>
          </cell>
          <cell r="B105" t="str">
            <v>Metical mozambiqueño</v>
          </cell>
        </row>
        <row r="106">
          <cell r="A106" t="str">
            <v>NAD</v>
          </cell>
          <cell r="B106" t="str">
            <v>Dólar namibio</v>
          </cell>
        </row>
        <row r="107">
          <cell r="A107" t="str">
            <v>NGN</v>
          </cell>
          <cell r="B107" t="str">
            <v>Naira</v>
          </cell>
        </row>
        <row r="108">
          <cell r="A108" t="str">
            <v>NIO</v>
          </cell>
          <cell r="B108" t="str">
            <v>Córdoba</v>
          </cell>
        </row>
        <row r="109">
          <cell r="A109" t="str">
            <v>NOK</v>
          </cell>
          <cell r="B109" t="str">
            <v>Corona noruega</v>
          </cell>
        </row>
        <row r="110">
          <cell r="A110" t="str">
            <v>NPR</v>
          </cell>
          <cell r="B110" t="str">
            <v>Rupia nepalí</v>
          </cell>
        </row>
        <row r="111">
          <cell r="A111" t="str">
            <v>NZD</v>
          </cell>
          <cell r="B111" t="str">
            <v>Dólar neozelandés</v>
          </cell>
        </row>
        <row r="112">
          <cell r="A112" t="str">
            <v>OMR</v>
          </cell>
          <cell r="B112" t="str">
            <v>Rial omaní</v>
          </cell>
        </row>
        <row r="113">
          <cell r="A113" t="str">
            <v>PAB</v>
          </cell>
          <cell r="B113" t="str">
            <v>Balboa</v>
          </cell>
        </row>
        <row r="114">
          <cell r="A114" t="str">
            <v>PEN</v>
          </cell>
          <cell r="B114" t="str">
            <v>Sol</v>
          </cell>
        </row>
        <row r="115">
          <cell r="A115" t="str">
            <v>PGK</v>
          </cell>
          <cell r="B115" t="str">
            <v>Kina</v>
          </cell>
        </row>
        <row r="116">
          <cell r="A116" t="str">
            <v>PHP</v>
          </cell>
          <cell r="B116" t="str">
            <v>Peso filipino</v>
          </cell>
        </row>
        <row r="117">
          <cell r="A117" t="str">
            <v>PKR</v>
          </cell>
          <cell r="B117" t="str">
            <v>Rupia pakistaní</v>
          </cell>
        </row>
        <row r="118">
          <cell r="A118" t="str">
            <v>PLN</v>
          </cell>
          <cell r="B118" t="str">
            <v>Złoty</v>
          </cell>
        </row>
        <row r="119">
          <cell r="A119" t="str">
            <v>QAR</v>
          </cell>
          <cell r="B119" t="str">
            <v>Riyal qatarí</v>
          </cell>
        </row>
        <row r="120">
          <cell r="A120" t="str">
            <v>RON</v>
          </cell>
          <cell r="B120" t="str">
            <v>Leu rumano</v>
          </cell>
        </row>
        <row r="121">
          <cell r="A121" t="str">
            <v>RSD</v>
          </cell>
          <cell r="B121" t="str">
            <v>Dinar serbio</v>
          </cell>
        </row>
        <row r="122">
          <cell r="A122" t="str">
            <v>RUB</v>
          </cell>
          <cell r="B122" t="str">
            <v>Rublo ruso</v>
          </cell>
        </row>
        <row r="123">
          <cell r="A123" t="str">
            <v>RWF</v>
          </cell>
          <cell r="B123" t="str">
            <v>Franco ruandés</v>
          </cell>
        </row>
        <row r="124">
          <cell r="A124" t="str">
            <v>SAR</v>
          </cell>
          <cell r="B124" t="str">
            <v>Riyal saudí</v>
          </cell>
        </row>
        <row r="125">
          <cell r="A125" t="str">
            <v>SBD</v>
          </cell>
          <cell r="B125" t="str">
            <v>Dólar de las Islas Salomón</v>
          </cell>
        </row>
        <row r="126">
          <cell r="A126" t="str">
            <v>SCR</v>
          </cell>
          <cell r="B126" t="str">
            <v>Rupia seychelense</v>
          </cell>
        </row>
        <row r="127">
          <cell r="A127" t="str">
            <v>SDG</v>
          </cell>
          <cell r="B127" t="str">
            <v>Dinar sudanés</v>
          </cell>
        </row>
        <row r="128">
          <cell r="A128" t="str">
            <v>SEK</v>
          </cell>
          <cell r="B128" t="str">
            <v>Corona sueca</v>
          </cell>
        </row>
        <row r="129">
          <cell r="A129" t="str">
            <v>SGD</v>
          </cell>
          <cell r="B129" t="str">
            <v>Dólar de Singapur</v>
          </cell>
        </row>
        <row r="130">
          <cell r="A130" t="str">
            <v>SHP</v>
          </cell>
          <cell r="B130" t="str">
            <v>Libra de Santa Elena</v>
          </cell>
        </row>
        <row r="131">
          <cell r="A131" t="str">
            <v>SLL</v>
          </cell>
          <cell r="B131" t="str">
            <v>Leone</v>
          </cell>
        </row>
        <row r="132">
          <cell r="A132" t="str">
            <v>SOS</v>
          </cell>
          <cell r="B132" t="str">
            <v>Chelín somalí</v>
          </cell>
        </row>
        <row r="133">
          <cell r="A133" t="str">
            <v>SRD</v>
          </cell>
          <cell r="B133" t="str">
            <v>Dólar surinamés</v>
          </cell>
        </row>
        <row r="134">
          <cell r="A134" t="str">
            <v>SSP</v>
          </cell>
          <cell r="B134" t="str">
            <v>Libra sursudanesa</v>
          </cell>
        </row>
        <row r="135">
          <cell r="A135" t="str">
            <v>STN</v>
          </cell>
          <cell r="B135" t="str">
            <v>Dobra</v>
          </cell>
        </row>
        <row r="136">
          <cell r="A136" t="str">
            <v>SVC</v>
          </cell>
          <cell r="B136" t="str">
            <v>Colon Salvadoreño</v>
          </cell>
        </row>
        <row r="137">
          <cell r="A137" t="str">
            <v>SYP</v>
          </cell>
          <cell r="B137" t="str">
            <v>Libra siria</v>
          </cell>
        </row>
        <row r="138">
          <cell r="A138" t="str">
            <v>SZL</v>
          </cell>
          <cell r="B138" t="str">
            <v>Lilangeni</v>
          </cell>
        </row>
        <row r="139">
          <cell r="A139" t="str">
            <v>THB</v>
          </cell>
          <cell r="B139" t="str">
            <v>Baht</v>
          </cell>
        </row>
        <row r="140">
          <cell r="A140" t="str">
            <v>TJS</v>
          </cell>
          <cell r="B140" t="str">
            <v>Somoni tayiko</v>
          </cell>
        </row>
        <row r="141">
          <cell r="A141" t="str">
            <v>TMT</v>
          </cell>
          <cell r="B141" t="str">
            <v>Manat turcomano</v>
          </cell>
        </row>
        <row r="142">
          <cell r="A142" t="str">
            <v>TND</v>
          </cell>
          <cell r="B142" t="str">
            <v>Dinar tunecino</v>
          </cell>
        </row>
        <row r="143">
          <cell r="A143" t="str">
            <v>TOP</v>
          </cell>
          <cell r="B143" t="str">
            <v>Paʻanga</v>
          </cell>
        </row>
        <row r="144">
          <cell r="A144" t="str">
            <v>TRY</v>
          </cell>
          <cell r="B144" t="str">
            <v>Lira turca</v>
          </cell>
        </row>
        <row r="145">
          <cell r="A145" t="str">
            <v>TTD</v>
          </cell>
          <cell r="B145" t="str">
            <v>Dólar de Trinidad y Tobago</v>
          </cell>
        </row>
        <row r="146">
          <cell r="A146" t="str">
            <v>TWD</v>
          </cell>
          <cell r="B146" t="str">
            <v>Nuevo dólar taiwanés</v>
          </cell>
        </row>
        <row r="147">
          <cell r="A147" t="str">
            <v>TZS</v>
          </cell>
          <cell r="B147" t="str">
            <v>Chelín tanzano</v>
          </cell>
        </row>
        <row r="148">
          <cell r="A148" t="str">
            <v>UAH</v>
          </cell>
          <cell r="B148" t="str">
            <v>Grivna</v>
          </cell>
        </row>
        <row r="149">
          <cell r="A149" t="str">
            <v>UGX</v>
          </cell>
          <cell r="B149" t="str">
            <v>Chelín ugandés</v>
          </cell>
        </row>
        <row r="150">
          <cell r="A150" t="str">
            <v>USN</v>
          </cell>
          <cell r="B150" t="str">
            <v>Dólar estadounidense (Siguiente día)</v>
          </cell>
        </row>
        <row r="151">
          <cell r="A151" t="str">
            <v>UYI</v>
          </cell>
          <cell r="B151" t="str">
            <v>Peso en Unidades Indexadas (Uruguay)</v>
          </cell>
        </row>
        <row r="152">
          <cell r="A152" t="str">
            <v>UYU</v>
          </cell>
          <cell r="B152" t="str">
            <v>Peso uruguayo</v>
          </cell>
        </row>
        <row r="153">
          <cell r="A153" t="str">
            <v>UYW</v>
          </cell>
          <cell r="B153" t="str">
            <v>Unidad Previsional</v>
          </cell>
        </row>
        <row r="154">
          <cell r="A154" t="str">
            <v>UZS</v>
          </cell>
          <cell r="B154" t="str">
            <v>Som uzbeko</v>
          </cell>
        </row>
        <row r="155">
          <cell r="A155" t="str">
            <v>VES7​</v>
          </cell>
          <cell r="B155" t="str">
            <v>Bolívar soberano</v>
          </cell>
        </row>
        <row r="156">
          <cell r="A156" t="str">
            <v>VND</v>
          </cell>
          <cell r="B156" t="str">
            <v>Dong vietnamita</v>
          </cell>
        </row>
        <row r="157">
          <cell r="A157" t="str">
            <v>VUV</v>
          </cell>
          <cell r="B157" t="str">
            <v>Vatu</v>
          </cell>
        </row>
        <row r="158">
          <cell r="A158" t="str">
            <v>WST</v>
          </cell>
          <cell r="B158" t="str">
            <v>Tala</v>
          </cell>
        </row>
        <row r="159">
          <cell r="A159" t="str">
            <v>XAF</v>
          </cell>
          <cell r="B159" t="str">
            <v>Franco CFA de África Central</v>
          </cell>
        </row>
        <row r="160">
          <cell r="A160" t="str">
            <v>XAG</v>
          </cell>
          <cell r="B160" t="str">
            <v>Plata (una onza troy)</v>
          </cell>
        </row>
        <row r="161">
          <cell r="A161" t="str">
            <v>XAU</v>
          </cell>
          <cell r="B161" t="str">
            <v>Oro (una onza troy)</v>
          </cell>
        </row>
        <row r="162">
          <cell r="A162" t="str">
            <v>XBA</v>
          </cell>
          <cell r="B162" t="str">
            <v>Unidad compuesta europea (EURCO) (Unidad del mercados de bonos)</v>
          </cell>
        </row>
        <row r="163">
          <cell r="A163" t="str">
            <v>XBB</v>
          </cell>
          <cell r="B163" t="str">
            <v>Unidad Monetaria europea (E.M.U.-6) (Unidad del mercado de bonos)</v>
          </cell>
        </row>
        <row r="164">
          <cell r="A164" t="str">
            <v>XBC</v>
          </cell>
          <cell r="B164" t="str">
            <v>Unidad europea de cuenta 9 (E.U.A.-9) (Unidad del mercado de bonos)</v>
          </cell>
        </row>
        <row r="165">
          <cell r="A165" t="str">
            <v>XBD</v>
          </cell>
          <cell r="B165" t="str">
            <v>Unidad europea de cuenta 17 (E.U.A.-17) (Unidad del mercado de bonos)</v>
          </cell>
        </row>
        <row r="166">
          <cell r="A166" t="str">
            <v>XCD</v>
          </cell>
          <cell r="B166" t="str">
            <v>Dólar del Caribe Oriental</v>
          </cell>
        </row>
        <row r="167">
          <cell r="A167" t="str">
            <v>XDR</v>
          </cell>
          <cell r="B167" t="str">
            <v>Derechos especiales de giro</v>
          </cell>
        </row>
        <row r="168">
          <cell r="A168" t="str">
            <v>XOF</v>
          </cell>
          <cell r="B168" t="str">
            <v>Franco CFA de África Occidental</v>
          </cell>
        </row>
        <row r="169">
          <cell r="A169" t="str">
            <v>XPD</v>
          </cell>
          <cell r="B169" t="str">
            <v>Paladio (una onza troy)</v>
          </cell>
        </row>
        <row r="170">
          <cell r="A170" t="str">
            <v>XPF</v>
          </cell>
          <cell r="B170" t="str">
            <v>Franco CFP</v>
          </cell>
        </row>
        <row r="171">
          <cell r="A171" t="str">
            <v>XPT</v>
          </cell>
          <cell r="B171" t="str">
            <v>Platino (una onza troy)</v>
          </cell>
        </row>
        <row r="172">
          <cell r="A172" t="str">
            <v>XSU</v>
          </cell>
          <cell r="B172" t="str">
            <v>SUCRE</v>
          </cell>
        </row>
        <row r="173">
          <cell r="A173" t="str">
            <v>XTS</v>
          </cell>
          <cell r="B173" t="str">
            <v>Reservado para pruebas</v>
          </cell>
        </row>
        <row r="174">
          <cell r="A174" t="str">
            <v>XUA</v>
          </cell>
          <cell r="B174" t="str">
            <v>Unidad de cuenta BAD</v>
          </cell>
        </row>
        <row r="175">
          <cell r="A175" t="str">
            <v>XXX</v>
          </cell>
          <cell r="B175" t="str">
            <v>Sin divisa</v>
          </cell>
        </row>
        <row r="176">
          <cell r="A176" t="str">
            <v>YER</v>
          </cell>
          <cell r="B176" t="str">
            <v>Rial yemení</v>
          </cell>
        </row>
        <row r="177">
          <cell r="A177" t="str">
            <v>ZAR</v>
          </cell>
          <cell r="B177" t="str">
            <v>Rand</v>
          </cell>
        </row>
        <row r="178">
          <cell r="A178" t="str">
            <v>ZMW</v>
          </cell>
          <cell r="B178" t="str">
            <v>Kwacha zambiano</v>
          </cell>
        </row>
        <row r="179">
          <cell r="A179" t="str">
            <v>ZWL</v>
          </cell>
          <cell r="B179" t="str">
            <v>Dólar zimbabuense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2.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3.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24.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25.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26.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7.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28.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67"/>
  <sheetViews>
    <sheetView showGridLines="0" zoomScalePageLayoutView="0" workbookViewId="0" topLeftCell="A1">
      <selection activeCell="B6" sqref="B6"/>
    </sheetView>
  </sheetViews>
  <sheetFormatPr defaultColWidth="11.421875" defaultRowHeight="15"/>
  <cols>
    <col min="1" max="1" width="21.421875" style="2" bestFit="1" customWidth="1"/>
    <col min="2" max="2" width="10.140625" style="2" bestFit="1" customWidth="1"/>
    <col min="3" max="3" width="61.57421875" style="2" bestFit="1" customWidth="1"/>
    <col min="4" max="4" width="14.8515625" style="254" customWidth="1"/>
    <col min="5" max="5" width="49.8515625" style="2" bestFit="1" customWidth="1"/>
    <col min="6" max="6" width="6.7109375" style="2" bestFit="1" customWidth="1"/>
    <col min="7" max="16384" width="11.421875" style="2" customWidth="1"/>
  </cols>
  <sheetData>
    <row r="1" spans="2:4" ht="12.75">
      <c r="B1" s="457" t="s">
        <v>842</v>
      </c>
      <c r="C1" s="461" t="s">
        <v>923</v>
      </c>
      <c r="D1" s="2" t="s">
        <v>908</v>
      </c>
    </row>
    <row r="2" spans="19:20" ht="12.75">
      <c r="S2" s="2">
        <v>1</v>
      </c>
      <c r="T2" s="2" t="s">
        <v>458</v>
      </c>
    </row>
    <row r="3" spans="19:20" ht="12.75">
      <c r="S3" s="2">
        <v>2</v>
      </c>
      <c r="T3" s="2" t="s">
        <v>459</v>
      </c>
    </row>
    <row r="4" spans="19:20" ht="12.75">
      <c r="S4" s="2">
        <v>3</v>
      </c>
      <c r="T4" s="2" t="s">
        <v>460</v>
      </c>
    </row>
    <row r="5" spans="19:20" ht="12.75">
      <c r="S5" s="2">
        <v>4</v>
      </c>
      <c r="T5" s="2" t="s">
        <v>461</v>
      </c>
    </row>
    <row r="6" spans="1:20" ht="12.75">
      <c r="A6" s="457" t="s">
        <v>839</v>
      </c>
      <c r="B6" s="456">
        <v>44286</v>
      </c>
      <c r="C6" s="2" t="s">
        <v>909</v>
      </c>
      <c r="S6" s="2">
        <v>5</v>
      </c>
      <c r="T6" s="2" t="s">
        <v>462</v>
      </c>
    </row>
    <row r="7" spans="1:20" ht="12.75" customHeight="1" hidden="1">
      <c r="A7" s="36"/>
      <c r="B7" s="36"/>
      <c r="C7" s="36"/>
      <c r="D7" s="273"/>
      <c r="S7" s="2">
        <v>6</v>
      </c>
      <c r="T7" s="2" t="s">
        <v>463</v>
      </c>
    </row>
    <row r="8" spans="1:20" ht="12.75">
      <c r="A8" s="320"/>
      <c r="S8" s="2">
        <v>7</v>
      </c>
      <c r="T8" s="2" t="s">
        <v>464</v>
      </c>
    </row>
    <row r="9" spans="2:20" ht="26.25" customHeight="1">
      <c r="B9" s="321"/>
      <c r="C9" s="322" t="s">
        <v>22</v>
      </c>
      <c r="D9" s="326" t="s">
        <v>382</v>
      </c>
      <c r="S9" s="2">
        <v>8</v>
      </c>
      <c r="T9" s="2" t="s">
        <v>465</v>
      </c>
    </row>
    <row r="10" spans="2:20" ht="26.25" customHeight="1">
      <c r="B10" s="323" t="s">
        <v>432</v>
      </c>
      <c r="C10" s="306"/>
      <c r="D10" s="327"/>
      <c r="S10" s="2">
        <v>9</v>
      </c>
      <c r="T10" s="2" t="s">
        <v>466</v>
      </c>
    </row>
    <row r="11" spans="1:20" ht="15">
      <c r="A11" s="93"/>
      <c r="B11" s="324"/>
      <c r="C11" s="307" t="s">
        <v>356</v>
      </c>
      <c r="D11" s="328" t="s">
        <v>23</v>
      </c>
      <c r="S11" s="2">
        <v>10</v>
      </c>
      <c r="T11" s="2" t="s">
        <v>467</v>
      </c>
    </row>
    <row r="12" spans="1:20" ht="15">
      <c r="A12" s="93"/>
      <c r="B12" s="324"/>
      <c r="C12" s="307" t="s">
        <v>39</v>
      </c>
      <c r="D12" s="329" t="s">
        <v>24</v>
      </c>
      <c r="S12" s="2">
        <v>11</v>
      </c>
      <c r="T12" s="2" t="s">
        <v>468</v>
      </c>
    </row>
    <row r="13" spans="1:20" ht="15">
      <c r="A13" s="93"/>
      <c r="B13" s="323" t="s">
        <v>285</v>
      </c>
      <c r="C13" s="307"/>
      <c r="D13" s="328" t="s">
        <v>132</v>
      </c>
      <c r="S13" s="2">
        <v>12</v>
      </c>
      <c r="T13" s="2" t="s">
        <v>469</v>
      </c>
    </row>
    <row r="14" spans="1:4" ht="12.75">
      <c r="A14" s="93"/>
      <c r="B14" s="324"/>
      <c r="C14" s="35" t="s">
        <v>224</v>
      </c>
      <c r="D14" s="330" t="s">
        <v>25</v>
      </c>
    </row>
    <row r="15" spans="1:4" ht="12.75">
      <c r="A15" s="93"/>
      <c r="B15" s="324"/>
      <c r="C15" s="35" t="s">
        <v>110</v>
      </c>
      <c r="D15" s="330" t="s">
        <v>26</v>
      </c>
    </row>
    <row r="16" spans="1:4" ht="12.75">
      <c r="A16" s="93"/>
      <c r="B16" s="324"/>
      <c r="C16" s="35" t="s">
        <v>225</v>
      </c>
      <c r="D16" s="330" t="s">
        <v>27</v>
      </c>
    </row>
    <row r="17" spans="1:4" ht="12.75">
      <c r="A17" s="93"/>
      <c r="B17" s="324"/>
      <c r="C17" s="35" t="s">
        <v>40</v>
      </c>
      <c r="D17" s="330" t="s">
        <v>28</v>
      </c>
    </row>
    <row r="18" spans="1:4" ht="15">
      <c r="A18" s="93"/>
      <c r="B18" s="324"/>
      <c r="C18" s="35" t="s">
        <v>225</v>
      </c>
      <c r="D18" s="329" t="s">
        <v>27</v>
      </c>
    </row>
    <row r="19" spans="1:4" ht="12.75">
      <c r="A19" s="93"/>
      <c r="B19" s="324"/>
      <c r="C19" s="35" t="s">
        <v>226</v>
      </c>
      <c r="D19" s="330" t="s">
        <v>29</v>
      </c>
    </row>
    <row r="20" spans="1:4" ht="12.75">
      <c r="A20" s="93"/>
      <c r="B20" s="324"/>
      <c r="C20" s="35" t="s">
        <v>415</v>
      </c>
      <c r="D20" s="330" t="s">
        <v>30</v>
      </c>
    </row>
    <row r="21" spans="1:4" ht="12.75">
      <c r="A21" s="93"/>
      <c r="B21" s="324"/>
      <c r="C21" s="35" t="s">
        <v>357</v>
      </c>
      <c r="D21" s="330" t="s">
        <v>31</v>
      </c>
    </row>
    <row r="22" spans="1:4" ht="12.75">
      <c r="A22" s="93"/>
      <c r="B22" s="324"/>
      <c r="C22" s="35" t="s">
        <v>245</v>
      </c>
      <c r="D22" s="330" t="s">
        <v>32</v>
      </c>
    </row>
    <row r="23" spans="1:4" ht="15">
      <c r="A23" s="93"/>
      <c r="B23" s="324"/>
      <c r="C23" s="35" t="s">
        <v>125</v>
      </c>
      <c r="D23" s="329" t="s">
        <v>33</v>
      </c>
    </row>
    <row r="24" spans="1:4" ht="15">
      <c r="A24" s="93"/>
      <c r="B24" s="324"/>
      <c r="C24" s="35" t="s">
        <v>131</v>
      </c>
      <c r="D24" s="328" t="s">
        <v>34</v>
      </c>
    </row>
    <row r="25" spans="1:4" ht="15">
      <c r="A25" s="93"/>
      <c r="B25" s="324"/>
      <c r="C25" s="35" t="s">
        <v>111</v>
      </c>
      <c r="D25" s="329" t="s">
        <v>35</v>
      </c>
    </row>
    <row r="26" spans="1:4" ht="12.75">
      <c r="A26" s="93"/>
      <c r="B26" s="324"/>
      <c r="C26" s="35" t="s">
        <v>112</v>
      </c>
      <c r="D26" s="330" t="s">
        <v>36</v>
      </c>
    </row>
    <row r="27" spans="1:4" ht="12.75">
      <c r="A27" s="93"/>
      <c r="B27" s="324"/>
      <c r="C27" s="35" t="s">
        <v>133</v>
      </c>
      <c r="D27" s="330" t="s">
        <v>37</v>
      </c>
    </row>
    <row r="28" spans="1:4" ht="12.75">
      <c r="A28" s="93"/>
      <c r="B28" s="324"/>
      <c r="C28" s="35" t="s">
        <v>67</v>
      </c>
      <c r="D28" s="330" t="s">
        <v>38</v>
      </c>
    </row>
    <row r="29" spans="1:4" ht="15">
      <c r="A29" s="93"/>
      <c r="B29" s="324"/>
      <c r="C29" s="35" t="s">
        <v>68</v>
      </c>
      <c r="D29" s="329" t="s">
        <v>358</v>
      </c>
    </row>
    <row r="30" spans="1:4" ht="15">
      <c r="A30" s="93"/>
      <c r="B30" s="324"/>
      <c r="C30" s="35" t="s">
        <v>69</v>
      </c>
      <c r="D30" s="329" t="s">
        <v>359</v>
      </c>
    </row>
    <row r="31" spans="1:4" ht="15">
      <c r="A31" s="93"/>
      <c r="B31" s="324"/>
      <c r="C31" s="35" t="s">
        <v>251</v>
      </c>
      <c r="D31" s="329" t="s">
        <v>360</v>
      </c>
    </row>
    <row r="32" spans="1:4" ht="15">
      <c r="A32" s="93"/>
      <c r="B32" s="324"/>
      <c r="C32" s="35" t="s">
        <v>362</v>
      </c>
      <c r="D32" s="329" t="s">
        <v>36</v>
      </c>
    </row>
    <row r="33" spans="1:4" ht="15">
      <c r="A33" s="93"/>
      <c r="B33" s="324"/>
      <c r="C33" s="35" t="s">
        <v>364</v>
      </c>
      <c r="D33" s="329" t="s">
        <v>360</v>
      </c>
    </row>
    <row r="34" spans="1:4" ht="15">
      <c r="A34" s="93"/>
      <c r="B34" s="324"/>
      <c r="C34" s="35" t="s">
        <v>255</v>
      </c>
      <c r="D34" s="329" t="s">
        <v>361</v>
      </c>
    </row>
    <row r="35" spans="1:4" ht="15">
      <c r="A35" s="93"/>
      <c r="B35" s="324"/>
      <c r="C35" s="35" t="s">
        <v>43</v>
      </c>
      <c r="D35" s="329" t="s">
        <v>365</v>
      </c>
    </row>
    <row r="36" spans="1:4" ht="15">
      <c r="A36" s="93"/>
      <c r="B36" s="324"/>
      <c r="C36" s="35" t="s">
        <v>81</v>
      </c>
      <c r="D36" s="329" t="s">
        <v>365</v>
      </c>
    </row>
    <row r="37" spans="1:4" ht="15">
      <c r="A37" s="93"/>
      <c r="B37" s="324"/>
      <c r="C37" s="35" t="s">
        <v>256</v>
      </c>
      <c r="D37" s="329" t="s">
        <v>365</v>
      </c>
    </row>
    <row r="38" spans="1:4" ht="15">
      <c r="A38" s="93"/>
      <c r="B38" s="324"/>
      <c r="C38" s="35" t="s">
        <v>418</v>
      </c>
      <c r="D38" s="329" t="s">
        <v>365</v>
      </c>
    </row>
    <row r="39" spans="1:4" ht="15">
      <c r="A39" s="93"/>
      <c r="B39" s="324"/>
      <c r="C39" s="35" t="s">
        <v>70</v>
      </c>
      <c r="D39" s="329" t="s">
        <v>366</v>
      </c>
    </row>
    <row r="40" spans="1:4" ht="15">
      <c r="A40" s="93"/>
      <c r="B40" s="324"/>
      <c r="C40" s="35" t="s">
        <v>44</v>
      </c>
      <c r="D40" s="329" t="s">
        <v>367</v>
      </c>
    </row>
    <row r="41" spans="1:4" ht="15">
      <c r="A41" s="93"/>
      <c r="B41" s="324"/>
      <c r="C41" s="35" t="s">
        <v>71</v>
      </c>
      <c r="D41" s="329" t="s">
        <v>368</v>
      </c>
    </row>
    <row r="42" spans="1:4" ht="15">
      <c r="A42" s="93"/>
      <c r="B42" s="323" t="s">
        <v>57</v>
      </c>
      <c r="C42" s="307"/>
      <c r="D42" s="328" t="s">
        <v>148</v>
      </c>
    </row>
    <row r="43" spans="1:4" ht="15">
      <c r="A43" s="93"/>
      <c r="B43" s="324"/>
      <c r="C43" s="35" t="s">
        <v>63</v>
      </c>
      <c r="D43" s="329" t="s">
        <v>369</v>
      </c>
    </row>
    <row r="44" spans="1:4" ht="15">
      <c r="A44" s="93"/>
      <c r="B44" s="324"/>
      <c r="C44" s="35" t="s">
        <v>156</v>
      </c>
      <c r="D44" s="329" t="s">
        <v>370</v>
      </c>
    </row>
    <row r="45" spans="1:4" ht="15">
      <c r="A45" s="93"/>
      <c r="B45" s="324"/>
      <c r="C45" s="35" t="s">
        <v>261</v>
      </c>
      <c r="D45" s="329" t="s">
        <v>371</v>
      </c>
    </row>
    <row r="46" spans="1:4" ht="15">
      <c r="A46" s="93"/>
      <c r="B46" s="324"/>
      <c r="C46" s="35" t="s">
        <v>185</v>
      </c>
      <c r="D46" s="329" t="s">
        <v>371</v>
      </c>
    </row>
    <row r="47" spans="1:4" ht="15">
      <c r="A47" s="93"/>
      <c r="B47" s="324"/>
      <c r="C47" s="35" t="s">
        <v>373</v>
      </c>
      <c r="D47" s="329" t="s">
        <v>372</v>
      </c>
    </row>
    <row r="48" spans="1:4" ht="15">
      <c r="A48" s="93"/>
      <c r="B48" s="324"/>
      <c r="C48" s="35" t="s">
        <v>420</v>
      </c>
      <c r="D48" s="329" t="s">
        <v>374</v>
      </c>
    </row>
    <row r="49" spans="1:4" ht="15">
      <c r="A49" s="93"/>
      <c r="B49" s="324"/>
      <c r="C49" s="35" t="s">
        <v>423</v>
      </c>
      <c r="D49" s="329" t="s">
        <v>374</v>
      </c>
    </row>
    <row r="50" spans="1:4" ht="15">
      <c r="A50" s="93"/>
      <c r="B50" s="324"/>
      <c r="C50" s="35" t="s">
        <v>162</v>
      </c>
      <c r="D50" s="329" t="s">
        <v>375</v>
      </c>
    </row>
    <row r="51" spans="1:4" ht="15">
      <c r="A51" s="93"/>
      <c r="B51" s="324"/>
      <c r="C51" s="35" t="s">
        <v>163</v>
      </c>
      <c r="D51" s="329" t="s">
        <v>376</v>
      </c>
    </row>
    <row r="52" spans="1:4" ht="15">
      <c r="A52" s="93"/>
      <c r="B52" s="324"/>
      <c r="C52" s="35" t="s">
        <v>46</v>
      </c>
      <c r="D52" s="329" t="s">
        <v>377</v>
      </c>
    </row>
    <row r="53" spans="1:4" ht="15">
      <c r="A53" s="93"/>
      <c r="B53" s="324"/>
      <c r="C53" s="35" t="s">
        <v>73</v>
      </c>
      <c r="D53" s="329" t="s">
        <v>378</v>
      </c>
    </row>
    <row r="54" spans="1:4" ht="15">
      <c r="A54" s="93"/>
      <c r="B54" s="324"/>
      <c r="C54" s="35" t="s">
        <v>74</v>
      </c>
      <c r="D54" s="329" t="s">
        <v>379</v>
      </c>
    </row>
    <row r="55" spans="1:4" ht="15">
      <c r="A55" s="93"/>
      <c r="B55" s="324"/>
      <c r="C55" s="35" t="s">
        <v>381</v>
      </c>
      <c r="D55" s="329" t="s">
        <v>380</v>
      </c>
    </row>
    <row r="56" spans="1:4" ht="15">
      <c r="A56" s="93"/>
      <c r="B56" s="324"/>
      <c r="C56" s="35" t="s">
        <v>75</v>
      </c>
      <c r="D56" s="328" t="s">
        <v>380</v>
      </c>
    </row>
    <row r="57" spans="1:4" ht="15">
      <c r="A57" s="93"/>
      <c r="B57" s="323" t="s">
        <v>58</v>
      </c>
      <c r="C57" s="307"/>
      <c r="D57" s="328" t="s">
        <v>56</v>
      </c>
    </row>
    <row r="58" spans="1:4" ht="15">
      <c r="A58" s="93"/>
      <c r="B58" s="323" t="s">
        <v>286</v>
      </c>
      <c r="C58" s="307"/>
      <c r="D58" s="329" t="s">
        <v>287</v>
      </c>
    </row>
    <row r="59" spans="1:4" ht="15">
      <c r="A59" s="93"/>
      <c r="B59" s="323" t="s">
        <v>433</v>
      </c>
      <c r="C59" s="307"/>
      <c r="D59" s="329"/>
    </row>
    <row r="60" spans="1:4" ht="15">
      <c r="A60" s="93"/>
      <c r="B60" s="324"/>
      <c r="C60" s="35" t="s">
        <v>386</v>
      </c>
      <c r="D60" s="328" t="s">
        <v>387</v>
      </c>
    </row>
    <row r="61" spans="1:4" ht="15">
      <c r="A61" s="93"/>
      <c r="B61" s="324"/>
      <c r="C61" s="35" t="s">
        <v>391</v>
      </c>
      <c r="D61" s="328" t="s">
        <v>392</v>
      </c>
    </row>
    <row r="62" spans="1:4" ht="15">
      <c r="A62" s="93"/>
      <c r="B62" s="324"/>
      <c r="C62" s="35" t="s">
        <v>424</v>
      </c>
      <c r="D62" s="328" t="s">
        <v>394</v>
      </c>
    </row>
    <row r="63" spans="1:4" ht="15">
      <c r="A63" s="93"/>
      <c r="B63" s="324"/>
      <c r="C63" s="35" t="s">
        <v>393</v>
      </c>
      <c r="D63" s="328" t="s">
        <v>395</v>
      </c>
    </row>
    <row r="64" spans="1:4" ht="15">
      <c r="A64" s="93"/>
      <c r="B64" s="325"/>
      <c r="C64" s="458" t="s">
        <v>906</v>
      </c>
      <c r="D64" s="454" t="s">
        <v>907</v>
      </c>
    </row>
    <row r="65" spans="1:4" s="35" customFormat="1" ht="21" customHeight="1">
      <c r="A65" s="37"/>
      <c r="D65" s="274"/>
    </row>
    <row r="66" spans="2:4" ht="12.75">
      <c r="B66" s="35"/>
      <c r="C66" s="35"/>
      <c r="D66" s="93"/>
    </row>
    <row r="67" spans="2:4" ht="12.75">
      <c r="B67" s="35"/>
      <c r="C67" s="35"/>
      <c r="D67" s="93"/>
    </row>
  </sheetData>
  <sheetProtection/>
  <hyperlinks>
    <hyperlink ref="D14" location="'Nota 3'!A1" display="'Nota 3'!A1"/>
    <hyperlink ref="D15" location="'Nota 4'!A1" display="'Nota 4'!A1"/>
    <hyperlink ref="D16" location="'Nota 5'!A1" display="'Nota 5'!A1"/>
    <hyperlink ref="D17" location="'Nota 6'!A1" display="'Nota 6'!A1"/>
    <hyperlink ref="D19" location="'Nota 7'!A1" display="'Nota 7'!A1"/>
    <hyperlink ref="D21" location="'Nota 9'!A1" display="'Nota 9'!A1"/>
    <hyperlink ref="D22" location="'Nota 10'!A1" display="'Nota 10'!A1"/>
    <hyperlink ref="D26" location="'Nota 14'!A1" display="'Nota 14'!A1"/>
    <hyperlink ref="D27" location="'Nota 15'!A1" display="'Nota 15'!A1"/>
    <hyperlink ref="D28" location="'Nota 16'!A1" display="'Nota 16'!A1"/>
    <hyperlink ref="D20" location="'Nota 8'!A1" display="'Nota 8'!A1"/>
    <hyperlink ref="D13" location="BG!A1" display="BG"/>
    <hyperlink ref="D42" location="ER!A1" display="ER"/>
    <hyperlink ref="D57" location="EVPN!A1" display="EVPN"/>
    <hyperlink ref="D58" location="EFE!A1" display="EFE"/>
    <hyperlink ref="D23" location="'Nota 11'!A1" display="Nota 11 y 12"/>
    <hyperlink ref="D24" location="'Nota 12'!A1" display="Nota 12"/>
    <hyperlink ref="D25" location="'Nota 13'!A1" display="Nota 13'"/>
    <hyperlink ref="D29" location="'Nota 17'!A1" display="Nota 17"/>
    <hyperlink ref="D30" location="'Nota 18'!A1" display="Nota 18"/>
    <hyperlink ref="D31" location="'Nota 19'!A1" display="Nota 19"/>
    <hyperlink ref="D32" location="'Nota 14'!A1" display="Nota 14"/>
    <hyperlink ref="D33" location="'Nota 19'!A1" display="Nota 19"/>
    <hyperlink ref="D34" location="'Nota 20'!A1" display="Nota 20"/>
    <hyperlink ref="D35" location="' Nota 21'!A1" display="Nota 21"/>
    <hyperlink ref="D36" location="' Nota 21'!A1" display="Nota 21"/>
    <hyperlink ref="D37" location="' Nota 21'!A1" display="Nota 21"/>
    <hyperlink ref="D38" location="' Nota 21'!A1" display="Nota 21"/>
    <hyperlink ref="D39" location="'Nota 22'!A1" display="Nota 22"/>
    <hyperlink ref="D40" location="'Nota 23'!A1" display="Nota 23"/>
    <hyperlink ref="D41" location="'Nota 24'!A1" display="Nota 24"/>
    <hyperlink ref="D43" location="'Nota 25'!A1" display="Nota 25"/>
    <hyperlink ref="D44" location="'Nota 26'!A1" display="Nota 26"/>
    <hyperlink ref="D45" location="'Nota 27'!A1" display="Nota 27"/>
    <hyperlink ref="D46" location="'Nota 27'!A1" display="N ota 27"/>
    <hyperlink ref="D47" location="'Nota 28'!A1" display="Nota 28"/>
    <hyperlink ref="D48" location="'Nota 29'!A1" display="Nota 29"/>
    <hyperlink ref="D49" location="'Nota 29'!A1" display="Nota 29"/>
    <hyperlink ref="D50" location="'Nota 30'!A1" display="Nota 30"/>
    <hyperlink ref="D51" location="'Nota 31'!A1" display="Nota 31"/>
    <hyperlink ref="D52" location="'Nota 32'!A1" display="Nota 32"/>
    <hyperlink ref="D53" location="'Nota 33'!A1" display="Nota 33"/>
    <hyperlink ref="D54" location="'Nota 34'!A1" display="Nota 34"/>
    <hyperlink ref="D55" location="'Nota 35'!A1" display="Nota 35"/>
    <hyperlink ref="D56" location="'Nota 35'!A1" display="Nota 35"/>
    <hyperlink ref="D61" location="'Nota 37'!A1" display="Nota 37"/>
    <hyperlink ref="D60" location="'Nota 36'!A1" display="Nota 36"/>
    <hyperlink ref="D12" location="'Nota 2'!A1" display="Nota 2"/>
    <hyperlink ref="D11" location="Nota1!A1" display="Nota 1"/>
    <hyperlink ref="D18" location="'Nota 5'!A1" display="Nota 5"/>
    <hyperlink ref="D64" location="'Nota 40'!A1" display="Nota 40"/>
    <hyperlink ref="D63" location="'Nota 39'!A1" display="Nota 39"/>
    <hyperlink ref="D62" location="'Nota 38'!A1" display="Nota 38"/>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H60"/>
  <sheetViews>
    <sheetView showGridLines="0" zoomScalePageLayoutView="0" workbookViewId="0" topLeftCell="A41">
      <selection activeCell="D59" sqref="D59"/>
    </sheetView>
  </sheetViews>
  <sheetFormatPr defaultColWidth="11.421875" defaultRowHeight="15"/>
  <cols>
    <col min="1" max="1" width="40.28125" style="11" customWidth="1"/>
    <col min="2" max="2" width="27.7109375" style="11" customWidth="1"/>
    <col min="3" max="3" width="25.421875" style="11" customWidth="1"/>
    <col min="4" max="4" width="19.57421875" style="11" customWidth="1"/>
    <col min="5" max="5" width="4.8515625" style="11" customWidth="1"/>
    <col min="6" max="6" width="61.57421875" style="11" customWidth="1"/>
    <col min="7" max="7" width="14.7109375" style="11" bestFit="1" customWidth="1"/>
    <col min="8" max="8" width="27.8515625" style="11" bestFit="1" customWidth="1"/>
    <col min="9" max="16384" width="11.421875" style="11" customWidth="1"/>
  </cols>
  <sheetData>
    <row r="1" spans="1:6" ht="15">
      <c r="A1" s="13" t="str">
        <f>Indice!C1</f>
        <v>NEGOFIN S.A.E.C.A.</v>
      </c>
      <c r="F1" s="154" t="s">
        <v>132</v>
      </c>
    </row>
    <row r="2" spans="1:6" ht="15">
      <c r="A2" s="250" t="s">
        <v>103</v>
      </c>
      <c r="B2" s="250"/>
      <c r="F2" s="154"/>
    </row>
    <row r="3" spans="1:6" ht="102">
      <c r="A3" s="440" t="s">
        <v>892</v>
      </c>
      <c r="B3" s="250"/>
      <c r="F3" s="154"/>
    </row>
    <row r="4" ht="12.75">
      <c r="C4" s="119"/>
    </row>
    <row r="5" spans="1:5" ht="12.75">
      <c r="A5" s="347" t="s">
        <v>292</v>
      </c>
      <c r="B5" s="347"/>
      <c r="C5" s="399"/>
      <c r="D5" s="399"/>
      <c r="E5" s="399"/>
    </row>
    <row r="6" spans="1:5" ht="12.75">
      <c r="A6" s="2" t="s">
        <v>890</v>
      </c>
      <c r="B6" s="2"/>
      <c r="E6" s="119"/>
    </row>
    <row r="7" spans="1:5" ht="12.75">
      <c r="A7" s="128"/>
      <c r="B7" s="128"/>
      <c r="C7" s="802" t="s">
        <v>244</v>
      </c>
      <c r="D7" s="803"/>
      <c r="E7" s="119"/>
    </row>
    <row r="8" spans="1:5" ht="12.75">
      <c r="A8" s="16"/>
      <c r="B8" s="16"/>
      <c r="C8" s="400">
        <f>_xlfn.IFERROR(IF(Indice!B6="","2XX2",YEAR(Indice!B6)),"2XX2")</f>
        <v>2021</v>
      </c>
      <c r="D8" s="400">
        <f>_xlfn.IFERROR(YEAR(Indice!B6-365),"2XX1")</f>
        <v>2020</v>
      </c>
      <c r="E8" s="119"/>
    </row>
    <row r="9" spans="1:8" ht="12.75">
      <c r="A9" s="251" t="s">
        <v>298</v>
      </c>
      <c r="B9" s="251" t="s">
        <v>450</v>
      </c>
      <c r="C9" s="468">
        <v>446841767.9</v>
      </c>
      <c r="D9" s="468">
        <v>441145379.7</v>
      </c>
      <c r="E9" s="119"/>
      <c r="F9" s="384" t="s">
        <v>882</v>
      </c>
      <c r="G9" s="385">
        <v>44286</v>
      </c>
      <c r="H9" s="398"/>
    </row>
    <row r="10" spans="1:8" ht="12.75">
      <c r="A10" s="251" t="s">
        <v>298</v>
      </c>
      <c r="B10" s="251" t="s">
        <v>451</v>
      </c>
      <c r="C10" s="468">
        <v>0</v>
      </c>
      <c r="D10" s="468">
        <v>0</v>
      </c>
      <c r="E10" s="119"/>
      <c r="F10" s="383" t="s">
        <v>293</v>
      </c>
      <c r="G10" s="114" t="s">
        <v>885</v>
      </c>
      <c r="H10" s="114" t="s">
        <v>889</v>
      </c>
    </row>
    <row r="11" spans="1:8" ht="12.75">
      <c r="A11" s="251" t="s">
        <v>298</v>
      </c>
      <c r="B11" s="251" t="s">
        <v>452</v>
      </c>
      <c r="C11" s="468">
        <v>0</v>
      </c>
      <c r="D11" s="468">
        <v>0</v>
      </c>
      <c r="E11" s="119"/>
      <c r="F11" s="10" t="s">
        <v>8</v>
      </c>
      <c r="G11" s="389">
        <v>306009353.778</v>
      </c>
      <c r="H11" s="575">
        <v>0.546156283</v>
      </c>
    </row>
    <row r="12" spans="1:8" ht="12.75">
      <c r="A12" s="251" t="s">
        <v>299</v>
      </c>
      <c r="B12" s="251" t="s">
        <v>450</v>
      </c>
      <c r="C12" s="468">
        <v>0</v>
      </c>
      <c r="D12" s="468">
        <v>0</v>
      </c>
      <c r="E12" s="119"/>
      <c r="F12" s="253" t="s">
        <v>12</v>
      </c>
      <c r="G12" s="249">
        <v>231093484.13099998</v>
      </c>
      <c r="H12" s="396"/>
    </row>
    <row r="13" spans="1:8" ht="12.75">
      <c r="A13" s="251" t="s">
        <v>299</v>
      </c>
      <c r="B13" s="251" t="s">
        <v>451</v>
      </c>
      <c r="C13" s="468">
        <v>0</v>
      </c>
      <c r="D13" s="468">
        <v>0</v>
      </c>
      <c r="E13" s="119"/>
      <c r="F13" s="397" t="s">
        <v>102</v>
      </c>
      <c r="G13" s="249"/>
      <c r="H13" s="396"/>
    </row>
    <row r="14" spans="1:8" ht="12.75">
      <c r="A14" s="251" t="s">
        <v>299</v>
      </c>
      <c r="B14" s="251" t="s">
        <v>452</v>
      </c>
      <c r="C14" s="468">
        <v>0</v>
      </c>
      <c r="D14" s="468">
        <v>0</v>
      </c>
      <c r="E14" s="119"/>
      <c r="F14" s="251" t="s">
        <v>9</v>
      </c>
      <c r="G14" s="249">
        <v>101320280.241</v>
      </c>
      <c r="H14" s="396">
        <v>0.01</v>
      </c>
    </row>
    <row r="15" spans="1:8" ht="12.75">
      <c r="A15" s="251" t="s">
        <v>453</v>
      </c>
      <c r="B15" s="251" t="s">
        <v>450</v>
      </c>
      <c r="C15" s="468">
        <v>0</v>
      </c>
      <c r="D15" s="468">
        <v>0</v>
      </c>
      <c r="E15" s="119"/>
      <c r="F15" s="251" t="s">
        <v>10</v>
      </c>
      <c r="G15" s="249">
        <v>39512133.958</v>
      </c>
      <c r="H15" s="396">
        <v>0.05</v>
      </c>
    </row>
    <row r="16" spans="1:8" ht="12.75">
      <c r="A16" s="251" t="s">
        <v>453</v>
      </c>
      <c r="B16" s="251" t="s">
        <v>451</v>
      </c>
      <c r="C16" s="468">
        <v>0</v>
      </c>
      <c r="D16" s="468">
        <v>0</v>
      </c>
      <c r="E16" s="119"/>
      <c r="F16" s="251" t="s">
        <v>11</v>
      </c>
      <c r="G16" s="249">
        <v>90261069.932</v>
      </c>
      <c r="H16" s="396">
        <v>0.2</v>
      </c>
    </row>
    <row r="17" spans="1:8" ht="12.75">
      <c r="A17" s="251" t="s">
        <v>453</v>
      </c>
      <c r="B17" s="251" t="s">
        <v>452</v>
      </c>
      <c r="C17" s="468">
        <v>0</v>
      </c>
      <c r="D17" s="468">
        <v>0</v>
      </c>
      <c r="E17" s="119"/>
      <c r="F17" s="10"/>
      <c r="G17" s="130"/>
      <c r="H17" s="390"/>
    </row>
    <row r="18" spans="1:8" ht="12.75">
      <c r="A18" s="251" t="s">
        <v>295</v>
      </c>
      <c r="B18" s="251" t="s">
        <v>450</v>
      </c>
      <c r="C18" s="468">
        <v>0</v>
      </c>
      <c r="D18" s="468">
        <v>0</v>
      </c>
      <c r="E18" s="119"/>
      <c r="F18" s="391" t="s">
        <v>883</v>
      </c>
      <c r="G18" s="7">
        <f>G11+G12</f>
        <v>537102837.9089999</v>
      </c>
      <c r="H18" s="392"/>
    </row>
    <row r="19" spans="1:8" ht="12.75">
      <c r="A19" s="251" t="s">
        <v>295</v>
      </c>
      <c r="B19" s="251" t="s">
        <v>451</v>
      </c>
      <c r="C19" s="468">
        <v>0</v>
      </c>
      <c r="D19" s="468">
        <v>0</v>
      </c>
      <c r="E19" s="119"/>
      <c r="F19" s="10"/>
      <c r="G19" s="130"/>
      <c r="H19" s="390"/>
    </row>
    <row r="20" spans="1:8" ht="12.75">
      <c r="A20" s="251" t="s">
        <v>295</v>
      </c>
      <c r="B20" s="251" t="s">
        <v>452</v>
      </c>
      <c r="C20" s="468">
        <v>0</v>
      </c>
      <c r="D20" s="468">
        <v>0</v>
      </c>
      <c r="E20" s="119"/>
      <c r="F20" s="393" t="s">
        <v>884</v>
      </c>
      <c r="G20" s="8">
        <f>-((G11*H11)+(SUMPRODUCT(G14:G16,H14:H16)))</f>
        <v>-188169954.7093345</v>
      </c>
      <c r="H20" s="115"/>
    </row>
    <row r="21" spans="1:8" ht="12.75">
      <c r="A21" s="251" t="s">
        <v>297</v>
      </c>
      <c r="B21" s="251" t="s">
        <v>450</v>
      </c>
      <c r="C21" s="468">
        <v>0</v>
      </c>
      <c r="D21" s="468">
        <v>0</v>
      </c>
      <c r="E21" s="119"/>
      <c r="F21" s="380"/>
      <c r="G21" s="381"/>
      <c r="H21" s="382"/>
    </row>
    <row r="22" spans="1:8" ht="12.75">
      <c r="A22" s="251" t="s">
        <v>297</v>
      </c>
      <c r="B22" s="251" t="s">
        <v>451</v>
      </c>
      <c r="C22" s="468">
        <v>0</v>
      </c>
      <c r="D22" s="468">
        <v>0</v>
      </c>
      <c r="E22" s="119"/>
      <c r="F22" s="394" t="s">
        <v>886</v>
      </c>
      <c r="G22" s="395">
        <f>G18+G20</f>
        <v>348932883.1996654</v>
      </c>
      <c r="H22" s="7"/>
    </row>
    <row r="23" spans="1:8" ht="15" customHeight="1">
      <c r="A23" s="251" t="s">
        <v>454</v>
      </c>
      <c r="B23" s="251" t="s">
        <v>450</v>
      </c>
      <c r="C23" s="468">
        <v>0</v>
      </c>
      <c r="D23" s="468">
        <v>0</v>
      </c>
      <c r="E23" s="119"/>
      <c r="F23" s="10"/>
      <c r="G23" s="386"/>
      <c r="H23" s="16"/>
    </row>
    <row r="24" spans="1:8" ht="12.75">
      <c r="A24" s="251" t="s">
        <v>454</v>
      </c>
      <c r="B24" s="251" t="s">
        <v>451</v>
      </c>
      <c r="C24" s="468">
        <v>0</v>
      </c>
      <c r="D24" s="468">
        <v>0</v>
      </c>
      <c r="E24" s="119"/>
      <c r="F24" s="6" t="s">
        <v>13</v>
      </c>
      <c r="G24" s="387"/>
      <c r="H24" s="387"/>
    </row>
    <row r="25" spans="1:8" ht="12.75">
      <c r="A25" s="251" t="s">
        <v>454</v>
      </c>
      <c r="B25" s="251" t="s">
        <v>452</v>
      </c>
      <c r="C25" s="468">
        <v>0</v>
      </c>
      <c r="D25" s="468">
        <v>0</v>
      </c>
      <c r="E25" s="119"/>
      <c r="F25" s="131" t="s">
        <v>14</v>
      </c>
      <c r="G25" s="388" t="s">
        <v>887</v>
      </c>
      <c r="H25" s="388" t="s">
        <v>888</v>
      </c>
    </row>
    <row r="26" spans="1:8" ht="12.75">
      <c r="A26" s="251" t="s">
        <v>455</v>
      </c>
      <c r="B26" s="251"/>
      <c r="C26" s="468">
        <v>-158062762</v>
      </c>
      <c r="D26" s="468">
        <v>-131255871</v>
      </c>
      <c r="E26" s="119"/>
      <c r="F26" s="10" t="s">
        <v>9</v>
      </c>
      <c r="G26" s="252">
        <v>1</v>
      </c>
      <c r="H26" s="252">
        <v>30</v>
      </c>
    </row>
    <row r="27" spans="1:8" ht="12.75">
      <c r="A27" s="6" t="s">
        <v>3</v>
      </c>
      <c r="B27" s="6"/>
      <c r="C27" s="469">
        <f>+SUM($C$9:C26)</f>
        <v>288779005.9</v>
      </c>
      <c r="D27" s="469">
        <f>+SUM($D$9:D26)</f>
        <v>309889508.7</v>
      </c>
      <c r="E27" s="119"/>
      <c r="F27" s="10" t="s">
        <v>10</v>
      </c>
      <c r="G27" s="252">
        <v>31</v>
      </c>
      <c r="H27" s="252">
        <v>60</v>
      </c>
    </row>
    <row r="28" spans="1:8" ht="12.75">
      <c r="A28" s="2"/>
      <c r="B28" s="2"/>
      <c r="E28" s="119"/>
      <c r="F28" s="10" t="s">
        <v>11</v>
      </c>
      <c r="G28" s="252">
        <v>61</v>
      </c>
      <c r="H28" s="252">
        <v>10000</v>
      </c>
    </row>
    <row r="29" spans="1:5" ht="12.75">
      <c r="A29" s="128"/>
      <c r="B29" s="128"/>
      <c r="E29" s="119"/>
    </row>
    <row r="30" spans="1:6" ht="12.75">
      <c r="A30" s="2" t="s">
        <v>891</v>
      </c>
      <c r="B30" s="2"/>
      <c r="E30" s="119"/>
      <c r="F30" s="11" t="s">
        <v>1068</v>
      </c>
    </row>
    <row r="31" spans="1:5" ht="12.75">
      <c r="A31" s="128"/>
      <c r="B31" s="128"/>
      <c r="C31" s="802" t="s">
        <v>244</v>
      </c>
      <c r="D31" s="803"/>
      <c r="E31" s="119"/>
    </row>
    <row r="32" spans="1:6" ht="15">
      <c r="A32" s="16"/>
      <c r="B32" s="16"/>
      <c r="C32" s="400">
        <f>_xlfn.IFERROR(IF(Indice!B6="","2XX2",YEAR(Indice!B6)),"2XX2")</f>
        <v>2021</v>
      </c>
      <c r="D32" s="400">
        <f>_xlfn.IFERROR(YEAR(Indice!B6-365),"2XX1")</f>
        <v>2020</v>
      </c>
      <c r="E32" s="119"/>
      <c r="F32" s="576" t="s">
        <v>1069</v>
      </c>
    </row>
    <row r="33" spans="1:6" ht="15">
      <c r="A33" s="251" t="s">
        <v>298</v>
      </c>
      <c r="B33" s="251" t="s">
        <v>450</v>
      </c>
      <c r="C33" s="468">
        <v>84483248.7</v>
      </c>
      <c r="D33" s="468">
        <v>65816360.5</v>
      </c>
      <c r="F33" s="576" t="s">
        <v>1070</v>
      </c>
    </row>
    <row r="34" spans="1:4" ht="15" customHeight="1">
      <c r="A34" s="251" t="s">
        <v>298</v>
      </c>
      <c r="B34" s="251" t="s">
        <v>451</v>
      </c>
      <c r="C34" s="468">
        <v>0</v>
      </c>
      <c r="D34" s="468">
        <v>0</v>
      </c>
    </row>
    <row r="35" spans="1:4" ht="12.75">
      <c r="A35" s="251" t="s">
        <v>298</v>
      </c>
      <c r="B35" s="251" t="s">
        <v>452</v>
      </c>
      <c r="C35" s="468">
        <v>0</v>
      </c>
      <c r="D35" s="468">
        <v>0</v>
      </c>
    </row>
    <row r="36" spans="1:4" ht="12.75">
      <c r="A36" s="251" t="s">
        <v>299</v>
      </c>
      <c r="B36" s="251" t="s">
        <v>450</v>
      </c>
      <c r="C36" s="468">
        <v>0</v>
      </c>
      <c r="D36" s="468">
        <v>0</v>
      </c>
    </row>
    <row r="37" spans="1:4" ht="12.75">
      <c r="A37" s="251" t="s">
        <v>299</v>
      </c>
      <c r="B37" s="251" t="s">
        <v>451</v>
      </c>
      <c r="C37" s="468">
        <v>0</v>
      </c>
      <c r="D37" s="468">
        <v>0</v>
      </c>
    </row>
    <row r="38" spans="1:4" ht="12.75">
      <c r="A38" s="251" t="s">
        <v>299</v>
      </c>
      <c r="B38" s="251" t="s">
        <v>452</v>
      </c>
      <c r="C38" s="468">
        <v>0</v>
      </c>
      <c r="D38" s="468">
        <v>0</v>
      </c>
    </row>
    <row r="39" spans="1:4" ht="12.75">
      <c r="A39" s="251" t="s">
        <v>453</v>
      </c>
      <c r="B39" s="251" t="s">
        <v>450</v>
      </c>
      <c r="C39" s="468">
        <v>0</v>
      </c>
      <c r="D39" s="468">
        <v>0</v>
      </c>
    </row>
    <row r="40" spans="1:4" ht="12.75">
      <c r="A40" s="251" t="s">
        <v>453</v>
      </c>
      <c r="B40" s="251" t="s">
        <v>451</v>
      </c>
      <c r="C40" s="468">
        <v>0</v>
      </c>
      <c r="D40" s="468">
        <v>0</v>
      </c>
    </row>
    <row r="41" spans="1:4" ht="12.75">
      <c r="A41" s="251" t="s">
        <v>453</v>
      </c>
      <c r="B41" s="251" t="s">
        <v>452</v>
      </c>
      <c r="C41" s="468">
        <v>0</v>
      </c>
      <c r="D41" s="468">
        <v>0</v>
      </c>
    </row>
    <row r="42" spans="1:4" ht="12.75">
      <c r="A42" s="251" t="s">
        <v>295</v>
      </c>
      <c r="B42" s="251" t="s">
        <v>450</v>
      </c>
      <c r="C42" s="468">
        <v>0</v>
      </c>
      <c r="D42" s="468">
        <v>0</v>
      </c>
    </row>
    <row r="43" spans="1:4" ht="12.75">
      <c r="A43" s="251" t="s">
        <v>295</v>
      </c>
      <c r="B43" s="251" t="s">
        <v>451</v>
      </c>
      <c r="C43" s="468">
        <v>0</v>
      </c>
      <c r="D43" s="468">
        <v>0</v>
      </c>
    </row>
    <row r="44" spans="1:4" ht="12.75">
      <c r="A44" s="251" t="s">
        <v>295</v>
      </c>
      <c r="B44" s="251" t="s">
        <v>452</v>
      </c>
      <c r="C44" s="468">
        <v>0</v>
      </c>
      <c r="D44" s="468">
        <v>0</v>
      </c>
    </row>
    <row r="45" spans="1:4" ht="15">
      <c r="A45" s="251" t="s">
        <v>296</v>
      </c>
      <c r="B45" s="251" t="s">
        <v>450</v>
      </c>
      <c r="C45" s="471">
        <v>4635987.4</v>
      </c>
      <c r="D45" s="468">
        <v>2938945</v>
      </c>
    </row>
    <row r="46" spans="1:6" ht="12.75">
      <c r="A46" s="251" t="s">
        <v>296</v>
      </c>
      <c r="B46" s="251" t="s">
        <v>451</v>
      </c>
      <c r="C46" s="468">
        <v>0</v>
      </c>
      <c r="D46" s="468">
        <v>0</v>
      </c>
      <c r="F46" s="577" t="s">
        <v>1071</v>
      </c>
    </row>
    <row r="47" spans="1:6" ht="15">
      <c r="A47" s="251" t="s">
        <v>296</v>
      </c>
      <c r="B47" s="251" t="s">
        <v>452</v>
      </c>
      <c r="C47" s="468">
        <v>0</v>
      </c>
      <c r="D47" s="468">
        <v>0</v>
      </c>
      <c r="F47" s="576" t="s">
        <v>1072</v>
      </c>
    </row>
    <row r="48" spans="1:6" ht="12.75">
      <c r="A48" s="251" t="s">
        <v>297</v>
      </c>
      <c r="B48" s="251" t="s">
        <v>450</v>
      </c>
      <c r="C48" s="468">
        <v>1141833.6</v>
      </c>
      <c r="D48" s="468">
        <v>1292932.2</v>
      </c>
      <c r="F48" s="11" t="s">
        <v>1073</v>
      </c>
    </row>
    <row r="49" spans="1:4" ht="12.75">
      <c r="A49" s="251" t="s">
        <v>297</v>
      </c>
      <c r="B49" s="251" t="s">
        <v>451</v>
      </c>
      <c r="C49" s="468">
        <v>0</v>
      </c>
      <c r="D49" s="468">
        <v>0</v>
      </c>
    </row>
    <row r="50" spans="1:4" ht="12.75">
      <c r="A50" s="251" t="s">
        <v>454</v>
      </c>
      <c r="B50" s="251" t="s">
        <v>450</v>
      </c>
      <c r="C50" s="468">
        <v>0</v>
      </c>
      <c r="D50" s="468">
        <v>0</v>
      </c>
    </row>
    <row r="51" spans="1:4" ht="12.75">
      <c r="A51" s="251" t="s">
        <v>454</v>
      </c>
      <c r="B51" s="251" t="s">
        <v>451</v>
      </c>
      <c r="C51" s="468">
        <v>0</v>
      </c>
      <c r="D51" s="468">
        <v>0</v>
      </c>
    </row>
    <row r="52" spans="1:4" ht="12.75">
      <c r="A52" s="251" t="s">
        <v>454</v>
      </c>
      <c r="B52" s="251" t="s">
        <v>452</v>
      </c>
      <c r="C52" s="468">
        <v>0</v>
      </c>
      <c r="D52" s="468">
        <v>0</v>
      </c>
    </row>
    <row r="53" spans="1:4" ht="12.75">
      <c r="A53" s="251" t="s">
        <v>455</v>
      </c>
      <c r="B53" s="251"/>
      <c r="C53" s="468">
        <v>-30107192.7</v>
      </c>
      <c r="D53" s="468">
        <v>-25001118</v>
      </c>
    </row>
    <row r="54" spans="1:4" ht="12.75">
      <c r="A54" s="6" t="s">
        <v>3</v>
      </c>
      <c r="B54" s="6"/>
      <c r="C54" s="469">
        <f>+SUM($C$33:C53)</f>
        <v>60153877</v>
      </c>
      <c r="D54" s="469">
        <f>+SUM($D$33:D53)</f>
        <v>45047119.7</v>
      </c>
    </row>
    <row r="55" spans="2:4" ht="12.75">
      <c r="B55" s="250"/>
      <c r="C55" s="250"/>
      <c r="D55" s="250"/>
    </row>
    <row r="56" spans="1:4" ht="12.75">
      <c r="A56" s="250"/>
      <c r="B56" s="250"/>
      <c r="C56" s="250"/>
      <c r="D56" s="250"/>
    </row>
    <row r="57" spans="1:5" ht="12.75">
      <c r="A57" s="250"/>
      <c r="B57" s="250"/>
      <c r="C57" s="470"/>
      <c r="D57" s="470"/>
      <c r="E57" s="250"/>
    </row>
    <row r="58" spans="3:5" ht="12.75">
      <c r="C58" s="20"/>
      <c r="D58" s="20"/>
      <c r="E58" s="250"/>
    </row>
    <row r="59" spans="3:5" ht="12.75">
      <c r="C59" s="20"/>
      <c r="E59" s="250"/>
    </row>
    <row r="60" spans="3:5" ht="12.75">
      <c r="C60" s="20"/>
      <c r="E60" s="250"/>
    </row>
  </sheetData>
  <sheetProtection/>
  <mergeCells count="2">
    <mergeCell ref="C7:D7"/>
    <mergeCell ref="C31:D31"/>
  </mergeCells>
  <hyperlinks>
    <hyperlink ref="F1" location="BG!A1" display="BG"/>
  </hyperlinks>
  <printOptions/>
  <pageMargins left="0.7086614173228347" right="0.7086614173228347" top="0.7480314960629921" bottom="0.7480314960629921" header="0.31496062992125984" footer="0.31496062992125984"/>
  <pageSetup orientation="portrait" paperSize="5" scale="80" r:id="rId2"/>
  <drawing r:id="rId1"/>
</worksheet>
</file>

<file path=xl/worksheets/sheet11.xml><?xml version="1.0" encoding="utf-8"?>
<worksheet xmlns="http://schemas.openxmlformats.org/spreadsheetml/2006/main" xmlns:r="http://schemas.openxmlformats.org/officeDocument/2006/relationships">
  <dimension ref="A1:G61"/>
  <sheetViews>
    <sheetView showGridLines="0" zoomScalePageLayoutView="0" workbookViewId="0" topLeftCell="A43">
      <selection activeCell="B57" sqref="B57"/>
    </sheetView>
  </sheetViews>
  <sheetFormatPr defaultColWidth="11.421875" defaultRowHeight="15"/>
  <cols>
    <col min="1" max="1" width="44.140625" style="2" bestFit="1" customWidth="1"/>
    <col min="2" max="2" width="20.8515625" style="2" customWidth="1"/>
    <col min="3" max="3" width="14.8515625" style="2" bestFit="1" customWidth="1"/>
    <col min="4" max="4" width="3.421875" style="2" bestFit="1" customWidth="1"/>
    <col min="5" max="5" width="38.8515625" style="2" bestFit="1" customWidth="1"/>
    <col min="6" max="6" width="18.28125" style="2" bestFit="1" customWidth="1"/>
    <col min="7" max="7" width="14.28125" style="2" customWidth="1"/>
    <col min="8" max="16384" width="11.421875" style="2" customWidth="1"/>
  </cols>
  <sheetData>
    <row r="1" spans="1:4" ht="15">
      <c r="A1" s="3" t="str">
        <f>Indice!C1</f>
        <v>NEGOFIN S.A.E.C.A.</v>
      </c>
      <c r="D1" s="149" t="s">
        <v>132</v>
      </c>
    </row>
    <row r="2" ht="12.75">
      <c r="A2" s="3"/>
    </row>
    <row r="3" ht="12.75">
      <c r="A3" s="3"/>
    </row>
    <row r="4" spans="1:3" ht="12.75">
      <c r="A4" s="315" t="s">
        <v>294</v>
      </c>
      <c r="B4" s="315"/>
      <c r="C4" s="315"/>
    </row>
    <row r="5" spans="1:2" ht="12.75">
      <c r="A5" s="260" t="s">
        <v>314</v>
      </c>
      <c r="B5" s="260"/>
    </row>
    <row r="6" ht="12.75">
      <c r="A6" s="2" t="s">
        <v>15</v>
      </c>
    </row>
    <row r="8" spans="1:7" ht="12.75">
      <c r="A8" s="13" t="s">
        <v>65</v>
      </c>
      <c r="B8" s="11"/>
      <c r="C8" s="11"/>
      <c r="E8" s="13" t="s">
        <v>64</v>
      </c>
      <c r="F8" s="17"/>
      <c r="G8" s="11"/>
    </row>
    <row r="9" spans="1:7" ht="12.75">
      <c r="A9" s="11"/>
      <c r="E9" s="11"/>
      <c r="F9" s="299"/>
      <c r="G9" s="299"/>
    </row>
    <row r="10" spans="1:7" ht="12.75">
      <c r="A10" s="14" t="s">
        <v>5</v>
      </c>
      <c r="B10" s="402">
        <f>_xlfn.IFERROR(IF(Indice!B6="","2XX2",YEAR(Indice!B6)),"2XX2")</f>
        <v>2021</v>
      </c>
      <c r="C10" s="402">
        <f>_xlfn.IFERROR(YEAR(Indice!B6-365),"2XX1")</f>
        <v>2020</v>
      </c>
      <c r="E10" s="14" t="s">
        <v>5</v>
      </c>
      <c r="F10" s="402">
        <f>_xlfn.IFERROR(IF(Indice!B6="","2XX2",YEAR(Indice!B6)),"2XX2")</f>
        <v>2021</v>
      </c>
      <c r="G10" s="402">
        <f>_xlfn.IFERROR(YEAR(Indice!B6-365),"2XX1")</f>
        <v>2020</v>
      </c>
    </row>
    <row r="11" spans="1:7" ht="12.75">
      <c r="A11" s="11" t="s">
        <v>306</v>
      </c>
      <c r="B11" s="472">
        <v>127784.5</v>
      </c>
      <c r="C11" s="472">
        <v>26015.6</v>
      </c>
      <c r="E11" s="11" t="s">
        <v>16</v>
      </c>
      <c r="F11" s="474">
        <v>18604.7</v>
      </c>
      <c r="G11" s="474">
        <v>18604.7</v>
      </c>
    </row>
    <row r="12" spans="1:7" ht="12.75">
      <c r="A12" s="11" t="s">
        <v>101</v>
      </c>
      <c r="B12" s="472">
        <v>177504</v>
      </c>
      <c r="C12" s="472">
        <v>0</v>
      </c>
      <c r="E12" s="11" t="s">
        <v>305</v>
      </c>
      <c r="F12" s="475">
        <v>5184244.9</v>
      </c>
      <c r="G12" s="475">
        <v>3481862.7</v>
      </c>
    </row>
    <row r="13" spans="1:7" ht="12.75">
      <c r="A13" s="11" t="s">
        <v>17</v>
      </c>
      <c r="B13" s="472">
        <v>2285056.6</v>
      </c>
      <c r="C13" s="472">
        <v>3978579.7</v>
      </c>
      <c r="E13" s="11" t="s">
        <v>307</v>
      </c>
      <c r="F13" s="477"/>
      <c r="G13" s="477"/>
    </row>
    <row r="14" spans="1:7" ht="12.75">
      <c r="A14" s="11" t="s">
        <v>59</v>
      </c>
      <c r="B14" s="472">
        <v>0</v>
      </c>
      <c r="C14" s="472">
        <v>0</v>
      </c>
      <c r="E14" s="11" t="s">
        <v>963</v>
      </c>
      <c r="F14" s="478">
        <v>22230.5</v>
      </c>
      <c r="G14" s="478">
        <v>22230.5</v>
      </c>
    </row>
    <row r="15" spans="1:7" ht="12.75">
      <c r="A15" s="11" t="s">
        <v>60</v>
      </c>
      <c r="B15" s="472">
        <v>5020.3</v>
      </c>
      <c r="C15" s="472">
        <v>3920.5</v>
      </c>
      <c r="E15" s="11" t="s">
        <v>964</v>
      </c>
      <c r="F15" s="478">
        <v>2068.1</v>
      </c>
      <c r="G15" s="478">
        <v>2068.1</v>
      </c>
    </row>
    <row r="16" spans="1:7" ht="13.5" thickBot="1">
      <c r="A16" s="473" t="s">
        <v>925</v>
      </c>
      <c r="B16" s="472">
        <v>312000</v>
      </c>
      <c r="C16" s="472">
        <v>312000</v>
      </c>
      <c r="E16" s="13" t="s">
        <v>3</v>
      </c>
      <c r="F16" s="476">
        <f>SUM(F11:F15)</f>
        <v>5227148.2</v>
      </c>
      <c r="G16" s="476">
        <f>SUM(G11:G15)</f>
        <v>3524766.0000000005</v>
      </c>
    </row>
    <row r="17" spans="1:7" ht="13.5" thickTop="1">
      <c r="A17" s="473" t="s">
        <v>926</v>
      </c>
      <c r="B17" s="472">
        <v>3552.5</v>
      </c>
      <c r="C17" s="472">
        <v>13598.5</v>
      </c>
      <c r="E17" s="13"/>
      <c r="F17" s="121"/>
      <c r="G17" s="121"/>
    </row>
    <row r="18" spans="1:7" ht="12.75">
      <c r="A18" s="473" t="s">
        <v>927</v>
      </c>
      <c r="B18" s="472">
        <v>0</v>
      </c>
      <c r="C18" s="472">
        <v>94740.3</v>
      </c>
      <c r="E18" s="13"/>
      <c r="F18" s="121"/>
      <c r="G18" s="121"/>
    </row>
    <row r="19" spans="1:7" ht="12.75">
      <c r="A19" s="473" t="s">
        <v>928</v>
      </c>
      <c r="B19" s="472">
        <v>0</v>
      </c>
      <c r="C19" s="472">
        <v>45711.4</v>
      </c>
      <c r="E19" s="13"/>
      <c r="F19" s="121"/>
      <c r="G19" s="121"/>
    </row>
    <row r="20" spans="1:7" ht="12.75">
      <c r="A20" s="473" t="s">
        <v>929</v>
      </c>
      <c r="B20" s="472">
        <v>0</v>
      </c>
      <c r="C20" s="472">
        <v>24570.6</v>
      </c>
      <c r="E20" s="13"/>
      <c r="F20" s="121"/>
      <c r="G20" s="121"/>
    </row>
    <row r="21" spans="1:7" ht="12.75">
      <c r="A21" s="473" t="s">
        <v>930</v>
      </c>
      <c r="B21" s="472">
        <v>1025354.5</v>
      </c>
      <c r="C21" s="472">
        <v>1522637.2</v>
      </c>
      <c r="E21" s="13"/>
      <c r="F21" s="121"/>
      <c r="G21" s="121"/>
    </row>
    <row r="22" spans="1:7" ht="12.75">
      <c r="A22" s="473" t="s">
        <v>952</v>
      </c>
      <c r="B22" s="472">
        <v>22803.5</v>
      </c>
      <c r="C22" s="472">
        <v>0</v>
      </c>
      <c r="E22" s="13"/>
      <c r="F22" s="121"/>
      <c r="G22" s="121"/>
    </row>
    <row r="23" spans="1:7" ht="12.75">
      <c r="A23" s="473" t="s">
        <v>931</v>
      </c>
      <c r="B23" s="472">
        <v>0</v>
      </c>
      <c r="C23" s="472">
        <v>35225.9</v>
      </c>
      <c r="E23" s="13"/>
      <c r="F23" s="121"/>
      <c r="G23" s="121"/>
    </row>
    <row r="24" spans="1:7" ht="12.75">
      <c r="A24" s="473" t="s">
        <v>932</v>
      </c>
      <c r="B24" s="472">
        <v>0</v>
      </c>
      <c r="C24" s="472">
        <v>0</v>
      </c>
      <c r="E24" s="13"/>
      <c r="F24" s="121"/>
      <c r="G24" s="121"/>
    </row>
    <row r="25" spans="1:7" ht="12.75">
      <c r="A25" s="473" t="s">
        <v>933</v>
      </c>
      <c r="B25" s="472">
        <v>0</v>
      </c>
      <c r="C25" s="472">
        <v>0</v>
      </c>
      <c r="E25" s="13"/>
      <c r="F25" s="121"/>
      <c r="G25" s="121"/>
    </row>
    <row r="26" spans="1:7" ht="12.75">
      <c r="A26" s="473" t="s">
        <v>934</v>
      </c>
      <c r="B26" s="472">
        <v>0</v>
      </c>
      <c r="C26" s="472">
        <v>884.5</v>
      </c>
      <c r="E26" s="13"/>
      <c r="F26" s="121"/>
      <c r="G26" s="121"/>
    </row>
    <row r="27" spans="1:7" ht="12.75">
      <c r="A27" s="473" t="s">
        <v>935</v>
      </c>
      <c r="B27" s="472">
        <v>6301.5</v>
      </c>
      <c r="C27" s="472">
        <v>11793.6</v>
      </c>
      <c r="E27" s="13"/>
      <c r="F27" s="121"/>
      <c r="G27" s="121"/>
    </row>
    <row r="28" spans="1:7" ht="12.75">
      <c r="A28" s="473" t="s">
        <v>936</v>
      </c>
      <c r="B28" s="472">
        <v>3930.6</v>
      </c>
      <c r="C28" s="472">
        <v>13580.5</v>
      </c>
      <c r="E28" s="13"/>
      <c r="F28" s="121"/>
      <c r="G28" s="121"/>
    </row>
    <row r="29" spans="1:7" ht="12.75">
      <c r="A29" s="473" t="s">
        <v>937</v>
      </c>
      <c r="B29" s="682">
        <v>11368.5</v>
      </c>
      <c r="C29" s="472">
        <v>5007</v>
      </c>
      <c r="E29" s="13"/>
      <c r="F29" s="121"/>
      <c r="G29" s="121"/>
    </row>
    <row r="30" spans="1:7" ht="12.75">
      <c r="A30" s="473" t="s">
        <v>938</v>
      </c>
      <c r="B30" s="472">
        <v>3286.6</v>
      </c>
      <c r="C30" s="472">
        <v>13623.8</v>
      </c>
      <c r="E30" s="13"/>
      <c r="F30" s="121"/>
      <c r="G30" s="121"/>
    </row>
    <row r="31" spans="1:7" ht="12.75">
      <c r="A31" s="473" t="s">
        <v>939</v>
      </c>
      <c r="B31" s="472">
        <v>4711.5</v>
      </c>
      <c r="C31" s="472">
        <v>5276.4</v>
      </c>
      <c r="E31" s="13"/>
      <c r="F31" s="121"/>
      <c r="G31" s="121"/>
    </row>
    <row r="32" spans="1:7" ht="12.75">
      <c r="A32" s="473" t="s">
        <v>940</v>
      </c>
      <c r="B32" s="472">
        <v>8432.6</v>
      </c>
      <c r="C32" s="472">
        <v>1813.5</v>
      </c>
      <c r="E32" s="13"/>
      <c r="F32" s="121"/>
      <c r="G32" s="121"/>
    </row>
    <row r="33" spans="1:7" ht="12.75">
      <c r="A33" s="1" t="s">
        <v>941</v>
      </c>
      <c r="B33" s="472">
        <v>0</v>
      </c>
      <c r="C33" s="472">
        <v>0</v>
      </c>
      <c r="E33" s="13"/>
      <c r="F33" s="121"/>
      <c r="G33" s="121"/>
    </row>
    <row r="34" spans="1:7" ht="12.75">
      <c r="A34" s="1" t="s">
        <v>942</v>
      </c>
      <c r="B34" s="472">
        <v>0</v>
      </c>
      <c r="C34" s="472">
        <v>2702.7</v>
      </c>
      <c r="E34" s="13"/>
      <c r="F34" s="121"/>
      <c r="G34" s="121"/>
    </row>
    <row r="35" spans="1:7" ht="12.75">
      <c r="A35" s="473" t="s">
        <v>943</v>
      </c>
      <c r="B35" s="472">
        <v>132.5</v>
      </c>
      <c r="C35" s="472">
        <v>1992.7</v>
      </c>
      <c r="E35" s="13"/>
      <c r="F35" s="121"/>
      <c r="G35" s="121"/>
    </row>
    <row r="36" spans="1:7" ht="12.75">
      <c r="A36" s="1" t="s">
        <v>944</v>
      </c>
      <c r="B36" s="472">
        <v>0</v>
      </c>
      <c r="C36" s="472">
        <v>1003769.3</v>
      </c>
      <c r="E36" s="13"/>
      <c r="F36" s="121"/>
      <c r="G36" s="121"/>
    </row>
    <row r="37" spans="1:7" ht="12.75">
      <c r="A37" s="473" t="s">
        <v>953</v>
      </c>
      <c r="B37" s="472">
        <v>112676.7</v>
      </c>
      <c r="C37" s="472">
        <v>138635.6</v>
      </c>
      <c r="E37" s="13"/>
      <c r="F37" s="121"/>
      <c r="G37" s="121"/>
    </row>
    <row r="38" spans="1:7" ht="12.75">
      <c r="A38" s="1" t="s">
        <v>945</v>
      </c>
      <c r="B38" s="472">
        <v>0</v>
      </c>
      <c r="C38" s="472">
        <v>0</v>
      </c>
      <c r="E38" s="13"/>
      <c r="F38" s="121"/>
      <c r="G38" s="121"/>
    </row>
    <row r="39" spans="1:7" ht="12.75">
      <c r="A39" s="473" t="s">
        <v>946</v>
      </c>
      <c r="B39" s="472">
        <v>0</v>
      </c>
      <c r="C39" s="472">
        <v>66312.9</v>
      </c>
      <c r="E39" s="13"/>
      <c r="F39" s="121"/>
      <c r="G39" s="121"/>
    </row>
    <row r="40" spans="1:7" ht="12.75">
      <c r="A40" s="473" t="s">
        <v>928</v>
      </c>
      <c r="B40" s="472">
        <v>0</v>
      </c>
      <c r="C40" s="472">
        <v>0</v>
      </c>
      <c r="E40" s="13"/>
      <c r="F40" s="121"/>
      <c r="G40" s="121"/>
    </row>
    <row r="41" spans="1:7" ht="12.75">
      <c r="A41" s="473" t="s">
        <v>947</v>
      </c>
      <c r="B41" s="472">
        <v>0</v>
      </c>
      <c r="C41" s="472">
        <v>688709.5</v>
      </c>
      <c r="E41" s="13"/>
      <c r="F41" s="121"/>
      <c r="G41" s="121"/>
    </row>
    <row r="42" spans="1:7" ht="12.75">
      <c r="A42" s="473" t="s">
        <v>948</v>
      </c>
      <c r="B42" s="472">
        <v>0</v>
      </c>
      <c r="C42" s="472">
        <v>119876.5</v>
      </c>
      <c r="E42" s="13"/>
      <c r="F42" s="121"/>
      <c r="G42" s="121"/>
    </row>
    <row r="43" spans="1:7" ht="12.75">
      <c r="A43" s="1" t="s">
        <v>949</v>
      </c>
      <c r="B43" s="472">
        <v>4659637.8</v>
      </c>
      <c r="C43" s="472">
        <v>0</v>
      </c>
      <c r="E43" s="13"/>
      <c r="F43" s="121"/>
      <c r="G43" s="121"/>
    </row>
    <row r="44" spans="1:7" ht="12.75">
      <c r="A44" s="473" t="s">
        <v>950</v>
      </c>
      <c r="B44" s="472">
        <v>0</v>
      </c>
      <c r="C44" s="472">
        <v>100023.5</v>
      </c>
      <c r="E44" s="13"/>
      <c r="F44" s="121"/>
      <c r="G44" s="121"/>
    </row>
    <row r="45" spans="1:7" ht="12.75">
      <c r="A45" s="473" t="s">
        <v>951</v>
      </c>
      <c r="B45" s="472">
        <v>2978.3</v>
      </c>
      <c r="C45" s="472">
        <v>3510.8</v>
      </c>
      <c r="E45" s="13"/>
      <c r="F45" s="121"/>
      <c r="G45" s="121"/>
    </row>
    <row r="46" spans="1:7" ht="12.75">
      <c r="A46" s="11" t="s">
        <v>954</v>
      </c>
      <c r="B46" s="472">
        <v>492.2</v>
      </c>
      <c r="C46" s="472">
        <v>0</v>
      </c>
      <c r="E46" s="13"/>
      <c r="F46" s="121"/>
      <c r="G46" s="121"/>
    </row>
    <row r="47" spans="1:7" ht="12.75">
      <c r="A47" s="11" t="s">
        <v>955</v>
      </c>
      <c r="B47" s="472">
        <v>14144.6</v>
      </c>
      <c r="C47" s="472">
        <v>0</v>
      </c>
      <c r="E47" s="13"/>
      <c r="F47" s="121"/>
      <c r="G47" s="121"/>
    </row>
    <row r="48" spans="1:7" ht="12.75">
      <c r="A48" s="11" t="s">
        <v>956</v>
      </c>
      <c r="B48" s="472">
        <v>1295.8</v>
      </c>
      <c r="C48" s="472">
        <v>4711.9</v>
      </c>
      <c r="E48" s="13"/>
      <c r="F48" s="121"/>
      <c r="G48" s="121"/>
    </row>
    <row r="49" spans="1:7" ht="12.75">
      <c r="A49" s="11" t="s">
        <v>957</v>
      </c>
      <c r="B49" s="472">
        <v>3235.3</v>
      </c>
      <c r="C49" s="472">
        <v>3274.1</v>
      </c>
      <c r="E49" s="13"/>
      <c r="F49" s="121"/>
      <c r="G49" s="121"/>
    </row>
    <row r="50" spans="1:7" ht="12.75">
      <c r="A50" s="11" t="s">
        <v>958</v>
      </c>
      <c r="B50" s="472">
        <v>0</v>
      </c>
      <c r="C50" s="472">
        <v>5000</v>
      </c>
      <c r="E50" s="13"/>
      <c r="F50" s="121"/>
      <c r="G50" s="121"/>
    </row>
    <row r="51" spans="1:7" ht="12.75">
      <c r="A51" s="11" t="s">
        <v>959</v>
      </c>
      <c r="B51" s="472">
        <v>2262.1</v>
      </c>
      <c r="C51" s="472">
        <v>266295.1</v>
      </c>
      <c r="E51" s="13"/>
      <c r="F51" s="121"/>
      <c r="G51" s="121"/>
    </row>
    <row r="52" spans="1:7" ht="12.75">
      <c r="A52" s="11" t="s">
        <v>961</v>
      </c>
      <c r="B52" s="472">
        <v>49575.8</v>
      </c>
      <c r="C52" s="472">
        <v>4353.3</v>
      </c>
      <c r="E52" s="13"/>
      <c r="F52" s="121"/>
      <c r="G52" s="121"/>
    </row>
    <row r="53" spans="1:7" ht="12.75">
      <c r="A53" s="11" t="s">
        <v>960</v>
      </c>
      <c r="B53" s="472">
        <v>24249.4</v>
      </c>
      <c r="C53" s="472">
        <v>0</v>
      </c>
      <c r="E53" s="13"/>
      <c r="F53" s="121"/>
      <c r="G53" s="121"/>
    </row>
    <row r="54" spans="1:7" ht="12.75">
      <c r="A54" s="11" t="s">
        <v>962</v>
      </c>
      <c r="B54" s="472">
        <v>39931.8</v>
      </c>
      <c r="C54" s="472">
        <v>28825.3</v>
      </c>
      <c r="E54" s="13"/>
      <c r="F54" s="121"/>
      <c r="G54" s="121"/>
    </row>
    <row r="55" spans="1:7" ht="12.75">
      <c r="A55" s="11" t="s">
        <v>965</v>
      </c>
      <c r="B55" s="472">
        <v>40090.9</v>
      </c>
      <c r="C55" s="472">
        <v>0</v>
      </c>
      <c r="E55" s="13"/>
      <c r="F55" s="121"/>
      <c r="G55" s="121"/>
    </row>
    <row r="56" spans="1:7" ht="12.75">
      <c r="A56" s="11" t="s">
        <v>966</v>
      </c>
      <c r="B56" s="472">
        <v>37606</v>
      </c>
      <c r="C56" s="472">
        <v>16809</v>
      </c>
      <c r="E56" s="13"/>
      <c r="F56" s="121"/>
      <c r="G56" s="121"/>
    </row>
    <row r="57" spans="1:7" ht="12.75">
      <c r="A57" s="11" t="s">
        <v>967</v>
      </c>
      <c r="B57" s="479">
        <v>14531</v>
      </c>
      <c r="C57" s="479">
        <v>42120.9</v>
      </c>
      <c r="E57" s="13"/>
      <c r="F57" s="121"/>
      <c r="G57" s="121"/>
    </row>
    <row r="58" spans="1:7" ht="13.5" thickBot="1">
      <c r="A58" s="13" t="s">
        <v>3</v>
      </c>
      <c r="B58" s="476">
        <f>SUM($B$11:B57)</f>
        <v>8999947.400000002</v>
      </c>
      <c r="C58" s="476">
        <f>SUM($C$11:C57)</f>
        <v>8605902.100000003</v>
      </c>
      <c r="F58" s="35"/>
      <c r="G58" s="35"/>
    </row>
    <row r="59" spans="1:3" ht="13.5" thickTop="1">
      <c r="A59" s="13"/>
      <c r="B59" s="121"/>
      <c r="C59" s="121"/>
    </row>
    <row r="60" spans="2:3" ht="12.75">
      <c r="B60" s="480"/>
      <c r="C60" s="480"/>
    </row>
    <row r="61" ht="12.75">
      <c r="B61" s="481"/>
    </row>
    <row r="70" ht="15"/>
    <row r="71" ht="15"/>
    <row r="72" ht="15"/>
    <row r="73" ht="15"/>
    <row r="74" ht="15"/>
  </sheetData>
  <sheetProtection/>
  <hyperlinks>
    <hyperlink ref="D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12.xml><?xml version="1.0" encoding="utf-8"?>
<worksheet xmlns="http://schemas.openxmlformats.org/spreadsheetml/2006/main" xmlns:r="http://schemas.openxmlformats.org/officeDocument/2006/relationships">
  <dimension ref="A1:G15"/>
  <sheetViews>
    <sheetView showGridLines="0" zoomScalePageLayoutView="0" workbookViewId="0" topLeftCell="A7">
      <selection activeCell="C23" sqref="C23"/>
    </sheetView>
  </sheetViews>
  <sheetFormatPr defaultColWidth="11.421875" defaultRowHeight="15"/>
  <cols>
    <col min="1" max="1" width="50.140625" style="0" customWidth="1"/>
    <col min="2" max="2" width="19.00390625" style="0" customWidth="1"/>
    <col min="3" max="3" width="16.57421875" style="0" customWidth="1"/>
  </cols>
  <sheetData>
    <row r="1" spans="1:4" ht="15">
      <c r="A1" t="str">
        <f>Indice!C1</f>
        <v>NEGOFIN S.A.E.C.A.</v>
      </c>
      <c r="D1" s="149" t="s">
        <v>132</v>
      </c>
    </row>
    <row r="4" spans="1:3" ht="15">
      <c r="A4" s="805" t="s">
        <v>308</v>
      </c>
      <c r="B4" s="805"/>
      <c r="C4" s="805"/>
    </row>
    <row r="6" spans="1:7" ht="15">
      <c r="A6" s="804" t="s">
        <v>19</v>
      </c>
      <c r="B6" s="804"/>
      <c r="C6" s="804"/>
      <c r="D6" s="804"/>
      <c r="E6" s="804"/>
      <c r="F6" s="804"/>
      <c r="G6" s="804"/>
    </row>
    <row r="7" spans="2:3" ht="15" customHeight="1">
      <c r="B7" s="801" t="s">
        <v>314</v>
      </c>
      <c r="C7" s="801"/>
    </row>
    <row r="8" spans="1:3" ht="15">
      <c r="A8" s="14" t="s">
        <v>5</v>
      </c>
      <c r="B8" s="402">
        <f>_xlfn.IFERROR(IF(Indice!B6="","2XX2",YEAR(Indice!B6)),"2XX2")</f>
        <v>2021</v>
      </c>
      <c r="C8" s="402">
        <f>_xlfn.IFERROR(YEAR(Indice!B6-365),"2XX1")</f>
        <v>2020</v>
      </c>
    </row>
    <row r="9" spans="1:3" ht="15">
      <c r="A9" s="22" t="s">
        <v>97</v>
      </c>
      <c r="B9" s="9"/>
      <c r="C9" s="18"/>
    </row>
    <row r="10" spans="1:3" ht="15">
      <c r="A10" s="22" t="s">
        <v>98</v>
      </c>
      <c r="B10" s="9"/>
      <c r="C10" s="18"/>
    </row>
    <row r="11" spans="1:3" ht="15">
      <c r="A11" s="22" t="s">
        <v>99</v>
      </c>
      <c r="B11" s="9"/>
      <c r="C11" s="18"/>
    </row>
    <row r="12" spans="1:3" ht="15">
      <c r="A12" s="22" t="s">
        <v>100</v>
      </c>
      <c r="B12" s="9"/>
      <c r="C12" s="18"/>
    </row>
    <row r="13" spans="1:3" ht="15">
      <c r="A13" s="22" t="s">
        <v>66</v>
      </c>
      <c r="B13" s="9"/>
      <c r="C13" s="18"/>
    </row>
    <row r="14" spans="1:3" ht="15" customHeight="1">
      <c r="A14" s="255" t="s">
        <v>309</v>
      </c>
      <c r="B14" s="9"/>
      <c r="C14" s="18"/>
    </row>
    <row r="15" spans="1:3" ht="15.75" thickBot="1">
      <c r="A15" s="13" t="s">
        <v>18</v>
      </c>
      <c r="B15" s="21">
        <f>SUM(B9:B12)</f>
        <v>0</v>
      </c>
      <c r="C15" s="23">
        <f>SUM(C9:C12)</f>
        <v>0</v>
      </c>
    </row>
    <row r="16" ht="15.75" thickTop="1"/>
  </sheetData>
  <sheetProtection/>
  <mergeCells count="3">
    <mergeCell ref="B7:C7"/>
    <mergeCell ref="A6:G6"/>
    <mergeCell ref="A4:C4"/>
  </mergeCells>
  <hyperlinks>
    <hyperlink ref="D1" location="BG!A1" display="BG"/>
  </hyperlinks>
  <printOptions/>
  <pageMargins left="0.7086614173228347" right="0.7086614173228347" top="0.7480314960629921" bottom="0.7480314960629921" header="0.31496062992125984" footer="0.31496062992125984"/>
  <pageSetup orientation="portrait" paperSize="5" scale="80" r:id="rId2"/>
  <drawing r:id="rId1"/>
</worksheet>
</file>

<file path=xl/worksheets/sheet13.xml><?xml version="1.0" encoding="utf-8"?>
<worksheet xmlns="http://schemas.openxmlformats.org/spreadsheetml/2006/main" xmlns:r="http://schemas.openxmlformats.org/officeDocument/2006/relationships">
  <dimension ref="A1:AD20"/>
  <sheetViews>
    <sheetView zoomScalePageLayoutView="0" workbookViewId="0" topLeftCell="H4">
      <selection activeCell="L16" sqref="L16:L18"/>
    </sheetView>
  </sheetViews>
  <sheetFormatPr defaultColWidth="11.421875" defaultRowHeight="15"/>
  <cols>
    <col min="1" max="1" width="41.8515625" style="129" customWidth="1"/>
    <col min="2" max="2" width="22.8515625" style="129" customWidth="1"/>
    <col min="3" max="3" width="29.28125" style="129" bestFit="1" customWidth="1"/>
    <col min="4" max="4" width="25.8515625" style="129" customWidth="1"/>
    <col min="5" max="5" width="26.140625" style="129" customWidth="1"/>
    <col min="6" max="6" width="3.421875" style="129" customWidth="1"/>
    <col min="7" max="7" width="29.28125" style="129" bestFit="1" customWidth="1"/>
    <col min="8" max="8" width="33.00390625" style="129" bestFit="1" customWidth="1"/>
    <col min="9" max="9" width="33.00390625" style="129" customWidth="1"/>
    <col min="10" max="10" width="39.28125" style="129" bestFit="1" customWidth="1"/>
    <col min="11" max="11" width="37.421875" style="129" bestFit="1" customWidth="1"/>
    <col min="12" max="12" width="35.7109375" style="129" bestFit="1" customWidth="1"/>
    <col min="13" max="30" width="11.421875" style="129" customWidth="1"/>
  </cols>
  <sheetData>
    <row r="1" spans="1:4" ht="15">
      <c r="A1" s="129" t="str">
        <f>Indice!C1</f>
        <v>NEGOFIN S.A.E.C.A.</v>
      </c>
      <c r="B1" s="150"/>
      <c r="D1" s="150" t="s">
        <v>132</v>
      </c>
    </row>
    <row r="4" spans="1:6" ht="15">
      <c r="A4" s="805" t="s">
        <v>311</v>
      </c>
      <c r="B4" s="805"/>
      <c r="C4" s="805"/>
      <c r="D4" s="805"/>
      <c r="E4" s="805"/>
      <c r="F4" s="805"/>
    </row>
    <row r="5" spans="1:6" s="29" customFormat="1" ht="15">
      <c r="A5" s="408" t="s">
        <v>244</v>
      </c>
      <c r="B5" s="409"/>
      <c r="C5" s="151"/>
      <c r="D5" s="151"/>
      <c r="E5" s="151"/>
      <c r="F5" s="151"/>
    </row>
    <row r="6" ht="15">
      <c r="A6" s="129" t="s">
        <v>312</v>
      </c>
    </row>
    <row r="7" spans="1:30" s="248" customFormat="1" ht="15">
      <c r="A7" s="129" t="s">
        <v>471</v>
      </c>
      <c r="B7" s="406">
        <f>_xlfn.IFERROR(IF(Indice!B6="","2XX2",YEAR(Indice!B6)),"2XX2")</f>
        <v>2021</v>
      </c>
      <c r="C7" s="405">
        <f>_xlfn.IFERROR(YEAR(Indice!B6-365),"2XX1")</f>
        <v>2020</v>
      </c>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row>
    <row r="8" spans="1:30" s="298" customFormat="1" ht="15">
      <c r="A8" s="129" t="s">
        <v>474</v>
      </c>
      <c r="B8" s="471">
        <v>750125</v>
      </c>
      <c r="C8" s="471">
        <v>718125</v>
      </c>
      <c r="D8" s="312" t="s">
        <v>479</v>
      </c>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row>
    <row r="9" spans="1:30" s="298" customFormat="1" ht="15">
      <c r="A9" s="129"/>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row>
    <row r="10" spans="1:30" s="248" customFormat="1" ht="15">
      <c r="A10" s="129" t="s">
        <v>315</v>
      </c>
      <c r="B10" s="129"/>
      <c r="C10" s="129"/>
      <c r="F10" s="129"/>
      <c r="G10" s="129" t="s">
        <v>472</v>
      </c>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row>
    <row r="11" spans="4:5" ht="15">
      <c r="D11" s="410">
        <f>_xlfn.IFERROR(IF(Indice!B6="","2XX2",YEAR(Indice!B6)),"2XX2")</f>
        <v>2021</v>
      </c>
      <c r="E11" s="407"/>
    </row>
    <row r="12" spans="1:12" ht="15" customHeight="1">
      <c r="A12" s="311" t="s">
        <v>456</v>
      </c>
      <c r="B12" s="300" t="s">
        <v>457</v>
      </c>
      <c r="C12" s="310" t="s">
        <v>473</v>
      </c>
      <c r="D12" s="311" t="s">
        <v>470</v>
      </c>
      <c r="E12" s="311" t="s">
        <v>313</v>
      </c>
      <c r="G12" s="310" t="s">
        <v>473</v>
      </c>
      <c r="H12" s="310" t="s">
        <v>475</v>
      </c>
      <c r="I12" s="310" t="s">
        <v>478</v>
      </c>
      <c r="J12" s="310" t="s">
        <v>476</v>
      </c>
      <c r="K12" s="310" t="s">
        <v>316</v>
      </c>
      <c r="L12" s="310" t="s">
        <v>477</v>
      </c>
    </row>
    <row r="13" spans="1:12" ht="15.75">
      <c r="A13" s="482" t="s">
        <v>1290</v>
      </c>
      <c r="B13" s="717" t="s">
        <v>1291</v>
      </c>
      <c r="C13" s="717">
        <v>97</v>
      </c>
      <c r="D13" s="717">
        <v>508326.4</v>
      </c>
      <c r="E13" s="717">
        <v>111280</v>
      </c>
      <c r="F13" s="717"/>
      <c r="G13" s="717">
        <v>97</v>
      </c>
      <c r="H13" s="717">
        <v>97</v>
      </c>
      <c r="I13" s="717">
        <v>97000</v>
      </c>
      <c r="J13" s="718">
        <f>I13/D13</f>
        <v>0.19082227482184674</v>
      </c>
      <c r="K13" s="717">
        <f>J13*D13</f>
        <v>97000</v>
      </c>
      <c r="L13" s="717">
        <f>J13*E13</f>
        <v>21234.702742175105</v>
      </c>
    </row>
    <row r="14" spans="1:12" ht="15.75">
      <c r="A14" s="482" t="s">
        <v>968</v>
      </c>
      <c r="B14" s="717" t="s">
        <v>1293</v>
      </c>
      <c r="C14" s="717">
        <v>28</v>
      </c>
      <c r="D14" s="717">
        <v>88168.887</v>
      </c>
      <c r="E14" s="717">
        <v>-24400.2</v>
      </c>
      <c r="F14" s="717"/>
      <c r="G14" s="717">
        <v>28</v>
      </c>
      <c r="H14" s="717">
        <v>14</v>
      </c>
      <c r="I14" s="717">
        <v>28000</v>
      </c>
      <c r="J14" s="718">
        <f>I14/D14</f>
        <v>0.3175723427244806</v>
      </c>
      <c r="K14" s="717">
        <f>J14*D14</f>
        <v>28000.000000000004</v>
      </c>
      <c r="L14" s="717">
        <f>J14*E14</f>
        <v>-7748.828676945872</v>
      </c>
    </row>
    <row r="15" spans="1:12" ht="15.75">
      <c r="A15" s="482" t="s">
        <v>1292</v>
      </c>
      <c r="B15" s="717"/>
      <c r="C15" s="717">
        <v>150</v>
      </c>
      <c r="D15" s="717">
        <v>4029037.3</v>
      </c>
      <c r="E15" s="717">
        <v>462632.4</v>
      </c>
      <c r="F15" s="717"/>
      <c r="G15" s="717">
        <v>150</v>
      </c>
      <c r="H15" s="717">
        <v>0.0446078431372549</v>
      </c>
      <c r="I15" s="717">
        <v>150000</v>
      </c>
      <c r="J15" s="718">
        <f>I15/D15</f>
        <v>0.03722973723772674</v>
      </c>
      <c r="K15" s="717">
        <f>J15*D15</f>
        <v>150000</v>
      </c>
      <c r="L15" s="717">
        <f>J15*E15</f>
        <v>17223.682689658894</v>
      </c>
    </row>
    <row r="16" spans="1:12" ht="15">
      <c r="A16" s="203"/>
      <c r="B16" s="203"/>
      <c r="C16" s="203"/>
      <c r="D16" s="203"/>
      <c r="E16" s="203"/>
      <c r="G16" s="203"/>
      <c r="H16" s="203"/>
      <c r="I16" s="203"/>
      <c r="J16" s="256"/>
      <c r="K16" s="717"/>
      <c r="L16" s="313"/>
    </row>
    <row r="17" spans="1:12" ht="15">
      <c r="A17" s="203"/>
      <c r="B17" s="203"/>
      <c r="C17" s="203"/>
      <c r="D17" s="203"/>
      <c r="E17" s="203"/>
      <c r="G17" s="203"/>
      <c r="H17" s="203"/>
      <c r="I17" s="203"/>
      <c r="J17" s="256"/>
      <c r="K17" s="313"/>
      <c r="L17" s="313"/>
    </row>
    <row r="18" spans="1:12" ht="15">
      <c r="A18" s="203"/>
      <c r="B18" s="203"/>
      <c r="C18" s="203"/>
      <c r="D18" s="203"/>
      <c r="E18" s="203"/>
      <c r="G18" s="203"/>
      <c r="H18" s="203"/>
      <c r="I18" s="203"/>
      <c r="J18" s="256"/>
      <c r="K18" s="313"/>
      <c r="L18" s="313"/>
    </row>
    <row r="20" ht="15">
      <c r="E20" s="129">
        <f>3085101.4-3196381.2</f>
        <v>-111279.80000000028</v>
      </c>
    </row>
    <row r="23" ht="15" customHeight="1"/>
  </sheetData>
  <sheetProtection/>
  <mergeCells count="1">
    <mergeCell ref="A4:F4"/>
  </mergeCells>
  <hyperlinks>
    <hyperlink ref="D1" location="BG!A1" display="BG"/>
  </hyperlink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CX25"/>
  <sheetViews>
    <sheetView zoomScalePageLayoutView="0" workbookViewId="0" topLeftCell="C16">
      <selection activeCell="M25" sqref="M25"/>
    </sheetView>
  </sheetViews>
  <sheetFormatPr defaultColWidth="11.421875" defaultRowHeight="15"/>
  <cols>
    <col min="1" max="1" width="27.00390625" style="129" customWidth="1"/>
    <col min="2" max="2" width="16.421875" style="129" customWidth="1"/>
    <col min="3" max="3" width="13.57421875" style="129" customWidth="1"/>
    <col min="4" max="5" width="11.421875" style="129" customWidth="1"/>
    <col min="6" max="6" width="13.8515625" style="129" customWidth="1"/>
    <col min="7" max="7" width="15.7109375" style="129" customWidth="1"/>
    <col min="8" max="8" width="16.00390625" style="129" customWidth="1"/>
    <col min="9" max="9" width="17.00390625" style="129" customWidth="1"/>
    <col min="10" max="10" width="14.28125" style="129" customWidth="1"/>
    <col min="11" max="11" width="16.8515625" style="129" customWidth="1"/>
    <col min="12" max="30" width="11.421875" style="129" customWidth="1"/>
  </cols>
  <sheetData>
    <row r="1" spans="1:12" ht="15">
      <c r="A1" s="129" t="str">
        <f>Indice!C1</f>
        <v>NEGOFIN S.A.E.C.A.</v>
      </c>
      <c r="L1" s="150" t="s">
        <v>132</v>
      </c>
    </row>
    <row r="5" ht="15">
      <c r="A5" s="134" t="s">
        <v>319</v>
      </c>
    </row>
    <row r="6" ht="15">
      <c r="A6" s="129" t="s">
        <v>320</v>
      </c>
    </row>
    <row r="7" ht="15">
      <c r="A7" s="129" t="s">
        <v>322</v>
      </c>
    </row>
    <row r="8" ht="15">
      <c r="A8" s="129" t="s">
        <v>323</v>
      </c>
    </row>
    <row r="9" ht="15">
      <c r="A9" s="129" t="s">
        <v>324</v>
      </c>
    </row>
    <row r="10" ht="15">
      <c r="A10" s="129" t="s">
        <v>321</v>
      </c>
    </row>
    <row r="12" spans="1:62" ht="24.75" customHeight="1">
      <c r="A12" s="806" t="s">
        <v>317</v>
      </c>
      <c r="B12" s="807"/>
      <c r="C12" s="807"/>
      <c r="D12" s="807"/>
      <c r="E12" s="807"/>
      <c r="F12" s="807"/>
      <c r="G12" s="807"/>
      <c r="H12" s="807"/>
      <c r="I12" s="807"/>
      <c r="J12" s="807"/>
      <c r="K12" s="807"/>
      <c r="L12" s="807"/>
      <c r="M12" s="808"/>
      <c r="N12" s="166"/>
      <c r="O12" s="166"/>
      <c r="P12" s="166"/>
      <c r="Q12" s="166"/>
      <c r="R12" s="166"/>
      <c r="S12" s="166"/>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row>
    <row r="13" spans="1:62" ht="15">
      <c r="A13" s="412" t="s">
        <v>244</v>
      </c>
      <c r="B13" s="166"/>
      <c r="C13" s="166"/>
      <c r="D13" s="166"/>
      <c r="E13" s="166"/>
      <c r="F13" s="166"/>
      <c r="G13" s="166"/>
      <c r="H13" s="166"/>
      <c r="I13" s="166"/>
      <c r="J13" s="167">
        <v>-1</v>
      </c>
      <c r="K13" s="166"/>
      <c r="L13" s="166"/>
      <c r="M13" s="166"/>
      <c r="N13" s="166"/>
      <c r="O13" s="166"/>
      <c r="P13" s="166"/>
      <c r="Q13" s="166"/>
      <c r="R13" s="166"/>
      <c r="S13" s="166"/>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row>
    <row r="14" spans="2:19" s="29" customFormat="1" ht="15">
      <c r="B14" s="411"/>
      <c r="C14" s="411"/>
      <c r="D14" s="411"/>
      <c r="E14" s="411"/>
      <c r="F14" s="411"/>
      <c r="G14" s="411"/>
      <c r="H14" s="411"/>
      <c r="I14" s="411"/>
      <c r="J14" s="411"/>
      <c r="K14" s="411"/>
      <c r="L14" s="411"/>
      <c r="M14" s="411"/>
      <c r="N14" s="165"/>
      <c r="O14" s="165"/>
      <c r="P14" s="165"/>
      <c r="Q14" s="165"/>
      <c r="R14" s="165"/>
      <c r="S14" s="165"/>
    </row>
    <row r="15" spans="1:102" s="164" customFormat="1" ht="55.5" customHeight="1">
      <c r="A15" s="415"/>
      <c r="B15" s="413" t="s">
        <v>229</v>
      </c>
      <c r="C15" s="413" t="s">
        <v>230</v>
      </c>
      <c r="D15" s="413" t="s">
        <v>61</v>
      </c>
      <c r="E15" s="413" t="s">
        <v>231</v>
      </c>
      <c r="F15" s="413" t="s">
        <v>232</v>
      </c>
      <c r="G15" s="413" t="s">
        <v>233</v>
      </c>
      <c r="H15" s="413" t="s">
        <v>234</v>
      </c>
      <c r="I15" s="413" t="s">
        <v>235</v>
      </c>
      <c r="J15" s="413" t="s">
        <v>236</v>
      </c>
      <c r="K15" s="413" t="s">
        <v>237</v>
      </c>
      <c r="L15" s="414" t="s">
        <v>480</v>
      </c>
      <c r="M15" s="418"/>
      <c r="N15" s="165"/>
      <c r="O15" s="165"/>
      <c r="P15" s="165"/>
      <c r="Q15" s="165"/>
      <c r="R15" s="165"/>
      <c r="S15" s="165"/>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row>
    <row r="16" spans="1:102" s="164" customFormat="1" ht="15">
      <c r="A16" s="416"/>
      <c r="B16" s="417"/>
      <c r="C16" s="417"/>
      <c r="D16" s="417"/>
      <c r="E16" s="417"/>
      <c r="F16" s="417"/>
      <c r="G16" s="417"/>
      <c r="H16" s="417"/>
      <c r="I16" s="417"/>
      <c r="J16" s="417"/>
      <c r="K16" s="417"/>
      <c r="L16" s="419">
        <f>_xlfn.IFERROR(IF(Indice!B6="","2XX2",YEAR(Indice!B6)),"2XX2")</f>
        <v>2021</v>
      </c>
      <c r="M16" s="420">
        <f>_xlfn.IFERROR(YEAR(Indice!B6-365),"2XX1")</f>
        <v>2020</v>
      </c>
      <c r="N16" s="165"/>
      <c r="O16" s="165"/>
      <c r="P16" s="165"/>
      <c r="Q16" s="165"/>
      <c r="R16" s="165"/>
      <c r="S16" s="165"/>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row>
    <row r="17" spans="1:62" ht="15">
      <c r="A17" s="168" t="s">
        <v>238</v>
      </c>
      <c r="B17" s="503">
        <v>411346.9</v>
      </c>
      <c r="C17" s="505">
        <v>23860.123</v>
      </c>
      <c r="D17" s="510">
        <v>0</v>
      </c>
      <c r="E17" s="509">
        <v>0</v>
      </c>
      <c r="F17" s="506">
        <f>+B17+C17-D17+E17</f>
        <v>435207.02300000004</v>
      </c>
      <c r="G17" s="506">
        <v>326735.7</v>
      </c>
      <c r="H17" s="507">
        <v>51756.179</v>
      </c>
      <c r="I17" s="509">
        <v>0</v>
      </c>
      <c r="J17" s="509">
        <v>0</v>
      </c>
      <c r="K17" s="505">
        <v>363416.4</v>
      </c>
      <c r="L17" s="169">
        <f>+F17-K17</f>
        <v>71790.62300000002</v>
      </c>
      <c r="M17" s="170">
        <v>84611.1</v>
      </c>
      <c r="N17" s="171"/>
      <c r="O17" s="166"/>
      <c r="P17" s="166"/>
      <c r="Q17" s="166"/>
      <c r="R17" s="166"/>
      <c r="S17" s="166"/>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row>
    <row r="18" spans="1:62" ht="15">
      <c r="A18" s="168" t="s">
        <v>239</v>
      </c>
      <c r="B18" s="503">
        <v>68580.9</v>
      </c>
      <c r="C18" s="505">
        <v>0</v>
      </c>
      <c r="D18" s="511">
        <v>0</v>
      </c>
      <c r="E18" s="509">
        <v>0</v>
      </c>
      <c r="F18" s="506">
        <f aca="true" t="shared" si="0" ref="F18:F24">+B18+C18-D18+E18</f>
        <v>68580.9</v>
      </c>
      <c r="G18" s="506">
        <v>30833.5</v>
      </c>
      <c r="H18" s="507">
        <v>14711.014</v>
      </c>
      <c r="I18" s="509">
        <v>0</v>
      </c>
      <c r="J18" s="509">
        <v>0</v>
      </c>
      <c r="K18" s="505">
        <v>40997.7</v>
      </c>
      <c r="L18" s="169">
        <f aca="true" t="shared" si="1" ref="L18:L24">+F18-K18</f>
        <v>27583.199999999997</v>
      </c>
      <c r="M18" s="170">
        <v>37747.4</v>
      </c>
      <c r="N18" s="166"/>
      <c r="O18" s="166"/>
      <c r="P18" s="166"/>
      <c r="Q18" s="166"/>
      <c r="R18" s="166"/>
      <c r="S18" s="166"/>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row>
    <row r="19" spans="1:62" ht="15">
      <c r="A19" s="168" t="s">
        <v>240</v>
      </c>
      <c r="B19" s="503">
        <v>2400014.2</v>
      </c>
      <c r="C19" s="505">
        <v>36247.063</v>
      </c>
      <c r="D19" s="510">
        <v>0</v>
      </c>
      <c r="E19" s="509">
        <v>0</v>
      </c>
      <c r="F19" s="506">
        <f t="shared" si="0"/>
        <v>2436261.2630000003</v>
      </c>
      <c r="G19" s="506">
        <v>1466897.6</v>
      </c>
      <c r="H19" s="507">
        <v>295342.623</v>
      </c>
      <c r="I19" s="509">
        <v>0</v>
      </c>
      <c r="J19" s="509">
        <v>0</v>
      </c>
      <c r="K19" s="505">
        <v>1652547.8</v>
      </c>
      <c r="L19" s="169">
        <f>+F19-K19</f>
        <v>783713.4630000002</v>
      </c>
      <c r="M19" s="170">
        <v>933116.5</v>
      </c>
      <c r="N19" s="166"/>
      <c r="O19" s="166"/>
      <c r="P19" s="166"/>
      <c r="Q19" s="166"/>
      <c r="R19" s="166"/>
      <c r="S19" s="166"/>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row>
    <row r="20" spans="1:62" ht="15">
      <c r="A20" s="168" t="s">
        <v>241</v>
      </c>
      <c r="B20" s="503">
        <v>1403502.1</v>
      </c>
      <c r="C20" s="508">
        <v>66404.402</v>
      </c>
      <c r="D20" s="511">
        <v>0</v>
      </c>
      <c r="E20" s="509">
        <v>0</v>
      </c>
      <c r="F20" s="506">
        <f t="shared" si="0"/>
        <v>1469906.502</v>
      </c>
      <c r="G20" s="506">
        <v>561766.3</v>
      </c>
      <c r="H20" s="507">
        <v>170330.362</v>
      </c>
      <c r="I20" s="509">
        <v>0</v>
      </c>
      <c r="J20" s="509">
        <v>0</v>
      </c>
      <c r="K20" s="505">
        <v>683772</v>
      </c>
      <c r="L20" s="169">
        <f t="shared" si="1"/>
        <v>786134.5020000001</v>
      </c>
      <c r="M20" s="170">
        <v>841735.8</v>
      </c>
      <c r="N20" s="166"/>
      <c r="O20" s="166"/>
      <c r="P20" s="166"/>
      <c r="Q20" s="166"/>
      <c r="R20" s="166"/>
      <c r="S20" s="166"/>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row>
    <row r="21" spans="1:62" ht="15">
      <c r="A21" s="168" t="s">
        <v>242</v>
      </c>
      <c r="B21" s="503">
        <v>0</v>
      </c>
      <c r="C21" s="504">
        <v>0</v>
      </c>
      <c r="D21" s="510">
        <v>0</v>
      </c>
      <c r="E21" s="509">
        <v>0</v>
      </c>
      <c r="F21" s="506">
        <f t="shared" si="0"/>
        <v>0</v>
      </c>
      <c r="G21" s="506">
        <v>0</v>
      </c>
      <c r="H21" s="507">
        <v>0</v>
      </c>
      <c r="I21" s="509">
        <v>0</v>
      </c>
      <c r="J21" s="509">
        <v>0</v>
      </c>
      <c r="K21" s="505">
        <v>0</v>
      </c>
      <c r="L21" s="169">
        <f t="shared" si="1"/>
        <v>0</v>
      </c>
      <c r="M21" s="170"/>
      <c r="N21" s="166"/>
      <c r="O21" s="166"/>
      <c r="P21" s="166"/>
      <c r="Q21" s="166"/>
      <c r="R21" s="166"/>
      <c r="S21" s="166"/>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row>
    <row r="22" spans="1:62" ht="15">
      <c r="A22" s="168" t="s">
        <v>1022</v>
      </c>
      <c r="B22" s="503">
        <v>334755</v>
      </c>
      <c r="C22" s="505">
        <v>3000</v>
      </c>
      <c r="D22" s="511">
        <v>0</v>
      </c>
      <c r="E22" s="509">
        <v>0</v>
      </c>
      <c r="F22" s="506">
        <f t="shared" si="0"/>
        <v>337755</v>
      </c>
      <c r="G22" s="506">
        <v>187856.2</v>
      </c>
      <c r="H22" s="507">
        <v>38307</v>
      </c>
      <c r="I22" s="509">
        <v>0</v>
      </c>
      <c r="J22" s="509">
        <v>0</v>
      </c>
      <c r="K22" s="505">
        <v>215287.2</v>
      </c>
      <c r="L22" s="169">
        <f t="shared" si="1"/>
        <v>122467.79999999999</v>
      </c>
      <c r="M22" s="170">
        <v>146898.7</v>
      </c>
      <c r="N22" s="166"/>
      <c r="O22" s="166"/>
      <c r="P22" s="166"/>
      <c r="Q22" s="166"/>
      <c r="R22" s="166"/>
      <c r="S22" s="166"/>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row>
    <row r="23" spans="1:62" ht="15">
      <c r="A23" s="168" t="s">
        <v>243</v>
      </c>
      <c r="B23" s="503">
        <v>0</v>
      </c>
      <c r="C23" s="504">
        <v>0</v>
      </c>
      <c r="D23" s="510">
        <v>0</v>
      </c>
      <c r="E23" s="509">
        <v>0</v>
      </c>
      <c r="F23" s="506">
        <f t="shared" si="0"/>
        <v>0</v>
      </c>
      <c r="G23" s="506">
        <v>0</v>
      </c>
      <c r="H23" s="507">
        <v>0</v>
      </c>
      <c r="I23" s="509">
        <v>0</v>
      </c>
      <c r="J23" s="509">
        <v>0</v>
      </c>
      <c r="K23" s="505">
        <v>0</v>
      </c>
      <c r="L23" s="169">
        <f t="shared" si="1"/>
        <v>0</v>
      </c>
      <c r="M23" s="170">
        <v>0</v>
      </c>
      <c r="N23" s="166"/>
      <c r="O23" s="166"/>
      <c r="P23" s="166"/>
      <c r="Q23" s="166"/>
      <c r="R23" s="166"/>
      <c r="S23" s="166"/>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row>
    <row r="24" spans="1:62" ht="15">
      <c r="A24" s="168" t="s">
        <v>1021</v>
      </c>
      <c r="B24" s="503">
        <v>5835123.7</v>
      </c>
      <c r="C24" s="505">
        <v>0</v>
      </c>
      <c r="D24" s="511">
        <v>0</v>
      </c>
      <c r="E24" s="509">
        <v>0</v>
      </c>
      <c r="F24" s="506">
        <f t="shared" si="0"/>
        <v>5835123.7</v>
      </c>
      <c r="G24" s="506">
        <v>4867294.5</v>
      </c>
      <c r="H24" s="507">
        <v>1218934.752</v>
      </c>
      <c r="I24" s="509">
        <v>0</v>
      </c>
      <c r="J24" s="509">
        <v>0</v>
      </c>
      <c r="K24" s="505">
        <v>5765426.3</v>
      </c>
      <c r="L24" s="169">
        <f t="shared" si="1"/>
        <v>69697.40000000037</v>
      </c>
      <c r="M24" s="170">
        <v>967829.2</v>
      </c>
      <c r="N24" s="166"/>
      <c r="O24" s="166"/>
      <c r="P24" s="166"/>
      <c r="Q24" s="166"/>
      <c r="R24" s="166"/>
      <c r="S24" s="166"/>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row>
    <row r="25" spans="1:62" ht="15">
      <c r="A25" s="116" t="s">
        <v>318</v>
      </c>
      <c r="B25" s="117"/>
      <c r="C25" s="117"/>
      <c r="D25" s="117"/>
      <c r="E25" s="118"/>
      <c r="F25" s="118"/>
      <c r="G25" s="118"/>
      <c r="H25" s="117"/>
      <c r="I25" s="117"/>
      <c r="J25" s="117"/>
      <c r="K25" s="118"/>
      <c r="L25" s="117">
        <f>SUM($L$17:L24)</f>
        <v>1861386.9880000006</v>
      </c>
      <c r="M25" s="117">
        <f>SUM($M$17:M24)</f>
        <v>3011938.7</v>
      </c>
      <c r="N25" s="166"/>
      <c r="O25" s="166"/>
      <c r="P25" s="166"/>
      <c r="Q25" s="166"/>
      <c r="R25" s="166"/>
      <c r="S25" s="166"/>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row>
  </sheetData>
  <sheetProtection/>
  <mergeCells count="1">
    <mergeCell ref="A12:M12"/>
  </mergeCells>
  <hyperlinks>
    <hyperlink ref="L1" location="BG!A1" display="BG"/>
  </hyperlink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IV19"/>
  <sheetViews>
    <sheetView showGridLines="0" zoomScalePageLayoutView="0" workbookViewId="0" topLeftCell="A1">
      <selection activeCell="D1" sqref="D1"/>
    </sheetView>
  </sheetViews>
  <sheetFormatPr defaultColWidth="11.421875" defaultRowHeight="15"/>
  <cols>
    <col min="1" max="1" width="34.140625" style="0" customWidth="1"/>
    <col min="2" max="3" width="22.7109375" style="0" customWidth="1"/>
  </cols>
  <sheetData>
    <row r="1" spans="1:3" ht="15">
      <c r="A1" t="str">
        <f>Indice!C1</f>
        <v>NEGOFIN S.A.E.C.A.</v>
      </c>
      <c r="C1" s="149" t="s">
        <v>132</v>
      </c>
    </row>
    <row r="4" spans="1:256" ht="15">
      <c r="A4" s="315" t="s">
        <v>325</v>
      </c>
      <c r="B4" s="315"/>
      <c r="C4" s="315"/>
      <c r="D4" s="315"/>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809"/>
      <c r="BA4" s="809"/>
      <c r="BB4" s="809"/>
      <c r="BC4" s="809"/>
      <c r="BD4" s="809"/>
      <c r="BE4" s="809"/>
      <c r="BF4" s="809"/>
      <c r="BG4" s="809"/>
      <c r="BH4" s="809"/>
      <c r="BI4" s="809"/>
      <c r="BJ4" s="809"/>
      <c r="BK4" s="809"/>
      <c r="BL4" s="809"/>
      <c r="BM4" s="809"/>
      <c r="BN4" s="809"/>
      <c r="BO4" s="809"/>
      <c r="BP4" s="809"/>
      <c r="BQ4" s="809"/>
      <c r="BR4" s="809"/>
      <c r="BS4" s="809"/>
      <c r="BT4" s="809"/>
      <c r="BU4" s="809"/>
      <c r="BV4" s="809"/>
      <c r="BW4" s="809"/>
      <c r="BX4" s="809"/>
      <c r="BY4" s="809"/>
      <c r="BZ4" s="809"/>
      <c r="CA4" s="809"/>
      <c r="CB4" s="809"/>
      <c r="CC4" s="809"/>
      <c r="CD4" s="809"/>
      <c r="CE4" s="809"/>
      <c r="CF4" s="809"/>
      <c r="CG4" s="809"/>
      <c r="CH4" s="809"/>
      <c r="CI4" s="809"/>
      <c r="CJ4" s="809"/>
      <c r="CK4" s="809"/>
      <c r="CL4" s="809"/>
      <c r="CM4" s="809"/>
      <c r="CN4" s="809"/>
      <c r="CO4" s="809"/>
      <c r="CP4" s="809"/>
      <c r="CQ4" s="809"/>
      <c r="CR4" s="809"/>
      <c r="CS4" s="809"/>
      <c r="CT4" s="809"/>
      <c r="CU4" s="809"/>
      <c r="CV4" s="809"/>
      <c r="CW4" s="809"/>
      <c r="CX4" s="809"/>
      <c r="CY4" s="809"/>
      <c r="CZ4" s="809"/>
      <c r="DA4" s="809"/>
      <c r="DB4" s="809"/>
      <c r="DC4" s="809"/>
      <c r="DD4" s="809"/>
      <c r="DE4" s="809"/>
      <c r="DF4" s="809"/>
      <c r="DG4" s="809"/>
      <c r="DH4" s="809"/>
      <c r="DI4" s="809"/>
      <c r="DJ4" s="809"/>
      <c r="DK4" s="809"/>
      <c r="DL4" s="809"/>
      <c r="DM4" s="809"/>
      <c r="DN4" s="809"/>
      <c r="DO4" s="809"/>
      <c r="DP4" s="809"/>
      <c r="DQ4" s="809"/>
      <c r="DR4" s="809"/>
      <c r="DS4" s="809"/>
      <c r="DT4" s="809"/>
      <c r="DU4" s="809"/>
      <c r="DV4" s="809"/>
      <c r="DW4" s="809"/>
      <c r="DX4" s="809"/>
      <c r="DY4" s="809"/>
      <c r="DZ4" s="809"/>
      <c r="EA4" s="809"/>
      <c r="EB4" s="809"/>
      <c r="EC4" s="809"/>
      <c r="ED4" s="809"/>
      <c r="EE4" s="809"/>
      <c r="EF4" s="809"/>
      <c r="EG4" s="809"/>
      <c r="EH4" s="809"/>
      <c r="EI4" s="809"/>
      <c r="EJ4" s="809"/>
      <c r="EK4" s="809"/>
      <c r="EL4" s="809"/>
      <c r="EM4" s="809"/>
      <c r="EN4" s="809"/>
      <c r="EO4" s="809"/>
      <c r="EP4" s="809"/>
      <c r="EQ4" s="809"/>
      <c r="ER4" s="809"/>
      <c r="ES4" s="809"/>
      <c r="ET4" s="809"/>
      <c r="EU4" s="809"/>
      <c r="EV4" s="809"/>
      <c r="EW4" s="809"/>
      <c r="EX4" s="809"/>
      <c r="EY4" s="809"/>
      <c r="EZ4" s="809"/>
      <c r="FA4" s="809"/>
      <c r="FB4" s="809"/>
      <c r="FC4" s="809"/>
      <c r="FD4" s="809"/>
      <c r="FE4" s="809"/>
      <c r="FF4" s="809"/>
      <c r="FG4" s="809"/>
      <c r="FH4" s="809"/>
      <c r="FI4" s="809"/>
      <c r="FJ4" s="809"/>
      <c r="FK4" s="809"/>
      <c r="FL4" s="809"/>
      <c r="FM4" s="809"/>
      <c r="FN4" s="809"/>
      <c r="FO4" s="809"/>
      <c r="FP4" s="809"/>
      <c r="FQ4" s="809"/>
      <c r="FR4" s="809"/>
      <c r="FS4" s="809"/>
      <c r="FT4" s="809"/>
      <c r="FU4" s="809"/>
      <c r="FV4" s="809"/>
      <c r="FW4" s="809"/>
      <c r="FX4" s="809"/>
      <c r="FY4" s="809"/>
      <c r="FZ4" s="809"/>
      <c r="GA4" s="809"/>
      <c r="GB4" s="809"/>
      <c r="GC4" s="809"/>
      <c r="GD4" s="809"/>
      <c r="GE4" s="809"/>
      <c r="GF4" s="809"/>
      <c r="GG4" s="809"/>
      <c r="GH4" s="809"/>
      <c r="GI4" s="809"/>
      <c r="GJ4" s="809"/>
      <c r="GK4" s="809"/>
      <c r="GL4" s="809"/>
      <c r="GM4" s="809"/>
      <c r="GN4" s="809"/>
      <c r="GO4" s="809"/>
      <c r="GP4" s="809"/>
      <c r="GQ4" s="809"/>
      <c r="GR4" s="809"/>
      <c r="GS4" s="809"/>
      <c r="GT4" s="809"/>
      <c r="GU4" s="809"/>
      <c r="GV4" s="809"/>
      <c r="GW4" s="809"/>
      <c r="GX4" s="809"/>
      <c r="GY4" s="809"/>
      <c r="GZ4" s="809"/>
      <c r="HA4" s="809"/>
      <c r="HB4" s="809"/>
      <c r="HC4" s="809"/>
      <c r="HD4" s="809"/>
      <c r="HE4" s="809"/>
      <c r="HF4" s="809"/>
      <c r="HG4" s="809"/>
      <c r="HH4" s="809"/>
      <c r="HI4" s="809"/>
      <c r="HJ4" s="809"/>
      <c r="HK4" s="809"/>
      <c r="HL4" s="809"/>
      <c r="HM4" s="809"/>
      <c r="HN4" s="809"/>
      <c r="HO4" s="809"/>
      <c r="HP4" s="809"/>
      <c r="HQ4" s="809"/>
      <c r="HR4" s="809"/>
      <c r="HS4" s="809"/>
      <c r="HT4" s="809"/>
      <c r="HU4" s="809"/>
      <c r="HV4" s="809"/>
      <c r="HW4" s="809"/>
      <c r="HX4" s="809"/>
      <c r="HY4" s="809"/>
      <c r="HZ4" s="809"/>
      <c r="IA4" s="809"/>
      <c r="IB4" s="809"/>
      <c r="IC4" s="809"/>
      <c r="ID4" s="809"/>
      <c r="IE4" s="809"/>
      <c r="IF4" s="809"/>
      <c r="IG4" s="809"/>
      <c r="IH4" s="809"/>
      <c r="II4" s="809"/>
      <c r="IJ4" s="809"/>
      <c r="IK4" s="809"/>
      <c r="IL4" s="809"/>
      <c r="IM4" s="809"/>
      <c r="IN4" s="809"/>
      <c r="IO4" s="809"/>
      <c r="IP4" s="809"/>
      <c r="IQ4" s="809"/>
      <c r="IR4" s="809"/>
      <c r="IS4" s="809"/>
      <c r="IT4" s="809"/>
      <c r="IU4" s="809"/>
      <c r="IV4" s="809"/>
    </row>
    <row r="5" spans="2:3" ht="15">
      <c r="B5" s="801" t="s">
        <v>314</v>
      </c>
      <c r="C5" s="801"/>
    </row>
    <row r="6" spans="1:4" ht="15.75" customHeight="1">
      <c r="A6" s="139"/>
      <c r="B6" s="406">
        <f>_xlfn.IFERROR(IF(Indice!B6="","2XX2",YEAR(Indice!B6)),"2XX2")</f>
        <v>2021</v>
      </c>
      <c r="C6" s="406">
        <f>_xlfn.IFERROR(YEAR(Indice!B6-365),"2XX1")</f>
        <v>2020</v>
      </c>
      <c r="D6" s="139"/>
    </row>
    <row r="7" spans="1:4" ht="15" customHeight="1">
      <c r="A7" s="141" t="s">
        <v>124</v>
      </c>
      <c r="B7" s="12"/>
      <c r="C7" s="12"/>
      <c r="D7" s="12"/>
    </row>
    <row r="8" spans="1:256" ht="15" customHeight="1">
      <c r="A8" s="47" t="s">
        <v>127</v>
      </c>
      <c r="B8" s="47"/>
      <c r="C8" s="47"/>
      <c r="D8" s="47"/>
      <c r="E8" s="774"/>
      <c r="F8" s="774"/>
      <c r="G8" s="774"/>
      <c r="H8" s="774"/>
      <c r="I8" s="774"/>
      <c r="J8" s="774"/>
      <c r="K8" s="774"/>
      <c r="L8" s="774"/>
      <c r="M8" s="774"/>
      <c r="N8" s="774"/>
      <c r="O8" s="774"/>
      <c r="P8" s="774"/>
      <c r="Q8" s="774"/>
      <c r="R8" s="774"/>
      <c r="S8" s="774"/>
      <c r="T8" s="774"/>
      <c r="U8" s="774"/>
      <c r="V8" s="774"/>
      <c r="W8" s="774"/>
      <c r="X8" s="774"/>
      <c r="Y8" s="774"/>
      <c r="Z8" s="774"/>
      <c r="AA8" s="774"/>
      <c r="AB8" s="774"/>
      <c r="AC8" s="774"/>
      <c r="AD8" s="774"/>
      <c r="AE8" s="774"/>
      <c r="AF8" s="774"/>
      <c r="AG8" s="774"/>
      <c r="AH8" s="774"/>
      <c r="AI8" s="774"/>
      <c r="AJ8" s="774"/>
      <c r="AK8" s="774"/>
      <c r="AL8" s="774"/>
      <c r="AM8" s="774"/>
      <c r="AN8" s="774"/>
      <c r="AO8" s="774"/>
      <c r="AP8" s="774"/>
      <c r="AQ8" s="774"/>
      <c r="AR8" s="774"/>
      <c r="AS8" s="774"/>
      <c r="AT8" s="774"/>
      <c r="AU8" s="774"/>
      <c r="AV8" s="774"/>
      <c r="AW8" s="774"/>
      <c r="AX8" s="774"/>
      <c r="AY8" s="774"/>
      <c r="AZ8" s="774"/>
      <c r="BA8" s="774"/>
      <c r="BB8" s="774"/>
      <c r="BC8" s="774"/>
      <c r="BD8" s="774"/>
      <c r="BE8" s="774"/>
      <c r="BF8" s="774"/>
      <c r="BG8" s="774"/>
      <c r="BH8" s="774"/>
      <c r="BI8" s="774"/>
      <c r="BJ8" s="774"/>
      <c r="BK8" s="774"/>
      <c r="BL8" s="774"/>
      <c r="BM8" s="774"/>
      <c r="BN8" s="774"/>
      <c r="BO8" s="774"/>
      <c r="BP8" s="774"/>
      <c r="BQ8" s="774"/>
      <c r="BR8" s="774"/>
      <c r="BS8" s="774"/>
      <c r="BT8" s="774"/>
      <c r="BU8" s="774"/>
      <c r="BV8" s="774"/>
      <c r="BW8" s="774"/>
      <c r="BX8" s="774"/>
      <c r="BY8" s="774"/>
      <c r="BZ8" s="774"/>
      <c r="CA8" s="774"/>
      <c r="CB8" s="774"/>
      <c r="CC8" s="774"/>
      <c r="CD8" s="774"/>
      <c r="CE8" s="774"/>
      <c r="CF8" s="774"/>
      <c r="CG8" s="774"/>
      <c r="CH8" s="774"/>
      <c r="CI8" s="774"/>
      <c r="CJ8" s="774"/>
      <c r="CK8" s="774"/>
      <c r="CL8" s="774"/>
      <c r="CM8" s="774"/>
      <c r="CN8" s="774"/>
      <c r="CO8" s="774"/>
      <c r="CP8" s="774"/>
      <c r="CQ8" s="774"/>
      <c r="CR8" s="774"/>
      <c r="CS8" s="774"/>
      <c r="CT8" s="774"/>
      <c r="CU8" s="774"/>
      <c r="CV8" s="774"/>
      <c r="CW8" s="774"/>
      <c r="CX8" s="774"/>
      <c r="CY8" s="774"/>
      <c r="CZ8" s="774"/>
      <c r="DA8" s="774"/>
      <c r="DB8" s="774"/>
      <c r="DC8" s="774"/>
      <c r="DD8" s="774"/>
      <c r="DE8" s="774"/>
      <c r="DF8" s="774"/>
      <c r="DG8" s="774"/>
      <c r="DH8" s="774"/>
      <c r="DI8" s="774"/>
      <c r="DJ8" s="774"/>
      <c r="DK8" s="774"/>
      <c r="DL8" s="774"/>
      <c r="DM8" s="774"/>
      <c r="DN8" s="774"/>
      <c r="DO8" s="774"/>
      <c r="DP8" s="774"/>
      <c r="DQ8" s="774"/>
      <c r="DR8" s="774"/>
      <c r="DS8" s="774"/>
      <c r="DT8" s="774"/>
      <c r="DU8" s="774"/>
      <c r="DV8" s="774"/>
      <c r="DW8" s="774"/>
      <c r="DX8" s="774"/>
      <c r="DY8" s="774"/>
      <c r="DZ8" s="774"/>
      <c r="EA8" s="774"/>
      <c r="EB8" s="774"/>
      <c r="EC8" s="774"/>
      <c r="ED8" s="774"/>
      <c r="EE8" s="774"/>
      <c r="EF8" s="774"/>
      <c r="EG8" s="774"/>
      <c r="EH8" s="774"/>
      <c r="EI8" s="774"/>
      <c r="EJ8" s="774"/>
      <c r="EK8" s="774"/>
      <c r="EL8" s="774"/>
      <c r="EM8" s="774"/>
      <c r="EN8" s="774"/>
      <c r="EO8" s="774"/>
      <c r="EP8" s="774"/>
      <c r="EQ8" s="774"/>
      <c r="ER8" s="774"/>
      <c r="ES8" s="774"/>
      <c r="ET8" s="774"/>
      <c r="EU8" s="774"/>
      <c r="EV8" s="774"/>
      <c r="EW8" s="774"/>
      <c r="EX8" s="774"/>
      <c r="EY8" s="774"/>
      <c r="EZ8" s="774"/>
      <c r="FA8" s="774"/>
      <c r="FB8" s="774"/>
      <c r="FC8" s="774"/>
      <c r="FD8" s="774"/>
      <c r="FE8" s="774"/>
      <c r="FF8" s="774"/>
      <c r="FG8" s="774"/>
      <c r="FH8" s="774"/>
      <c r="FI8" s="774"/>
      <c r="FJ8" s="774"/>
      <c r="FK8" s="774"/>
      <c r="FL8" s="774"/>
      <c r="FM8" s="774"/>
      <c r="FN8" s="774"/>
      <c r="FO8" s="774"/>
      <c r="FP8" s="774"/>
      <c r="FQ8" s="774"/>
      <c r="FR8" s="774"/>
      <c r="FS8" s="774"/>
      <c r="FT8" s="774"/>
      <c r="FU8" s="774"/>
      <c r="FV8" s="774"/>
      <c r="FW8" s="774"/>
      <c r="FX8" s="774"/>
      <c r="FY8" s="774"/>
      <c r="FZ8" s="774"/>
      <c r="GA8" s="774"/>
      <c r="GB8" s="774"/>
      <c r="GC8" s="774"/>
      <c r="GD8" s="774"/>
      <c r="GE8" s="774"/>
      <c r="GF8" s="774"/>
      <c r="GG8" s="774"/>
      <c r="GH8" s="774"/>
      <c r="GI8" s="774"/>
      <c r="GJ8" s="774"/>
      <c r="GK8" s="774"/>
      <c r="GL8" s="774"/>
      <c r="GM8" s="774"/>
      <c r="GN8" s="774"/>
      <c r="GO8" s="774"/>
      <c r="GP8" s="774"/>
      <c r="GQ8" s="774"/>
      <c r="GR8" s="774"/>
      <c r="GS8" s="774"/>
      <c r="GT8" s="774"/>
      <c r="GU8" s="774"/>
      <c r="GV8" s="774"/>
      <c r="GW8" s="774"/>
      <c r="GX8" s="774"/>
      <c r="GY8" s="774"/>
      <c r="GZ8" s="774"/>
      <c r="HA8" s="774"/>
      <c r="HB8" s="774"/>
      <c r="HC8" s="774"/>
      <c r="HD8" s="774"/>
      <c r="HE8" s="774"/>
      <c r="HF8" s="774"/>
      <c r="HG8" s="774"/>
      <c r="HH8" s="774"/>
      <c r="HI8" s="774"/>
      <c r="HJ8" s="774"/>
      <c r="HK8" s="774"/>
      <c r="HL8" s="774"/>
      <c r="HM8" s="774"/>
      <c r="HN8" s="774"/>
      <c r="HO8" s="774"/>
      <c r="HP8" s="774"/>
      <c r="HQ8" s="774"/>
      <c r="HR8" s="774"/>
      <c r="HS8" s="774"/>
      <c r="HT8" s="774"/>
      <c r="HU8" s="774"/>
      <c r="HV8" s="774"/>
      <c r="HW8" s="774"/>
      <c r="HX8" s="774"/>
      <c r="HY8" s="774"/>
      <c r="HZ8" s="774"/>
      <c r="IA8" s="774"/>
      <c r="IB8" s="774"/>
      <c r="IC8" s="774"/>
      <c r="ID8" s="774"/>
      <c r="IE8" s="774"/>
      <c r="IF8" s="774"/>
      <c r="IG8" s="774"/>
      <c r="IH8" s="774"/>
      <c r="II8" s="774"/>
      <c r="IJ8" s="774"/>
      <c r="IK8" s="774"/>
      <c r="IL8" s="774"/>
      <c r="IM8" s="774"/>
      <c r="IN8" s="774"/>
      <c r="IO8" s="774"/>
      <c r="IP8" s="774"/>
      <c r="IQ8" s="774"/>
      <c r="IR8" s="774"/>
      <c r="IS8" s="774"/>
      <c r="IT8" s="774"/>
      <c r="IU8" s="774"/>
      <c r="IV8" s="774"/>
    </row>
    <row r="9" spans="1:256" ht="15" customHeight="1">
      <c r="A9" s="142" t="s">
        <v>3</v>
      </c>
      <c r="B9" s="261">
        <f>B8</f>
        <v>0</v>
      </c>
      <c r="C9" s="261">
        <f>C8</f>
        <v>0</v>
      </c>
      <c r="D9" s="47"/>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8"/>
      <c r="HS9" s="138"/>
      <c r="HT9" s="138"/>
      <c r="HU9" s="138"/>
      <c r="HV9" s="138"/>
      <c r="HW9" s="138"/>
      <c r="HX9" s="138"/>
      <c r="HY9" s="138"/>
      <c r="HZ9" s="138"/>
      <c r="IA9" s="138"/>
      <c r="IB9" s="138"/>
      <c r="IC9" s="138"/>
      <c r="ID9" s="138"/>
      <c r="IE9" s="138"/>
      <c r="IF9" s="138"/>
      <c r="IG9" s="138"/>
      <c r="IH9" s="138"/>
      <c r="II9" s="138"/>
      <c r="IJ9" s="138"/>
      <c r="IK9" s="138"/>
      <c r="IL9" s="138"/>
      <c r="IM9" s="138"/>
      <c r="IN9" s="138"/>
      <c r="IO9" s="138"/>
      <c r="IP9" s="138"/>
      <c r="IQ9" s="138"/>
      <c r="IR9" s="138"/>
      <c r="IS9" s="138"/>
      <c r="IT9" s="138"/>
      <c r="IU9" s="138"/>
      <c r="IV9" s="138"/>
    </row>
    <row r="10" spans="1:256" ht="15" customHeight="1">
      <c r="A10" s="47"/>
      <c r="B10" s="47"/>
      <c r="C10" s="47"/>
      <c r="D10" s="47"/>
      <c r="E10" s="774"/>
      <c r="F10" s="774"/>
      <c r="G10" s="774"/>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4"/>
      <c r="AY10" s="774"/>
      <c r="AZ10" s="774"/>
      <c r="BA10" s="774"/>
      <c r="BB10" s="774"/>
      <c r="BC10" s="774"/>
      <c r="BD10" s="774"/>
      <c r="BE10" s="774"/>
      <c r="BF10" s="774"/>
      <c r="BG10" s="774"/>
      <c r="BH10" s="774"/>
      <c r="BI10" s="774"/>
      <c r="BJ10" s="774"/>
      <c r="BK10" s="774"/>
      <c r="BL10" s="774"/>
      <c r="BM10" s="774"/>
      <c r="BN10" s="774"/>
      <c r="BO10" s="774"/>
      <c r="BP10" s="774"/>
      <c r="BQ10" s="774"/>
      <c r="BR10" s="774"/>
      <c r="BS10" s="774"/>
      <c r="BT10" s="774"/>
      <c r="BU10" s="774"/>
      <c r="BV10" s="774"/>
      <c r="BW10" s="774"/>
      <c r="BX10" s="774"/>
      <c r="BY10" s="774"/>
      <c r="BZ10" s="774"/>
      <c r="CA10" s="774"/>
      <c r="CB10" s="774"/>
      <c r="CC10" s="774"/>
      <c r="CD10" s="774"/>
      <c r="CE10" s="774"/>
      <c r="CF10" s="774"/>
      <c r="CG10" s="774"/>
      <c r="CH10" s="774"/>
      <c r="CI10" s="774"/>
      <c r="CJ10" s="774"/>
      <c r="CK10" s="774"/>
      <c r="CL10" s="774"/>
      <c r="CM10" s="774"/>
      <c r="CN10" s="774"/>
      <c r="CO10" s="774"/>
      <c r="CP10" s="774"/>
      <c r="CQ10" s="774"/>
      <c r="CR10" s="774"/>
      <c r="CS10" s="774"/>
      <c r="CT10" s="774"/>
      <c r="CU10" s="774"/>
      <c r="CV10" s="774"/>
      <c r="CW10" s="774"/>
      <c r="CX10" s="774"/>
      <c r="CY10" s="774"/>
      <c r="CZ10" s="774"/>
      <c r="DA10" s="774"/>
      <c r="DB10" s="774"/>
      <c r="DC10" s="774"/>
      <c r="DD10" s="774"/>
      <c r="DE10" s="774"/>
      <c r="DF10" s="774"/>
      <c r="DG10" s="774"/>
      <c r="DH10" s="774"/>
      <c r="DI10" s="774"/>
      <c r="DJ10" s="774"/>
      <c r="DK10" s="774"/>
      <c r="DL10" s="774"/>
      <c r="DM10" s="774"/>
      <c r="DN10" s="774"/>
      <c r="DO10" s="774"/>
      <c r="DP10" s="774"/>
      <c r="DQ10" s="774"/>
      <c r="DR10" s="774"/>
      <c r="DS10" s="774"/>
      <c r="DT10" s="774"/>
      <c r="DU10" s="774"/>
      <c r="DV10" s="774"/>
      <c r="DW10" s="774"/>
      <c r="DX10" s="774"/>
      <c r="DY10" s="774"/>
      <c r="DZ10" s="774"/>
      <c r="EA10" s="774"/>
      <c r="EB10" s="774"/>
      <c r="EC10" s="774"/>
      <c r="ED10" s="774"/>
      <c r="EE10" s="774"/>
      <c r="EF10" s="774"/>
      <c r="EG10" s="774"/>
      <c r="EH10" s="774"/>
      <c r="EI10" s="774"/>
      <c r="EJ10" s="774"/>
      <c r="EK10" s="774"/>
      <c r="EL10" s="774"/>
      <c r="EM10" s="774"/>
      <c r="EN10" s="774"/>
      <c r="EO10" s="774"/>
      <c r="EP10" s="774"/>
      <c r="EQ10" s="774"/>
      <c r="ER10" s="774"/>
      <c r="ES10" s="774"/>
      <c r="ET10" s="774"/>
      <c r="EU10" s="774"/>
      <c r="EV10" s="774"/>
      <c r="EW10" s="774"/>
      <c r="EX10" s="774"/>
      <c r="EY10" s="774"/>
      <c r="EZ10" s="774"/>
      <c r="FA10" s="774"/>
      <c r="FB10" s="774"/>
      <c r="FC10" s="774"/>
      <c r="FD10" s="774"/>
      <c r="FE10" s="774"/>
      <c r="FF10" s="774"/>
      <c r="FG10" s="774"/>
      <c r="FH10" s="774"/>
      <c r="FI10" s="774"/>
      <c r="FJ10" s="774"/>
      <c r="FK10" s="774"/>
      <c r="FL10" s="774"/>
      <c r="FM10" s="774"/>
      <c r="FN10" s="774"/>
      <c r="FO10" s="774"/>
      <c r="FP10" s="774"/>
      <c r="FQ10" s="774"/>
      <c r="FR10" s="774"/>
      <c r="FS10" s="774"/>
      <c r="FT10" s="774"/>
      <c r="FU10" s="774"/>
      <c r="FV10" s="774"/>
      <c r="FW10" s="774"/>
      <c r="FX10" s="774"/>
      <c r="FY10" s="774"/>
      <c r="FZ10" s="774"/>
      <c r="GA10" s="774"/>
      <c r="GB10" s="774"/>
      <c r="GC10" s="774"/>
      <c r="GD10" s="774"/>
      <c r="GE10" s="774"/>
      <c r="GF10" s="774"/>
      <c r="GG10" s="774"/>
      <c r="GH10" s="774"/>
      <c r="GI10" s="774"/>
      <c r="GJ10" s="774"/>
      <c r="GK10" s="774"/>
      <c r="GL10" s="774"/>
      <c r="GM10" s="774"/>
      <c r="GN10" s="774"/>
      <c r="GO10" s="774"/>
      <c r="GP10" s="774"/>
      <c r="GQ10" s="774"/>
      <c r="GR10" s="774"/>
      <c r="GS10" s="774"/>
      <c r="GT10" s="774"/>
      <c r="GU10" s="774"/>
      <c r="GV10" s="774"/>
      <c r="GW10" s="774"/>
      <c r="GX10" s="774"/>
      <c r="GY10" s="774"/>
      <c r="GZ10" s="774"/>
      <c r="HA10" s="774"/>
      <c r="HB10" s="774"/>
      <c r="HC10" s="774"/>
      <c r="HD10" s="774"/>
      <c r="HE10" s="774"/>
      <c r="HF10" s="774"/>
      <c r="HG10" s="774"/>
      <c r="HH10" s="774"/>
      <c r="HI10" s="774"/>
      <c r="HJ10" s="774"/>
      <c r="HK10" s="774"/>
      <c r="HL10" s="774"/>
      <c r="HM10" s="774"/>
      <c r="HN10" s="774"/>
      <c r="HO10" s="774"/>
      <c r="HP10" s="774"/>
      <c r="HQ10" s="774"/>
      <c r="HR10" s="774"/>
      <c r="HS10" s="774"/>
      <c r="HT10" s="774"/>
      <c r="HU10" s="774"/>
      <c r="HV10" s="774"/>
      <c r="HW10" s="774"/>
      <c r="HX10" s="774"/>
      <c r="HY10" s="774"/>
      <c r="HZ10" s="774"/>
      <c r="IA10" s="774"/>
      <c r="IB10" s="774"/>
      <c r="IC10" s="774"/>
      <c r="ID10" s="774"/>
      <c r="IE10" s="774"/>
      <c r="IF10" s="774"/>
      <c r="IG10" s="774"/>
      <c r="IH10" s="774"/>
      <c r="II10" s="774"/>
      <c r="IJ10" s="774"/>
      <c r="IK10" s="774"/>
      <c r="IL10" s="774"/>
      <c r="IM10" s="774"/>
      <c r="IN10" s="774"/>
      <c r="IO10" s="774"/>
      <c r="IP10" s="774"/>
      <c r="IQ10" s="774"/>
      <c r="IR10" s="774"/>
      <c r="IS10" s="774"/>
      <c r="IT10" s="774"/>
      <c r="IU10" s="774"/>
      <c r="IV10" s="774"/>
    </row>
    <row r="11" spans="1:256" ht="15" customHeight="1">
      <c r="A11" s="142" t="s">
        <v>125</v>
      </c>
      <c r="B11" s="47"/>
      <c r="C11" s="47"/>
      <c r="D11" s="47"/>
      <c r="E11" s="774"/>
      <c r="F11" s="774"/>
      <c r="G11" s="774"/>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4"/>
      <c r="AK11" s="774"/>
      <c r="AL11" s="774"/>
      <c r="AM11" s="774"/>
      <c r="AN11" s="774"/>
      <c r="AO11" s="774"/>
      <c r="AP11" s="774"/>
      <c r="AQ11" s="774"/>
      <c r="AR11" s="774"/>
      <c r="AS11" s="774"/>
      <c r="AT11" s="774"/>
      <c r="AU11" s="774"/>
      <c r="AV11" s="774"/>
      <c r="AW11" s="774"/>
      <c r="AX11" s="774"/>
      <c r="AY11" s="774"/>
      <c r="AZ11" s="774"/>
      <c r="BA11" s="774"/>
      <c r="BB11" s="774"/>
      <c r="BC11" s="774"/>
      <c r="BD11" s="774"/>
      <c r="BE11" s="774"/>
      <c r="BF11" s="774"/>
      <c r="BG11" s="774"/>
      <c r="BH11" s="774"/>
      <c r="BI11" s="774"/>
      <c r="BJ11" s="774"/>
      <c r="BK11" s="774"/>
      <c r="BL11" s="774"/>
      <c r="BM11" s="774"/>
      <c r="BN11" s="774"/>
      <c r="BO11" s="774"/>
      <c r="BP11" s="774"/>
      <c r="BQ11" s="774"/>
      <c r="BR11" s="774"/>
      <c r="BS11" s="774"/>
      <c r="BT11" s="774"/>
      <c r="BU11" s="774"/>
      <c r="BV11" s="774"/>
      <c r="BW11" s="774"/>
      <c r="BX11" s="774"/>
      <c r="BY11" s="774"/>
      <c r="BZ11" s="774"/>
      <c r="CA11" s="774"/>
      <c r="CB11" s="774"/>
      <c r="CC11" s="774"/>
      <c r="CD11" s="774"/>
      <c r="CE11" s="774"/>
      <c r="CF11" s="774"/>
      <c r="CG11" s="774"/>
      <c r="CH11" s="774"/>
      <c r="CI11" s="774"/>
      <c r="CJ11" s="774"/>
      <c r="CK11" s="774"/>
      <c r="CL11" s="774"/>
      <c r="CM11" s="774"/>
      <c r="CN11" s="774"/>
      <c r="CO11" s="774"/>
      <c r="CP11" s="774"/>
      <c r="CQ11" s="774"/>
      <c r="CR11" s="774"/>
      <c r="CS11" s="774"/>
      <c r="CT11" s="774"/>
      <c r="CU11" s="774"/>
      <c r="CV11" s="774"/>
      <c r="CW11" s="774"/>
      <c r="CX11" s="774"/>
      <c r="CY11" s="774"/>
      <c r="CZ11" s="774"/>
      <c r="DA11" s="774"/>
      <c r="DB11" s="774"/>
      <c r="DC11" s="774"/>
      <c r="DD11" s="774"/>
      <c r="DE11" s="774"/>
      <c r="DF11" s="774"/>
      <c r="DG11" s="774"/>
      <c r="DH11" s="774"/>
      <c r="DI11" s="774"/>
      <c r="DJ11" s="774"/>
      <c r="DK11" s="774"/>
      <c r="DL11" s="774"/>
      <c r="DM11" s="774"/>
      <c r="DN11" s="774"/>
      <c r="DO11" s="774"/>
      <c r="DP11" s="774"/>
      <c r="DQ11" s="774"/>
      <c r="DR11" s="774"/>
      <c r="DS11" s="774"/>
      <c r="DT11" s="774"/>
      <c r="DU11" s="774"/>
      <c r="DV11" s="774"/>
      <c r="DW11" s="774"/>
      <c r="DX11" s="774"/>
      <c r="DY11" s="774"/>
      <c r="DZ11" s="774"/>
      <c r="EA11" s="774"/>
      <c r="EB11" s="774"/>
      <c r="EC11" s="774"/>
      <c r="ED11" s="774"/>
      <c r="EE11" s="774"/>
      <c r="EF11" s="774"/>
      <c r="EG11" s="774"/>
      <c r="EH11" s="774"/>
      <c r="EI11" s="774"/>
      <c r="EJ11" s="774"/>
      <c r="EK11" s="774"/>
      <c r="EL11" s="774"/>
      <c r="EM11" s="774"/>
      <c r="EN11" s="774"/>
      <c r="EO11" s="774"/>
      <c r="EP11" s="774"/>
      <c r="EQ11" s="774"/>
      <c r="ER11" s="774"/>
      <c r="ES11" s="774"/>
      <c r="ET11" s="774"/>
      <c r="EU11" s="774"/>
      <c r="EV11" s="774"/>
      <c r="EW11" s="774"/>
      <c r="EX11" s="774"/>
      <c r="EY11" s="774"/>
      <c r="EZ11" s="774"/>
      <c r="FA11" s="774"/>
      <c r="FB11" s="774"/>
      <c r="FC11" s="774"/>
      <c r="FD11" s="774"/>
      <c r="FE11" s="774"/>
      <c r="FF11" s="774"/>
      <c r="FG11" s="774"/>
      <c r="FH11" s="774"/>
      <c r="FI11" s="774"/>
      <c r="FJ11" s="774"/>
      <c r="FK11" s="774"/>
      <c r="FL11" s="774"/>
      <c r="FM11" s="774"/>
      <c r="FN11" s="774"/>
      <c r="FO11" s="774"/>
      <c r="FP11" s="774"/>
      <c r="FQ11" s="774"/>
      <c r="FR11" s="774"/>
      <c r="FS11" s="774"/>
      <c r="FT11" s="774"/>
      <c r="FU11" s="774"/>
      <c r="FV11" s="774"/>
      <c r="FW11" s="774"/>
      <c r="FX11" s="774"/>
      <c r="FY11" s="774"/>
      <c r="FZ11" s="774"/>
      <c r="GA11" s="774"/>
      <c r="GB11" s="774"/>
      <c r="GC11" s="774"/>
      <c r="GD11" s="774"/>
      <c r="GE11" s="774"/>
      <c r="GF11" s="774"/>
      <c r="GG11" s="774"/>
      <c r="GH11" s="774"/>
      <c r="GI11" s="774"/>
      <c r="GJ11" s="774"/>
      <c r="GK11" s="774"/>
      <c r="GL11" s="774"/>
      <c r="GM11" s="774"/>
      <c r="GN11" s="774"/>
      <c r="GO11" s="774"/>
      <c r="GP11" s="774"/>
      <c r="GQ11" s="774"/>
      <c r="GR11" s="774"/>
      <c r="GS11" s="774"/>
      <c r="GT11" s="774"/>
      <c r="GU11" s="774"/>
      <c r="GV11" s="774"/>
      <c r="GW11" s="774"/>
      <c r="GX11" s="774"/>
      <c r="GY11" s="774"/>
      <c r="GZ11" s="774"/>
      <c r="HA11" s="774"/>
      <c r="HB11" s="774"/>
      <c r="HC11" s="774"/>
      <c r="HD11" s="774"/>
      <c r="HE11" s="774"/>
      <c r="HF11" s="774"/>
      <c r="HG11" s="774"/>
      <c r="HH11" s="774"/>
      <c r="HI11" s="774"/>
      <c r="HJ11" s="774"/>
      <c r="HK11" s="774"/>
      <c r="HL11" s="774"/>
      <c r="HM11" s="774"/>
      <c r="HN11" s="774"/>
      <c r="HO11" s="774"/>
      <c r="HP11" s="774"/>
      <c r="HQ11" s="774"/>
      <c r="HR11" s="774"/>
      <c r="HS11" s="774"/>
      <c r="HT11" s="774"/>
      <c r="HU11" s="774"/>
      <c r="HV11" s="774"/>
      <c r="HW11" s="774"/>
      <c r="HX11" s="774"/>
      <c r="HY11" s="774"/>
      <c r="HZ11" s="774"/>
      <c r="IA11" s="774"/>
      <c r="IB11" s="774"/>
      <c r="IC11" s="774"/>
      <c r="ID11" s="774"/>
      <c r="IE11" s="774"/>
      <c r="IF11" s="774"/>
      <c r="IG11" s="774"/>
      <c r="IH11" s="774"/>
      <c r="II11" s="774"/>
      <c r="IJ11" s="774"/>
      <c r="IK11" s="774"/>
      <c r="IL11" s="774"/>
      <c r="IM11" s="774"/>
      <c r="IN11" s="774"/>
      <c r="IO11" s="774"/>
      <c r="IP11" s="774"/>
      <c r="IQ11" s="774"/>
      <c r="IR11" s="774"/>
      <c r="IS11" s="774"/>
      <c r="IT11" s="774"/>
      <c r="IU11" s="774"/>
      <c r="IV11" s="774"/>
    </row>
    <row r="12" spans="1:256" ht="15" customHeight="1">
      <c r="A12" s="47" t="s">
        <v>128</v>
      </c>
      <c r="B12" s="47"/>
      <c r="C12" s="47"/>
      <c r="D12" s="47"/>
      <c r="E12" s="774"/>
      <c r="F12" s="774"/>
      <c r="G12" s="774"/>
      <c r="H12" s="774"/>
      <c r="I12" s="774"/>
      <c r="J12" s="774"/>
      <c r="K12" s="774"/>
      <c r="L12" s="774"/>
      <c r="M12" s="774"/>
      <c r="N12" s="774"/>
      <c r="O12" s="774"/>
      <c r="P12" s="774"/>
      <c r="Q12" s="774"/>
      <c r="R12" s="774"/>
      <c r="S12" s="774"/>
      <c r="T12" s="774"/>
      <c r="U12" s="774"/>
      <c r="V12" s="774"/>
      <c r="W12" s="774"/>
      <c r="X12" s="774"/>
      <c r="Y12" s="774"/>
      <c r="Z12" s="774"/>
      <c r="AA12" s="774"/>
      <c r="AB12" s="774"/>
      <c r="AC12" s="774"/>
      <c r="AD12" s="774"/>
      <c r="AE12" s="774"/>
      <c r="AF12" s="774"/>
      <c r="AG12" s="774"/>
      <c r="AH12" s="774"/>
      <c r="AI12" s="774"/>
      <c r="AJ12" s="774"/>
      <c r="AK12" s="774"/>
      <c r="AL12" s="774"/>
      <c r="AM12" s="774"/>
      <c r="AN12" s="774"/>
      <c r="AO12" s="774"/>
      <c r="AP12" s="774"/>
      <c r="AQ12" s="774"/>
      <c r="AR12" s="774"/>
      <c r="AS12" s="774"/>
      <c r="AT12" s="774"/>
      <c r="AU12" s="774"/>
      <c r="AV12" s="774"/>
      <c r="AW12" s="774"/>
      <c r="AX12" s="774"/>
      <c r="AY12" s="774"/>
      <c r="AZ12" s="774"/>
      <c r="BA12" s="774"/>
      <c r="BB12" s="774"/>
      <c r="BC12" s="774"/>
      <c r="BD12" s="774"/>
      <c r="BE12" s="774"/>
      <c r="BF12" s="774"/>
      <c r="BG12" s="774"/>
      <c r="BH12" s="774"/>
      <c r="BI12" s="774"/>
      <c r="BJ12" s="774"/>
      <c r="BK12" s="774"/>
      <c r="BL12" s="774"/>
      <c r="BM12" s="774"/>
      <c r="BN12" s="774"/>
      <c r="BO12" s="774"/>
      <c r="BP12" s="774"/>
      <c r="BQ12" s="774"/>
      <c r="BR12" s="774"/>
      <c r="BS12" s="774"/>
      <c r="BT12" s="774"/>
      <c r="BU12" s="774"/>
      <c r="BV12" s="774"/>
      <c r="BW12" s="774"/>
      <c r="BX12" s="774"/>
      <c r="BY12" s="774"/>
      <c r="BZ12" s="774"/>
      <c r="CA12" s="774"/>
      <c r="CB12" s="774"/>
      <c r="CC12" s="774"/>
      <c r="CD12" s="774"/>
      <c r="CE12" s="774"/>
      <c r="CF12" s="774"/>
      <c r="CG12" s="774"/>
      <c r="CH12" s="774"/>
      <c r="CI12" s="774"/>
      <c r="CJ12" s="774"/>
      <c r="CK12" s="774"/>
      <c r="CL12" s="774"/>
      <c r="CM12" s="774"/>
      <c r="CN12" s="774"/>
      <c r="CO12" s="774"/>
      <c r="CP12" s="774"/>
      <c r="CQ12" s="774"/>
      <c r="CR12" s="774"/>
      <c r="CS12" s="774"/>
      <c r="CT12" s="774"/>
      <c r="CU12" s="774"/>
      <c r="CV12" s="774"/>
      <c r="CW12" s="774"/>
      <c r="CX12" s="774"/>
      <c r="CY12" s="774"/>
      <c r="CZ12" s="774"/>
      <c r="DA12" s="774"/>
      <c r="DB12" s="774"/>
      <c r="DC12" s="774"/>
      <c r="DD12" s="774"/>
      <c r="DE12" s="774"/>
      <c r="DF12" s="774"/>
      <c r="DG12" s="774"/>
      <c r="DH12" s="774"/>
      <c r="DI12" s="774"/>
      <c r="DJ12" s="774"/>
      <c r="DK12" s="774"/>
      <c r="DL12" s="774"/>
      <c r="DM12" s="774"/>
      <c r="DN12" s="774"/>
      <c r="DO12" s="774"/>
      <c r="DP12" s="774"/>
      <c r="DQ12" s="774"/>
      <c r="DR12" s="774"/>
      <c r="DS12" s="774"/>
      <c r="DT12" s="774"/>
      <c r="DU12" s="774"/>
      <c r="DV12" s="774"/>
      <c r="DW12" s="774"/>
      <c r="DX12" s="774"/>
      <c r="DY12" s="774"/>
      <c r="DZ12" s="774"/>
      <c r="EA12" s="774"/>
      <c r="EB12" s="774"/>
      <c r="EC12" s="774"/>
      <c r="ED12" s="774"/>
      <c r="EE12" s="774"/>
      <c r="EF12" s="774"/>
      <c r="EG12" s="774"/>
      <c r="EH12" s="774"/>
      <c r="EI12" s="774"/>
      <c r="EJ12" s="774"/>
      <c r="EK12" s="774"/>
      <c r="EL12" s="774"/>
      <c r="EM12" s="774"/>
      <c r="EN12" s="774"/>
      <c r="EO12" s="774"/>
      <c r="EP12" s="774"/>
      <c r="EQ12" s="774"/>
      <c r="ER12" s="774"/>
      <c r="ES12" s="774"/>
      <c r="ET12" s="774"/>
      <c r="EU12" s="774"/>
      <c r="EV12" s="774"/>
      <c r="EW12" s="774"/>
      <c r="EX12" s="774"/>
      <c r="EY12" s="774"/>
      <c r="EZ12" s="774"/>
      <c r="FA12" s="774"/>
      <c r="FB12" s="774"/>
      <c r="FC12" s="774"/>
      <c r="FD12" s="774"/>
      <c r="FE12" s="774"/>
      <c r="FF12" s="774"/>
      <c r="FG12" s="774"/>
      <c r="FH12" s="774"/>
      <c r="FI12" s="774"/>
      <c r="FJ12" s="774"/>
      <c r="FK12" s="774"/>
      <c r="FL12" s="774"/>
      <c r="FM12" s="774"/>
      <c r="FN12" s="774"/>
      <c r="FO12" s="774"/>
      <c r="FP12" s="774"/>
      <c r="FQ12" s="774"/>
      <c r="FR12" s="774"/>
      <c r="FS12" s="774"/>
      <c r="FT12" s="774"/>
      <c r="FU12" s="774"/>
      <c r="FV12" s="774"/>
      <c r="FW12" s="774"/>
      <c r="FX12" s="774"/>
      <c r="FY12" s="774"/>
      <c r="FZ12" s="774"/>
      <c r="GA12" s="774"/>
      <c r="GB12" s="774"/>
      <c r="GC12" s="774"/>
      <c r="GD12" s="774"/>
      <c r="GE12" s="774"/>
      <c r="GF12" s="774"/>
      <c r="GG12" s="774"/>
      <c r="GH12" s="774"/>
      <c r="GI12" s="774"/>
      <c r="GJ12" s="774"/>
      <c r="GK12" s="774"/>
      <c r="GL12" s="774"/>
      <c r="GM12" s="774"/>
      <c r="GN12" s="774"/>
      <c r="GO12" s="774"/>
      <c r="GP12" s="774"/>
      <c r="GQ12" s="774"/>
      <c r="GR12" s="774"/>
      <c r="GS12" s="774"/>
      <c r="GT12" s="774"/>
      <c r="GU12" s="774"/>
      <c r="GV12" s="774"/>
      <c r="GW12" s="774"/>
      <c r="GX12" s="774"/>
      <c r="GY12" s="774"/>
      <c r="GZ12" s="774"/>
      <c r="HA12" s="774"/>
      <c r="HB12" s="774"/>
      <c r="HC12" s="774"/>
      <c r="HD12" s="774"/>
      <c r="HE12" s="774"/>
      <c r="HF12" s="774"/>
      <c r="HG12" s="774"/>
      <c r="HH12" s="774"/>
      <c r="HI12" s="774"/>
      <c r="HJ12" s="774"/>
      <c r="HK12" s="774"/>
      <c r="HL12" s="774"/>
      <c r="HM12" s="774"/>
      <c r="HN12" s="774"/>
      <c r="HO12" s="774"/>
      <c r="HP12" s="774"/>
      <c r="HQ12" s="774"/>
      <c r="HR12" s="774"/>
      <c r="HS12" s="774"/>
      <c r="HT12" s="774"/>
      <c r="HU12" s="774"/>
      <c r="HV12" s="774"/>
      <c r="HW12" s="774"/>
      <c r="HX12" s="774"/>
      <c r="HY12" s="774"/>
      <c r="HZ12" s="774"/>
      <c r="IA12" s="774"/>
      <c r="IB12" s="774"/>
      <c r="IC12" s="774"/>
      <c r="ID12" s="774"/>
      <c r="IE12" s="774"/>
      <c r="IF12" s="774"/>
      <c r="IG12" s="774"/>
      <c r="IH12" s="774"/>
      <c r="II12" s="774"/>
      <c r="IJ12" s="774"/>
      <c r="IK12" s="774"/>
      <c r="IL12" s="774"/>
      <c r="IM12" s="774"/>
      <c r="IN12" s="774"/>
      <c r="IO12" s="774"/>
      <c r="IP12" s="774"/>
      <c r="IQ12" s="774"/>
      <c r="IR12" s="774"/>
      <c r="IS12" s="774"/>
      <c r="IT12" s="774"/>
      <c r="IU12" s="774"/>
      <c r="IV12" s="774"/>
    </row>
    <row r="13" spans="1:256" ht="15" customHeight="1">
      <c r="A13" s="142" t="s">
        <v>3</v>
      </c>
      <c r="B13" s="261">
        <f>B12</f>
        <v>0</v>
      </c>
      <c r="C13" s="261">
        <f>C12</f>
        <v>0</v>
      </c>
      <c r="D13" s="47"/>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c r="IR13" s="138"/>
      <c r="IS13" s="138"/>
      <c r="IT13" s="138"/>
      <c r="IU13" s="138"/>
      <c r="IV13" s="138"/>
    </row>
    <row r="14" ht="15" customHeight="1"/>
    <row r="15" ht="15" customHeight="1">
      <c r="A15" s="105" t="s">
        <v>126</v>
      </c>
    </row>
    <row r="16" spans="1:4" s="55" customFormat="1" ht="15" customHeight="1">
      <c r="A16" s="140" t="s">
        <v>129</v>
      </c>
      <c r="B16" s="140"/>
      <c r="C16" s="140"/>
      <c r="D16" s="140"/>
    </row>
    <row r="17" spans="1:3" ht="15" customHeight="1">
      <c r="A17" s="142" t="s">
        <v>3</v>
      </c>
      <c r="B17" s="262">
        <f>B16</f>
        <v>0</v>
      </c>
      <c r="C17" s="262">
        <f>C16</f>
        <v>0</v>
      </c>
    </row>
    <row r="18" ht="15" customHeight="1"/>
    <row r="19" spans="1:3" ht="15" customHeight="1">
      <c r="A19" s="105" t="s">
        <v>130</v>
      </c>
      <c r="B19" s="262">
        <f>B9+B13+B17</f>
        <v>0</v>
      </c>
      <c r="C19" s="262">
        <f>C9+C13+C17</f>
        <v>0</v>
      </c>
    </row>
    <row r="20" ht="15" customHeight="1"/>
    <row r="21" ht="15" customHeight="1"/>
  </sheetData>
  <sheetProtection/>
  <mergeCells count="211">
    <mergeCell ref="B5:C5"/>
    <mergeCell ref="IK12:IP12"/>
    <mergeCell ref="IQ12:IV12"/>
    <mergeCell ref="HG12:HL12"/>
    <mergeCell ref="HM12:HR12"/>
    <mergeCell ref="HS12:HX12"/>
    <mergeCell ref="HY12:ID12"/>
    <mergeCell ref="IE12:IJ12"/>
    <mergeCell ref="FQ12:FV12"/>
    <mergeCell ref="FW12:GB12"/>
    <mergeCell ref="GC12:GH12"/>
    <mergeCell ref="GI12:GN12"/>
    <mergeCell ref="GO12:GT12"/>
    <mergeCell ref="GU12:GZ12"/>
    <mergeCell ref="EG12:EL12"/>
    <mergeCell ref="EM12:ER12"/>
    <mergeCell ref="ES12:EX12"/>
    <mergeCell ref="EY12:FD12"/>
    <mergeCell ref="FE12:FJ12"/>
    <mergeCell ref="FK12:FP12"/>
    <mergeCell ref="CW12:DB12"/>
    <mergeCell ref="DC12:DH12"/>
    <mergeCell ref="DI12:DN12"/>
    <mergeCell ref="DO12:DT12"/>
    <mergeCell ref="DU12:DZ12"/>
    <mergeCell ref="EA12:EF12"/>
    <mergeCell ref="BM12:BR12"/>
    <mergeCell ref="BS12:BX12"/>
    <mergeCell ref="BY12:CD12"/>
    <mergeCell ref="CE12:CJ12"/>
    <mergeCell ref="CK12:CP12"/>
    <mergeCell ref="CQ12:CV12"/>
    <mergeCell ref="AC12:AH12"/>
    <mergeCell ref="AI12:AN12"/>
    <mergeCell ref="AO12:AT12"/>
    <mergeCell ref="AU12:AZ12"/>
    <mergeCell ref="BA12:BF12"/>
    <mergeCell ref="BG12:BL12"/>
    <mergeCell ref="E12:J12"/>
    <mergeCell ref="K12:P12"/>
    <mergeCell ref="Q12:V12"/>
    <mergeCell ref="W12:AB12"/>
    <mergeCell ref="HA12:HF12"/>
    <mergeCell ref="HY11:ID11"/>
    <mergeCell ref="EY11:FD11"/>
    <mergeCell ref="FE11:FJ11"/>
    <mergeCell ref="FK11:FP11"/>
    <mergeCell ref="FQ11:FV11"/>
    <mergeCell ref="FW11:GB11"/>
    <mergeCell ref="GC11:GH11"/>
    <mergeCell ref="DO11:DT11"/>
    <mergeCell ref="DU11:DZ11"/>
    <mergeCell ref="EA11:EF11"/>
    <mergeCell ref="EG11:EL11"/>
    <mergeCell ref="EM11:ER11"/>
    <mergeCell ref="ES11:EX11"/>
    <mergeCell ref="CE11:CJ11"/>
    <mergeCell ref="CK11:CP11"/>
    <mergeCell ref="CQ11:CV11"/>
    <mergeCell ref="CW11:DB11"/>
    <mergeCell ref="DC11:DH11"/>
    <mergeCell ref="DI11:DN11"/>
    <mergeCell ref="IE11:IJ11"/>
    <mergeCell ref="IK11:IP11"/>
    <mergeCell ref="IQ11:IV11"/>
    <mergeCell ref="GI11:GN11"/>
    <mergeCell ref="GO11:GT11"/>
    <mergeCell ref="GU11:GZ11"/>
    <mergeCell ref="HA11:HF11"/>
    <mergeCell ref="HG11:HL11"/>
    <mergeCell ref="HM11:HR11"/>
    <mergeCell ref="HS11:HX11"/>
    <mergeCell ref="AU11:AZ11"/>
    <mergeCell ref="BA11:BF11"/>
    <mergeCell ref="BG11:BL11"/>
    <mergeCell ref="BM11:BR11"/>
    <mergeCell ref="BS11:BX11"/>
    <mergeCell ref="BY11:CD11"/>
    <mergeCell ref="E11:J11"/>
    <mergeCell ref="K11:P11"/>
    <mergeCell ref="Q11:V11"/>
    <mergeCell ref="W11:AB11"/>
    <mergeCell ref="AC11:AH11"/>
    <mergeCell ref="AI11:AN11"/>
    <mergeCell ref="AO11:AT11"/>
    <mergeCell ref="IQ10:IV10"/>
    <mergeCell ref="HA10:HF10"/>
    <mergeCell ref="HG10:HL10"/>
    <mergeCell ref="HM10:HR10"/>
    <mergeCell ref="HS10:HX10"/>
    <mergeCell ref="HY10:ID10"/>
    <mergeCell ref="IE10:IJ10"/>
    <mergeCell ref="FQ10:FV10"/>
    <mergeCell ref="FW10:GB10"/>
    <mergeCell ref="DI10:DN10"/>
    <mergeCell ref="DO10:DT10"/>
    <mergeCell ref="DU10:DZ10"/>
    <mergeCell ref="EA10:EF10"/>
    <mergeCell ref="GC10:GH10"/>
    <mergeCell ref="GI10:GN10"/>
    <mergeCell ref="EG10:EL10"/>
    <mergeCell ref="EM10:ER10"/>
    <mergeCell ref="ES10:EX10"/>
    <mergeCell ref="EY10:FD10"/>
    <mergeCell ref="BY10:CD10"/>
    <mergeCell ref="CE10:CJ10"/>
    <mergeCell ref="CK10:CP10"/>
    <mergeCell ref="CQ10:CV10"/>
    <mergeCell ref="CW10:DB10"/>
    <mergeCell ref="DC10:DH10"/>
    <mergeCell ref="AO10:AT10"/>
    <mergeCell ref="AU10:AZ10"/>
    <mergeCell ref="BA10:BF10"/>
    <mergeCell ref="BG10:BL10"/>
    <mergeCell ref="BM10:BR10"/>
    <mergeCell ref="BS10:BX10"/>
    <mergeCell ref="IK10:IP10"/>
    <mergeCell ref="HS8:HX8"/>
    <mergeCell ref="HY8:ID8"/>
    <mergeCell ref="IE8:IJ8"/>
    <mergeCell ref="IK8:IP8"/>
    <mergeCell ref="EY8:FD8"/>
    <mergeCell ref="GO10:GT10"/>
    <mergeCell ref="GU10:GZ10"/>
    <mergeCell ref="FE10:FJ10"/>
    <mergeCell ref="FK10:FP10"/>
    <mergeCell ref="EG8:EL8"/>
    <mergeCell ref="EM8:ER8"/>
    <mergeCell ref="BS8:BX8"/>
    <mergeCell ref="BY8:CD8"/>
    <mergeCell ref="E10:J10"/>
    <mergeCell ref="K10:P10"/>
    <mergeCell ref="Q10:V10"/>
    <mergeCell ref="W10:AB10"/>
    <mergeCell ref="AC10:AH10"/>
    <mergeCell ref="AI10:AN10"/>
    <mergeCell ref="ES8:EX8"/>
    <mergeCell ref="CE8:CJ8"/>
    <mergeCell ref="CK8:CP8"/>
    <mergeCell ref="CQ8:CV8"/>
    <mergeCell ref="CW8:DB8"/>
    <mergeCell ref="DC8:DH8"/>
    <mergeCell ref="DI8:DN8"/>
    <mergeCell ref="DO8:DT8"/>
    <mergeCell ref="DU8:DZ8"/>
    <mergeCell ref="EA8:EF8"/>
    <mergeCell ref="IQ8:IV8"/>
    <mergeCell ref="GI8:GN8"/>
    <mergeCell ref="GO8:GT8"/>
    <mergeCell ref="GU8:GZ8"/>
    <mergeCell ref="HA8:HF8"/>
    <mergeCell ref="HG8:HL8"/>
    <mergeCell ref="HM8:HR8"/>
    <mergeCell ref="FE8:FJ8"/>
    <mergeCell ref="FK8:FP8"/>
    <mergeCell ref="FQ8:FV8"/>
    <mergeCell ref="FW8:GB8"/>
    <mergeCell ref="GC8:GH8"/>
    <mergeCell ref="E8:J8"/>
    <mergeCell ref="K8:P8"/>
    <mergeCell ref="Q8:V8"/>
    <mergeCell ref="W8:AB8"/>
    <mergeCell ref="AC8:AH8"/>
    <mergeCell ref="BS4:BX4"/>
    <mergeCell ref="BY4:CD4"/>
    <mergeCell ref="E4:J4"/>
    <mergeCell ref="K4:P4"/>
    <mergeCell ref="Q4:V4"/>
    <mergeCell ref="W4:AB4"/>
    <mergeCell ref="AC4:AH4"/>
    <mergeCell ref="AU8:AZ8"/>
    <mergeCell ref="BA8:BF8"/>
    <mergeCell ref="BG8:BL8"/>
    <mergeCell ref="BM8:BR8"/>
    <mergeCell ref="AI8:AN8"/>
    <mergeCell ref="AO8:AT8"/>
    <mergeCell ref="CW4:DB4"/>
    <mergeCell ref="AI4:AN4"/>
    <mergeCell ref="AO4:AT4"/>
    <mergeCell ref="AU4:AZ4"/>
    <mergeCell ref="BA4:BF4"/>
    <mergeCell ref="BG4:BL4"/>
    <mergeCell ref="BM4:BR4"/>
    <mergeCell ref="CE4:CJ4"/>
    <mergeCell ref="CK4:CP4"/>
    <mergeCell ref="CQ4:CV4"/>
    <mergeCell ref="IQ4:IV4"/>
    <mergeCell ref="HG4:HL4"/>
    <mergeCell ref="HM4:HR4"/>
    <mergeCell ref="HS4:HX4"/>
    <mergeCell ref="HY4:ID4"/>
    <mergeCell ref="IE4:IJ4"/>
    <mergeCell ref="IK4:IP4"/>
    <mergeCell ref="FW4:GB4"/>
    <mergeCell ref="GC4:GH4"/>
    <mergeCell ref="GI4:GN4"/>
    <mergeCell ref="GO4:GT4"/>
    <mergeCell ref="GU4:GZ4"/>
    <mergeCell ref="HA4:HF4"/>
    <mergeCell ref="EM4:ER4"/>
    <mergeCell ref="ES4:EX4"/>
    <mergeCell ref="EY4:FD4"/>
    <mergeCell ref="FE4:FJ4"/>
    <mergeCell ref="FK4:FP4"/>
    <mergeCell ref="FQ4:FV4"/>
    <mergeCell ref="DC4:DH4"/>
    <mergeCell ref="DI4:DN4"/>
    <mergeCell ref="DO4:DT4"/>
    <mergeCell ref="DU4:DZ4"/>
    <mergeCell ref="EA4:EF4"/>
    <mergeCell ref="EG4:EL4"/>
  </mergeCells>
  <hyperlinks>
    <hyperlink ref="C1" location="BG!A1" display="BG"/>
  </hyperlinks>
  <printOptions/>
  <pageMargins left="0.7" right="0.7" top="0.75" bottom="0.75" header="0.3" footer="0.3"/>
  <pageSetup orientation="portrait" paperSize="9" r:id="rId2"/>
  <drawing r:id="rId1"/>
</worksheet>
</file>

<file path=xl/worksheets/sheet16.xml><?xml version="1.0" encoding="utf-8"?>
<worksheet xmlns="http://schemas.openxmlformats.org/spreadsheetml/2006/main" xmlns:r="http://schemas.openxmlformats.org/officeDocument/2006/relationships">
  <dimension ref="A1:S19"/>
  <sheetViews>
    <sheetView zoomScalePageLayoutView="0" workbookViewId="0" topLeftCell="A1">
      <selection activeCell="H13" sqref="H13"/>
    </sheetView>
  </sheetViews>
  <sheetFormatPr defaultColWidth="11.421875" defaultRowHeight="15"/>
  <cols>
    <col min="1" max="1" width="26.7109375" style="129" customWidth="1"/>
    <col min="2" max="3" width="22.7109375" style="129" customWidth="1"/>
    <col min="4" max="19" width="11.421875" style="129" customWidth="1"/>
  </cols>
  <sheetData>
    <row r="1" spans="1:6" ht="15">
      <c r="A1" s="129" t="str">
        <f>Indice!C1</f>
        <v>NEGOFIN S.A.E.C.A.</v>
      </c>
      <c r="F1" s="150" t="s">
        <v>132</v>
      </c>
    </row>
    <row r="4" spans="1:4" ht="15">
      <c r="A4" s="805" t="s">
        <v>326</v>
      </c>
      <c r="B4" s="805"/>
      <c r="C4" s="805"/>
      <c r="D4" s="805"/>
    </row>
    <row r="5" spans="2:3" ht="15">
      <c r="B5" s="801" t="s">
        <v>314</v>
      </c>
      <c r="C5" s="801"/>
    </row>
    <row r="6" spans="1:5" ht="15">
      <c r="A6" s="147" t="s">
        <v>125</v>
      </c>
      <c r="B6" s="406">
        <f>_xlfn.IFERROR(IF(Indice!B6="","2XX2",YEAR(Indice!B6)),"2XX2")</f>
        <v>2021</v>
      </c>
      <c r="C6" s="406">
        <f>_xlfn.IFERROR(YEAR(Indice!B6-365),"2XX1")</f>
        <v>2020</v>
      </c>
      <c r="D6" s="143"/>
      <c r="E6" s="483"/>
    </row>
    <row r="7" spans="1:19" s="462" customFormat="1" ht="15">
      <c r="A7" s="144" t="s">
        <v>969</v>
      </c>
      <c r="B7" s="483">
        <v>2336202.7</v>
      </c>
      <c r="C7" s="483">
        <v>2861568.6</v>
      </c>
      <c r="D7" s="144"/>
      <c r="E7" s="483"/>
      <c r="F7" s="129"/>
      <c r="G7" s="129"/>
      <c r="H7" s="129"/>
      <c r="I7" s="129"/>
      <c r="J7" s="129"/>
      <c r="K7" s="129"/>
      <c r="L7" s="129"/>
      <c r="M7" s="129"/>
      <c r="N7" s="129"/>
      <c r="O7" s="129"/>
      <c r="P7" s="129"/>
      <c r="Q7" s="129"/>
      <c r="R7" s="129"/>
      <c r="S7" s="129"/>
    </row>
    <row r="8" spans="1:19" s="462" customFormat="1" ht="15">
      <c r="A8" s="144" t="s">
        <v>970</v>
      </c>
      <c r="B8" s="483">
        <v>854081.8</v>
      </c>
      <c r="C8" s="483">
        <v>638987</v>
      </c>
      <c r="D8" s="144"/>
      <c r="E8" s="483"/>
      <c r="F8" s="129"/>
      <c r="G8" s="129"/>
      <c r="H8" s="129"/>
      <c r="I8" s="129"/>
      <c r="J8" s="129"/>
      <c r="K8" s="129"/>
      <c r="L8" s="129"/>
      <c r="M8" s="129"/>
      <c r="N8" s="129"/>
      <c r="O8" s="129"/>
      <c r="P8" s="129"/>
      <c r="Q8" s="129"/>
      <c r="R8" s="129"/>
      <c r="S8" s="129"/>
    </row>
    <row r="9" spans="1:19" s="462" customFormat="1" ht="15">
      <c r="A9" s="144" t="s">
        <v>971</v>
      </c>
      <c r="B9" s="483">
        <v>16003</v>
      </c>
      <c r="C9" s="483">
        <v>16003</v>
      </c>
      <c r="D9" s="144"/>
      <c r="E9" s="484"/>
      <c r="F9" s="129"/>
      <c r="G9" s="129"/>
      <c r="H9" s="129"/>
      <c r="I9" s="129"/>
      <c r="J9" s="129"/>
      <c r="K9" s="129"/>
      <c r="L9" s="129"/>
      <c r="M9" s="129"/>
      <c r="N9" s="129"/>
      <c r="O9" s="129"/>
      <c r="P9" s="129"/>
      <c r="Q9" s="129"/>
      <c r="R9" s="129"/>
      <c r="S9" s="129"/>
    </row>
    <row r="10" spans="1:4" ht="25.5">
      <c r="A10" s="145" t="s">
        <v>164</v>
      </c>
      <c r="B10" s="484">
        <v>-2849265.5</v>
      </c>
      <c r="C10" s="484">
        <v>-2834529.9</v>
      </c>
      <c r="D10" s="145"/>
    </row>
    <row r="11" spans="1:6" ht="15">
      <c r="A11" s="146"/>
      <c r="B11" s="484"/>
      <c r="C11" s="484"/>
      <c r="D11" s="145"/>
      <c r="E11" s="144"/>
      <c r="F11" s="144"/>
    </row>
    <row r="12" spans="1:3" ht="15">
      <c r="A12" s="134" t="s">
        <v>130</v>
      </c>
      <c r="B12" s="485">
        <f>SUM(B7:B11)</f>
        <v>357022</v>
      </c>
      <c r="C12" s="485">
        <f>SUM(C7:C11)</f>
        <v>682028.7000000002</v>
      </c>
    </row>
    <row r="13" spans="1:4" ht="15">
      <c r="A13" s="146"/>
      <c r="D13" s="145"/>
    </row>
    <row r="14" spans="1:4" ht="15">
      <c r="A14" s="145"/>
      <c r="D14" s="145"/>
    </row>
    <row r="15" spans="1:6" ht="15">
      <c r="A15" s="146"/>
      <c r="D15" s="145"/>
      <c r="E15" s="144"/>
      <c r="F15" s="144"/>
    </row>
    <row r="17" ht="15">
      <c r="A17" s="134"/>
    </row>
    <row r="18" spans="1:4" ht="15">
      <c r="A18" s="143"/>
      <c r="D18" s="143"/>
    </row>
    <row r="19" ht="15">
      <c r="A19" s="146"/>
    </row>
  </sheetData>
  <sheetProtection/>
  <mergeCells count="2">
    <mergeCell ref="A4:D4"/>
    <mergeCell ref="B5:C5"/>
  </mergeCells>
  <hyperlinks>
    <hyperlink ref="F1" location="BG!A1" display="BG"/>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E13"/>
  <sheetViews>
    <sheetView zoomScalePageLayoutView="0" workbookViewId="0" topLeftCell="A1">
      <selection activeCell="C1" sqref="C1"/>
    </sheetView>
  </sheetViews>
  <sheetFormatPr defaultColWidth="11.421875" defaultRowHeight="15"/>
  <cols>
    <col min="1" max="1" width="24.7109375" style="129" customWidth="1"/>
    <col min="2" max="2" width="17.140625" style="129" customWidth="1"/>
    <col min="3" max="3" width="17.28125" style="129" customWidth="1"/>
    <col min="4" max="13" width="11.421875" style="129" customWidth="1"/>
  </cols>
  <sheetData>
    <row r="1" spans="1:5" ht="15">
      <c r="A1" s="129" t="str">
        <f>Indice!C1</f>
        <v>NEGOFIN S.A.E.C.A.</v>
      </c>
      <c r="E1" s="150" t="s">
        <v>132</v>
      </c>
    </row>
    <row r="5" spans="1:4" ht="15">
      <c r="A5" s="315" t="s">
        <v>327</v>
      </c>
      <c r="B5" s="315"/>
      <c r="C5" s="315"/>
      <c r="D5" s="315"/>
    </row>
    <row r="6" spans="2:3" ht="15">
      <c r="B6" s="801" t="s">
        <v>314</v>
      </c>
      <c r="C6" s="801"/>
    </row>
    <row r="7" spans="1:4" ht="15">
      <c r="A7" s="148" t="s">
        <v>131</v>
      </c>
      <c r="B7" s="406">
        <f>_xlfn.IFERROR(IF(Indice!B6="","2XX2",YEAR(Indice!B6)),"2XX2")</f>
        <v>2021</v>
      </c>
      <c r="C7" s="406">
        <f>_xlfn.IFERROR(YEAR(Indice!B6-365),"2XX1")</f>
        <v>2020</v>
      </c>
      <c r="D7" s="143"/>
    </row>
    <row r="8" spans="1:4" ht="15">
      <c r="A8" s="144"/>
      <c r="B8" s="144"/>
      <c r="C8" s="144"/>
      <c r="D8" s="144"/>
    </row>
    <row r="9" spans="1:4" ht="15">
      <c r="A9" s="145"/>
      <c r="D9" s="145"/>
    </row>
    <row r="10" spans="1:4" ht="15">
      <c r="A10" s="146"/>
      <c r="D10" s="145"/>
    </row>
    <row r="11" spans="1:3" ht="15">
      <c r="A11" s="134" t="s">
        <v>130</v>
      </c>
      <c r="B11" s="259">
        <f>SUM(B8:B10)</f>
        <v>0</v>
      </c>
      <c r="C11" s="259">
        <f>SUM(C8:C10)</f>
        <v>0</v>
      </c>
    </row>
    <row r="12" spans="1:4" ht="15">
      <c r="A12" s="146"/>
      <c r="D12" s="145"/>
    </row>
    <row r="13" spans="1:4" ht="15">
      <c r="A13" s="145"/>
      <c r="D13" s="145"/>
    </row>
  </sheetData>
  <sheetProtection/>
  <mergeCells count="1">
    <mergeCell ref="B6:C6"/>
  </mergeCells>
  <hyperlinks>
    <hyperlink ref="E1" location="BG!A1" display="BG"/>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E22"/>
  <sheetViews>
    <sheetView showGridLines="0" zoomScalePageLayoutView="0" workbookViewId="0" topLeftCell="A3">
      <selection activeCell="D11" sqref="D11"/>
    </sheetView>
  </sheetViews>
  <sheetFormatPr defaultColWidth="11.421875" defaultRowHeight="15"/>
  <cols>
    <col min="1" max="1" width="38.57421875" style="298" customWidth="1"/>
    <col min="2" max="2" width="34.140625" style="298" customWidth="1"/>
    <col min="3" max="3" width="34.421875" style="298" bestFit="1" customWidth="1"/>
    <col min="4" max="4" width="18.421875" style="298" customWidth="1"/>
    <col min="5" max="5" width="18.7109375" style="298" customWidth="1"/>
    <col min="6" max="16384" width="11.421875" style="298" customWidth="1"/>
  </cols>
  <sheetData>
    <row r="1" spans="1:3" ht="15">
      <c r="A1" s="298" t="str">
        <f>Indice!C1</f>
        <v>NEGOFIN S.A.E.C.A.</v>
      </c>
      <c r="B1" s="149"/>
      <c r="C1" s="439" t="s">
        <v>132</v>
      </c>
    </row>
    <row r="4" spans="1:5" ht="15">
      <c r="A4" s="315" t="s">
        <v>329</v>
      </c>
      <c r="B4" s="315"/>
      <c r="C4" s="315"/>
      <c r="D4" s="315"/>
      <c r="E4" s="315"/>
    </row>
    <row r="5" ht="15">
      <c r="A5" s="404" t="s">
        <v>314</v>
      </c>
    </row>
    <row r="6" spans="1:4" ht="15">
      <c r="A6" s="316" t="s">
        <v>841</v>
      </c>
      <c r="B6" s="316"/>
      <c r="C6" s="316"/>
      <c r="D6" s="316"/>
    </row>
    <row r="7" ht="15">
      <c r="E7" s="260"/>
    </row>
    <row r="8" spans="1:5" ht="15">
      <c r="A8" s="105" t="s">
        <v>65</v>
      </c>
      <c r="B8" s="421" t="s">
        <v>182</v>
      </c>
      <c r="C8" s="421" t="s">
        <v>482</v>
      </c>
      <c r="D8" s="422">
        <f>_xlfn.IFERROR(IF(Indice!B6="","2XX2",YEAR(Indice!B6)),"2XX2")</f>
        <v>2021</v>
      </c>
      <c r="E8" s="422">
        <f>_xlfn.IFERROR(YEAR(Indice!B6-365),"2XX1")</f>
        <v>2020</v>
      </c>
    </row>
    <row r="9" spans="1:5" ht="15">
      <c r="A9" s="298" t="s">
        <v>481</v>
      </c>
      <c r="B9" s="314"/>
      <c r="C9" s="319">
        <f>_xlfn.IFERROR(VLOOKUP(B9,'Base de Monedas'!A:B,2,0),"")</f>
      </c>
      <c r="D9" s="527">
        <v>0</v>
      </c>
      <c r="E9" s="471">
        <v>0</v>
      </c>
    </row>
    <row r="10" spans="1:5" ht="15">
      <c r="A10" s="301" t="s">
        <v>113</v>
      </c>
      <c r="B10" s="314"/>
      <c r="C10" s="319">
        <f>_xlfn.IFERROR(VLOOKUP(B10,'Base de Monedas'!A:B,2,0),"")</f>
      </c>
      <c r="D10" s="487">
        <v>0</v>
      </c>
      <c r="E10" s="471">
        <v>0</v>
      </c>
    </row>
    <row r="11" spans="1:5" ht="15">
      <c r="A11" s="301" t="s">
        <v>114</v>
      </c>
      <c r="B11" s="314"/>
      <c r="C11" s="319">
        <f>_xlfn.IFERROR(VLOOKUP(B11,'Base de Monedas'!A:B,2,0),"")</f>
      </c>
      <c r="D11" s="479">
        <v>574371</v>
      </c>
      <c r="E11" s="479">
        <v>396941.8</v>
      </c>
    </row>
    <row r="12" spans="1:5" ht="15">
      <c r="A12" s="318" t="s">
        <v>66</v>
      </c>
      <c r="B12" s="314"/>
      <c r="C12" s="319">
        <f>_xlfn.IFERROR(VLOOKUP(B12,'Base de Monedas'!A:B,2,0),"")</f>
      </c>
      <c r="D12" s="479"/>
      <c r="E12" s="528"/>
    </row>
    <row r="13" spans="1:5" ht="15.75" thickBot="1">
      <c r="A13" s="13" t="s">
        <v>115</v>
      </c>
      <c r="B13" s="11"/>
      <c r="C13" s="15"/>
      <c r="D13" s="529">
        <f>SUM($D$9:D11)</f>
        <v>574371</v>
      </c>
      <c r="E13" s="529">
        <f>SUM($E$9:E11)</f>
        <v>396941.8</v>
      </c>
    </row>
    <row r="14" spans="1:5" ht="15.75" thickTop="1">
      <c r="A14" s="13"/>
      <c r="B14" s="11"/>
      <c r="C14" s="15"/>
      <c r="D14" s="308"/>
      <c r="E14" s="308"/>
    </row>
    <row r="16" ht="15">
      <c r="D16" s="260"/>
    </row>
    <row r="17" spans="1:5" ht="15">
      <c r="A17" s="105" t="s">
        <v>840</v>
      </c>
      <c r="B17" s="421" t="s">
        <v>182</v>
      </c>
      <c r="C17" s="421" t="s">
        <v>482</v>
      </c>
      <c r="D17" s="422">
        <f>_xlfn.IFERROR(YEAR(Indice!B6),"2XX2")</f>
        <v>2021</v>
      </c>
      <c r="E17" s="422">
        <f>_xlfn.IFERROR(YEAR(Indice!B6-365),"2XX1")</f>
        <v>2020</v>
      </c>
    </row>
    <row r="18" spans="1:5" ht="15">
      <c r="A18" s="298" t="s">
        <v>481</v>
      </c>
      <c r="B18" s="314"/>
      <c r="C18" s="319">
        <f>_xlfn.IFERROR(VLOOKUP(B18,'Base de Monedas'!A:B,2,0),"")</f>
      </c>
      <c r="D18" s="527">
        <v>0</v>
      </c>
      <c r="E18" s="471">
        <v>0</v>
      </c>
    </row>
    <row r="19" spans="1:5" ht="15">
      <c r="A19" s="301" t="s">
        <v>113</v>
      </c>
      <c r="B19" s="314"/>
      <c r="C19" s="319">
        <f>_xlfn.IFERROR(VLOOKUP(B19,'Base de Monedas'!A:B,2,0),"")</f>
      </c>
      <c r="D19" s="487">
        <v>0</v>
      </c>
      <c r="E19" s="471">
        <v>0</v>
      </c>
    </row>
    <row r="20" spans="1:5" ht="15">
      <c r="A20" s="301" t="s">
        <v>114</v>
      </c>
      <c r="B20" s="314"/>
      <c r="C20" s="319">
        <f>_xlfn.IFERROR(VLOOKUP(B20,'Base de Monedas'!A:B,2,0),"")</f>
      </c>
      <c r="D20" s="479">
        <v>0</v>
      </c>
      <c r="E20" s="528">
        <v>0</v>
      </c>
    </row>
    <row r="21" spans="1:5" ht="15">
      <c r="A21" s="318" t="s">
        <v>66</v>
      </c>
      <c r="B21" s="314"/>
      <c r="C21" s="319">
        <f>_xlfn.IFERROR(VLOOKUP(B21,'Base de Monedas'!A:B,2,0),"")</f>
      </c>
      <c r="D21" s="479">
        <v>0</v>
      </c>
      <c r="E21" s="528">
        <v>0</v>
      </c>
    </row>
    <row r="22" spans="1:5" ht="15.75" thickBot="1">
      <c r="A22" s="13" t="s">
        <v>115</v>
      </c>
      <c r="B22" s="11"/>
      <c r="C22" s="15"/>
      <c r="D22" s="529">
        <f>SUM($D$18:D20)</f>
        <v>0</v>
      </c>
      <c r="E22" s="529">
        <f>SUM($E$18:E21)</f>
        <v>0</v>
      </c>
    </row>
    <row r="23" ht="15.75" thickTop="1"/>
  </sheetData>
  <sheetProtection/>
  <hyperlinks>
    <hyperlink ref="C1" location="BG!A1" display="BG"/>
  </hyperlinks>
  <printOptions horizontalCentered="1"/>
  <pageMargins left="0.7086614173228347" right="0.7086614173228347" top="0.7480314960629921" bottom="0.7480314960629921" header="0.31496062992125984" footer="0.31496062992125984"/>
  <pageSetup fitToHeight="2" fitToWidth="2" horizontalDpi="600" verticalDpi="600" orientation="portrait" paperSize="5" scale="75" r:id="rId2"/>
  <drawing r:id="rId1"/>
</worksheet>
</file>

<file path=xl/worksheets/sheet19.xml><?xml version="1.0" encoding="utf-8"?>
<worksheet xmlns="http://schemas.openxmlformats.org/spreadsheetml/2006/main" xmlns:r="http://schemas.openxmlformats.org/officeDocument/2006/relationships">
  <dimension ref="A1:Q159"/>
  <sheetViews>
    <sheetView showGridLines="0" zoomScalePageLayoutView="0" workbookViewId="0" topLeftCell="E89">
      <selection activeCell="E105" sqref="E105:E109"/>
    </sheetView>
  </sheetViews>
  <sheetFormatPr defaultColWidth="11.421875" defaultRowHeight="15"/>
  <cols>
    <col min="1" max="1" width="45.140625" style="0" customWidth="1"/>
    <col min="2" max="2" width="16.00390625" style="0" customWidth="1"/>
    <col min="3" max="3" width="22.140625" style="0" customWidth="1"/>
    <col min="4" max="4" width="16.421875" style="314" customWidth="1"/>
    <col min="5" max="5" width="20.421875" style="314" bestFit="1" customWidth="1"/>
    <col min="6" max="6" width="18.57421875" style="0" customWidth="1"/>
    <col min="7" max="7" width="3.28125" style="0" customWidth="1"/>
    <col min="8" max="8" width="29.421875" style="462" bestFit="1" customWidth="1"/>
    <col min="9" max="9" width="11.421875" style="314" customWidth="1"/>
    <col min="10" max="10" width="23.28125" style="301" customWidth="1"/>
    <col min="11" max="11" width="18.140625" style="301" customWidth="1"/>
    <col min="12" max="12" width="20.421875" style="0" bestFit="1" customWidth="1"/>
    <col min="13" max="13" width="17.7109375" style="0" customWidth="1"/>
    <col min="14" max="14" width="12.7109375" style="517" bestFit="1" customWidth="1"/>
    <col min="15" max="15" width="13.7109375" style="523" bestFit="1" customWidth="1"/>
    <col min="17" max="17" width="13.7109375" style="0" bestFit="1" customWidth="1"/>
  </cols>
  <sheetData>
    <row r="1" spans="1:13" ht="15" customHeight="1">
      <c r="A1" t="str">
        <f>Indice!C1</f>
        <v>NEGOFIN S.A.E.C.A.</v>
      </c>
      <c r="E1" s="223" t="s">
        <v>132</v>
      </c>
      <c r="M1" s="149" t="s">
        <v>132</v>
      </c>
    </row>
    <row r="2" ht="15" customHeight="1"/>
    <row r="3" ht="15" customHeight="1"/>
    <row r="4" spans="1:13" ht="15" customHeight="1">
      <c r="A4" s="333" t="s">
        <v>330</v>
      </c>
      <c r="B4" s="333"/>
      <c r="C4" s="333"/>
      <c r="D4" s="495"/>
      <c r="E4" s="495"/>
      <c r="F4" s="333"/>
      <c r="G4" s="333"/>
      <c r="H4" s="333"/>
      <c r="I4" s="495"/>
      <c r="J4" s="333"/>
      <c r="K4" s="333"/>
      <c r="L4" s="333"/>
      <c r="M4" s="333"/>
    </row>
    <row r="5" ht="15" customHeight="1"/>
    <row r="6" ht="15" customHeight="1">
      <c r="A6" t="s">
        <v>862</v>
      </c>
    </row>
    <row r="7" ht="15" customHeight="1">
      <c r="A7" t="s">
        <v>334</v>
      </c>
    </row>
    <row r="8" spans="4:15" s="301" customFormat="1" ht="15" customHeight="1">
      <c r="D8" s="314"/>
      <c r="E8" s="314"/>
      <c r="H8" s="462"/>
      <c r="I8" s="314"/>
      <c r="N8" s="517"/>
      <c r="O8" s="523"/>
    </row>
    <row r="9" spans="1:13" ht="15" customHeight="1">
      <c r="A9" s="105" t="s">
        <v>65</v>
      </c>
      <c r="B9" s="248"/>
      <c r="C9" s="260"/>
      <c r="D9" s="460"/>
      <c r="E9" s="460"/>
      <c r="F9" s="248"/>
      <c r="J9" s="260"/>
      <c r="K9" s="260"/>
      <c r="L9" s="260"/>
      <c r="M9" s="260"/>
    </row>
    <row r="10" spans="1:13" ht="15" customHeight="1">
      <c r="A10" s="24"/>
      <c r="B10" s="334"/>
      <c r="C10" s="423"/>
      <c r="D10" s="406">
        <f>_xlfn.IFERROR(IF(Indice!B6="","2XX2",YEAR(Indice!B6)),"2XX2")</f>
        <v>2021</v>
      </c>
      <c r="E10" s="405"/>
      <c r="F10" s="423"/>
      <c r="I10" s="405"/>
      <c r="J10" s="423"/>
      <c r="K10" s="406">
        <f>_xlfn.IFERROR(YEAR(Indice!B6-365),"2XX1")</f>
        <v>2020</v>
      </c>
      <c r="L10" s="423"/>
      <c r="M10" s="423"/>
    </row>
    <row r="11" spans="1:13" ht="15" customHeight="1">
      <c r="A11" s="135" t="s">
        <v>847</v>
      </c>
      <c r="B11" s="136" t="s">
        <v>117</v>
      </c>
      <c r="C11" s="317" t="s">
        <v>844</v>
      </c>
      <c r="D11" s="317" t="s">
        <v>331</v>
      </c>
      <c r="E11" s="135" t="s">
        <v>851</v>
      </c>
      <c r="F11" s="136" t="s">
        <v>119</v>
      </c>
      <c r="H11" s="135" t="s">
        <v>847</v>
      </c>
      <c r="I11" s="136" t="s">
        <v>117</v>
      </c>
      <c r="J11" s="317" t="s">
        <v>844</v>
      </c>
      <c r="K11" s="317" t="s">
        <v>331</v>
      </c>
      <c r="L11" s="135" t="s">
        <v>851</v>
      </c>
      <c r="M11" s="136" t="s">
        <v>119</v>
      </c>
    </row>
    <row r="12" spans="1:13" ht="15" customHeight="1">
      <c r="A12" t="s">
        <v>975</v>
      </c>
      <c r="B12" s="492">
        <v>44554</v>
      </c>
      <c r="C12" s="314" t="s">
        <v>435</v>
      </c>
      <c r="D12" s="314" t="str">
        <f>_xlfn.IFERROR(VLOOKUP(C12,'Base de Monedas'!A:B,2,0),"")</f>
        <v>Guaraní</v>
      </c>
      <c r="E12" s="471">
        <v>4500000</v>
      </c>
      <c r="F12" s="314" t="s">
        <v>985</v>
      </c>
      <c r="H12" s="462" t="s">
        <v>975</v>
      </c>
      <c r="I12" s="492">
        <v>43944</v>
      </c>
      <c r="J12" s="314" t="s">
        <v>435</v>
      </c>
      <c r="K12" s="314" t="str">
        <f>_xlfn.IFERROR(VLOOKUP(J12,'Base de Monedas'!A:B,2,0),"")</f>
        <v>Guaraní</v>
      </c>
      <c r="L12" s="522">
        <v>404166.663</v>
      </c>
      <c r="M12" s="314" t="s">
        <v>985</v>
      </c>
    </row>
    <row r="13" spans="1:13" ht="15" customHeight="1">
      <c r="A13" s="301" t="s">
        <v>975</v>
      </c>
      <c r="B13" s="492">
        <v>44645</v>
      </c>
      <c r="C13" s="314" t="s">
        <v>435</v>
      </c>
      <c r="D13" s="314" t="str">
        <f>_xlfn.IFERROR(VLOOKUP(C13,'Base de Monedas'!A:B,2,0),"")</f>
        <v>Guaraní</v>
      </c>
      <c r="E13" s="471">
        <v>5750000</v>
      </c>
      <c r="F13" s="314" t="s">
        <v>985</v>
      </c>
      <c r="H13" s="462" t="s">
        <v>975</v>
      </c>
      <c r="I13" s="492">
        <v>44221</v>
      </c>
      <c r="J13" s="314" t="s">
        <v>435</v>
      </c>
      <c r="K13" s="314" t="str">
        <f>_xlfn.IFERROR(VLOOKUP(J13,'Base de Monedas'!A:B,2,0),"")</f>
        <v>Guaraní</v>
      </c>
      <c r="L13" s="522">
        <v>4583333.334</v>
      </c>
      <c r="M13" s="314" t="s">
        <v>985</v>
      </c>
    </row>
    <row r="14" spans="1:15" s="462" customFormat="1" ht="15" customHeight="1">
      <c r="A14" s="462" t="s">
        <v>975</v>
      </c>
      <c r="B14" s="499">
        <v>44466</v>
      </c>
      <c r="C14" s="314" t="s">
        <v>435</v>
      </c>
      <c r="D14" s="314" t="str">
        <f>_xlfn.IFERROR(VLOOKUP(C14,'Base de Monedas'!A:B,2,0),"")</f>
        <v>Guaraní</v>
      </c>
      <c r="E14" s="471">
        <v>6600000</v>
      </c>
      <c r="F14" s="314" t="s">
        <v>985</v>
      </c>
      <c r="H14" s="462" t="s">
        <v>975</v>
      </c>
      <c r="I14" s="492">
        <v>44095</v>
      </c>
      <c r="J14" s="314" t="s">
        <v>435</v>
      </c>
      <c r="K14" s="314" t="str">
        <f>_xlfn.IFERROR(VLOOKUP(J14,'Base de Monedas'!A:B,2,0),"")</f>
        <v>Guaraní</v>
      </c>
      <c r="L14" s="522">
        <v>2547500.002</v>
      </c>
      <c r="M14" s="314" t="s">
        <v>985</v>
      </c>
      <c r="N14" s="517"/>
      <c r="O14" s="523"/>
    </row>
    <row r="15" spans="1:15" s="462" customFormat="1" ht="15" customHeight="1">
      <c r="A15" s="462" t="s">
        <v>975</v>
      </c>
      <c r="B15" s="492" t="s">
        <v>986</v>
      </c>
      <c r="C15" s="314"/>
      <c r="D15" s="314"/>
      <c r="E15" s="471" t="s">
        <v>986</v>
      </c>
      <c r="F15" s="314" t="s">
        <v>986</v>
      </c>
      <c r="H15" s="462" t="s">
        <v>975</v>
      </c>
      <c r="I15" s="492">
        <v>44036</v>
      </c>
      <c r="J15" s="314" t="s">
        <v>435</v>
      </c>
      <c r="K15" s="314" t="str">
        <f>_xlfn.IFERROR(VLOOKUP(J15,'Base de Monedas'!A:B,2,0),"")</f>
        <v>Guaraní</v>
      </c>
      <c r="L15" s="522">
        <v>1233333.336</v>
      </c>
      <c r="M15" s="314" t="s">
        <v>985</v>
      </c>
      <c r="N15" s="517"/>
      <c r="O15" s="523"/>
    </row>
    <row r="16" spans="1:15" s="462" customFormat="1" ht="15" customHeight="1">
      <c r="A16" s="462" t="s">
        <v>975</v>
      </c>
      <c r="B16" s="492" t="s">
        <v>986</v>
      </c>
      <c r="C16" s="314"/>
      <c r="D16" s="314"/>
      <c r="E16" s="471" t="s">
        <v>986</v>
      </c>
      <c r="F16" s="314" t="s">
        <v>986</v>
      </c>
      <c r="H16" s="462" t="s">
        <v>975</v>
      </c>
      <c r="I16" s="492">
        <v>44158</v>
      </c>
      <c r="J16" s="314" t="s">
        <v>435</v>
      </c>
      <c r="K16" s="314" t="str">
        <f>_xlfn.IFERROR(VLOOKUP(J16,'Base de Monedas'!A:B,2,0),"")</f>
        <v>Guaraní</v>
      </c>
      <c r="L16" s="522">
        <v>3666666.668</v>
      </c>
      <c r="M16" s="314" t="s">
        <v>985</v>
      </c>
      <c r="N16" s="517"/>
      <c r="O16" s="523"/>
    </row>
    <row r="17" spans="1:15" s="462" customFormat="1" ht="15" customHeight="1">
      <c r="A17" s="462" t="s">
        <v>975</v>
      </c>
      <c r="B17" s="492" t="s">
        <v>986</v>
      </c>
      <c r="C17" s="314"/>
      <c r="D17" s="314"/>
      <c r="E17" s="471" t="s">
        <v>986</v>
      </c>
      <c r="F17" s="314" t="s">
        <v>986</v>
      </c>
      <c r="H17" s="462" t="s">
        <v>975</v>
      </c>
      <c r="I17" s="492">
        <v>44279</v>
      </c>
      <c r="J17" s="314" t="s">
        <v>435</v>
      </c>
      <c r="K17" s="314" t="s">
        <v>759</v>
      </c>
      <c r="L17" s="522">
        <v>2000000</v>
      </c>
      <c r="M17" s="314" t="s">
        <v>985</v>
      </c>
      <c r="N17" s="517"/>
      <c r="O17" s="523"/>
    </row>
    <row r="18" spans="1:15" s="462" customFormat="1" ht="15" customHeight="1">
      <c r="A18" s="462" t="s">
        <v>976</v>
      </c>
      <c r="B18" s="492">
        <v>44340</v>
      </c>
      <c r="C18" s="314" t="s">
        <v>435</v>
      </c>
      <c r="D18" s="314" t="str">
        <f>_xlfn.IFERROR(VLOOKUP(C18,'Base de Monedas'!A:B,2,0),"")</f>
        <v>Guaraní</v>
      </c>
      <c r="E18" s="471">
        <v>416666.6</v>
      </c>
      <c r="F18" s="314" t="s">
        <v>985</v>
      </c>
      <c r="H18" s="462" t="s">
        <v>976</v>
      </c>
      <c r="I18" s="492">
        <v>44067</v>
      </c>
      <c r="J18" s="314" t="s">
        <v>435</v>
      </c>
      <c r="K18" s="314" t="str">
        <f>_xlfn.IFERROR(VLOOKUP(J18,'Base de Monedas'!A:B,2,0),"")</f>
        <v>Guaraní</v>
      </c>
      <c r="L18" s="522">
        <v>12500000</v>
      </c>
      <c r="M18" s="314" t="s">
        <v>985</v>
      </c>
      <c r="N18" s="517"/>
      <c r="O18" s="523"/>
    </row>
    <row r="19" spans="1:15" s="462" customFormat="1" ht="15" customHeight="1">
      <c r="A19" s="462" t="s">
        <v>976</v>
      </c>
      <c r="B19" s="492">
        <v>44340</v>
      </c>
      <c r="C19" s="314" t="s">
        <v>435</v>
      </c>
      <c r="D19" s="314" t="str">
        <f>_xlfn.IFERROR(VLOOKUP(C19,'Base de Monedas'!A:B,2,0),"")</f>
        <v>Guaraní</v>
      </c>
      <c r="E19" s="471">
        <v>1250000</v>
      </c>
      <c r="F19" s="314" t="s">
        <v>985</v>
      </c>
      <c r="H19" s="462" t="s">
        <v>976</v>
      </c>
      <c r="I19" s="492">
        <v>44274</v>
      </c>
      <c r="J19" s="314" t="s">
        <v>435</v>
      </c>
      <c r="K19" s="314" t="str">
        <f>_xlfn.IFERROR(VLOOKUP(J19,'Base de Monedas'!A:B,2,0),"")</f>
        <v>Guaraní</v>
      </c>
      <c r="L19" s="522">
        <v>5000000</v>
      </c>
      <c r="M19" s="314" t="s">
        <v>985</v>
      </c>
      <c r="N19" s="517"/>
      <c r="O19" s="523"/>
    </row>
    <row r="20" spans="1:15" s="462" customFormat="1" ht="15" customHeight="1">
      <c r="A20" s="462" t="s">
        <v>977</v>
      </c>
      <c r="B20" s="492">
        <v>44553</v>
      </c>
      <c r="C20" s="314" t="s">
        <v>435</v>
      </c>
      <c r="D20" s="314" t="str">
        <f>_xlfn.IFERROR(VLOOKUP(C20,'Base de Monedas'!A:B,2,0),"")</f>
        <v>Guaraní</v>
      </c>
      <c r="E20" s="471">
        <v>755848.793</v>
      </c>
      <c r="F20" s="314" t="s">
        <v>985</v>
      </c>
      <c r="H20" s="462" t="s">
        <v>977</v>
      </c>
      <c r="I20" s="492">
        <v>44158</v>
      </c>
      <c r="J20" s="314" t="s">
        <v>435</v>
      </c>
      <c r="K20" s="314" t="str">
        <f>_xlfn.IFERROR(VLOOKUP(J20,'Base de Monedas'!A:B,2,0),"")</f>
        <v>Guaraní</v>
      </c>
      <c r="L20" s="522">
        <v>2980952.203</v>
      </c>
      <c r="M20" s="314" t="s">
        <v>985</v>
      </c>
      <c r="N20" s="517"/>
      <c r="O20" s="523"/>
    </row>
    <row r="21" spans="1:15" s="462" customFormat="1" ht="15" customHeight="1">
      <c r="A21" s="462" t="s">
        <v>977</v>
      </c>
      <c r="B21" s="492">
        <v>44493</v>
      </c>
      <c r="C21" s="314" t="s">
        <v>435</v>
      </c>
      <c r="D21" s="314" t="str">
        <f>_xlfn.IFERROR(VLOOKUP(C21,'Base de Monedas'!A:B,2,0),"")</f>
        <v>Guaraní</v>
      </c>
      <c r="E21" s="471">
        <v>4431999.84</v>
      </c>
      <c r="F21" s="314" t="s">
        <v>985</v>
      </c>
      <c r="H21" s="462" t="s">
        <v>977</v>
      </c>
      <c r="I21" s="492">
        <v>44064</v>
      </c>
      <c r="J21" s="314" t="s">
        <v>435</v>
      </c>
      <c r="K21" s="314" t="str">
        <f>_xlfn.IFERROR(VLOOKUP(J21,'Base de Monedas'!A:B,2,0),"")</f>
        <v>Guaraní</v>
      </c>
      <c r="L21" s="522">
        <v>2314336.258</v>
      </c>
      <c r="M21" s="314" t="s">
        <v>985</v>
      </c>
      <c r="N21" s="517"/>
      <c r="O21" s="523"/>
    </row>
    <row r="22" spans="1:15" s="462" customFormat="1" ht="15" customHeight="1">
      <c r="A22" s="462" t="s">
        <v>977</v>
      </c>
      <c r="B22" s="492" t="s">
        <v>986</v>
      </c>
      <c r="C22" s="314"/>
      <c r="D22" s="314"/>
      <c r="E22" s="471" t="s">
        <v>986</v>
      </c>
      <c r="F22" s="314" t="s">
        <v>986</v>
      </c>
      <c r="H22" s="462" t="s">
        <v>977</v>
      </c>
      <c r="I22" s="492">
        <v>43942</v>
      </c>
      <c r="J22" s="314" t="s">
        <v>435</v>
      </c>
      <c r="K22" s="314" t="s">
        <v>759</v>
      </c>
      <c r="L22" s="522">
        <v>182567.805</v>
      </c>
      <c r="M22" s="314" t="s">
        <v>985</v>
      </c>
      <c r="N22" s="517"/>
      <c r="O22" s="523"/>
    </row>
    <row r="23" spans="1:15" s="462" customFormat="1" ht="15" customHeight="1">
      <c r="A23" s="462" t="s">
        <v>978</v>
      </c>
      <c r="B23" s="492">
        <v>44310</v>
      </c>
      <c r="C23" s="314" t="s">
        <v>435</v>
      </c>
      <c r="D23" s="314" t="str">
        <f>_xlfn.IFERROR(VLOOKUP(C23,'Base de Monedas'!A:B,2,0),"")</f>
        <v>Guaraní</v>
      </c>
      <c r="E23" s="471">
        <v>903703.702</v>
      </c>
      <c r="F23" s="314" t="s">
        <v>985</v>
      </c>
      <c r="H23" s="462" t="s">
        <v>978</v>
      </c>
      <c r="I23" s="492">
        <v>44038</v>
      </c>
      <c r="J23" s="314" t="s">
        <v>435</v>
      </c>
      <c r="K23" s="314" t="str">
        <f>_xlfn.IFERROR(VLOOKUP(J23,'Base de Monedas'!A:B,2,0),"")</f>
        <v>Guaraní</v>
      </c>
      <c r="L23" s="522">
        <v>8133333.334</v>
      </c>
      <c r="M23" s="314" t="s">
        <v>985</v>
      </c>
      <c r="N23" s="517"/>
      <c r="O23" s="523"/>
    </row>
    <row r="24" spans="1:15" s="462" customFormat="1" ht="15" customHeight="1">
      <c r="A24" s="462" t="s">
        <v>980</v>
      </c>
      <c r="B24" s="493">
        <v>44559</v>
      </c>
      <c r="C24" s="314" t="s">
        <v>435</v>
      </c>
      <c r="D24" s="314" t="str">
        <f>_xlfn.IFERROR(VLOOKUP(C24,'Base de Monedas'!A:B,2,0),"")</f>
        <v>Guaraní</v>
      </c>
      <c r="E24" s="496">
        <v>3404868.98</v>
      </c>
      <c r="F24" s="314" t="s">
        <v>985</v>
      </c>
      <c r="H24" s="462" t="s">
        <v>980</v>
      </c>
      <c r="I24" s="493">
        <v>44191</v>
      </c>
      <c r="J24" s="314" t="s">
        <v>435</v>
      </c>
      <c r="K24" s="314" t="str">
        <f>_xlfn.IFERROR(VLOOKUP(J24,'Base de Monedas'!A:B,2,0),"")</f>
        <v>Guaraní</v>
      </c>
      <c r="L24" s="501">
        <v>1402489.861</v>
      </c>
      <c r="M24" s="314" t="s">
        <v>985</v>
      </c>
      <c r="N24" s="517"/>
      <c r="O24" s="523"/>
    </row>
    <row r="25" spans="1:15" s="462" customFormat="1" ht="15" customHeight="1">
      <c r="A25" s="462" t="s">
        <v>980</v>
      </c>
      <c r="B25" s="492" t="s">
        <v>986</v>
      </c>
      <c r="C25" s="314"/>
      <c r="D25" s="314"/>
      <c r="E25" s="471" t="s">
        <v>986</v>
      </c>
      <c r="F25" s="314" t="s">
        <v>986</v>
      </c>
      <c r="H25" s="462" t="s">
        <v>980</v>
      </c>
      <c r="I25" s="493">
        <v>44128</v>
      </c>
      <c r="J25" s="314" t="s">
        <v>435</v>
      </c>
      <c r="K25" s="314" t="str">
        <f>_xlfn.IFERROR(VLOOKUP(J25,'Base de Monedas'!A:B,2,0),"")</f>
        <v>Guaraní</v>
      </c>
      <c r="L25" s="501">
        <v>1786653.769</v>
      </c>
      <c r="M25" s="314" t="s">
        <v>985</v>
      </c>
      <c r="N25" s="517"/>
      <c r="O25" s="523"/>
    </row>
    <row r="26" spans="1:15" s="462" customFormat="1" ht="15" customHeight="1">
      <c r="A26" s="462" t="s">
        <v>980</v>
      </c>
      <c r="B26" s="492" t="s">
        <v>986</v>
      </c>
      <c r="C26" s="314"/>
      <c r="D26" s="314"/>
      <c r="E26" s="471" t="s">
        <v>986</v>
      </c>
      <c r="F26" s="314" t="s">
        <v>986</v>
      </c>
      <c r="H26" s="462" t="s">
        <v>980</v>
      </c>
      <c r="I26" s="519">
        <v>44279</v>
      </c>
      <c r="J26" s="314" t="s">
        <v>435</v>
      </c>
      <c r="K26" s="314" t="str">
        <f>_xlfn.IFERROR(VLOOKUP(J26,'Base de Monedas'!A:B,2,0),"")</f>
        <v>Guaraní</v>
      </c>
      <c r="L26" s="522">
        <v>2000000</v>
      </c>
      <c r="M26" s="314" t="s">
        <v>985</v>
      </c>
      <c r="N26" s="517"/>
      <c r="O26" s="523"/>
    </row>
    <row r="27" spans="1:15" s="462" customFormat="1" ht="15" customHeight="1">
      <c r="A27" s="462" t="s">
        <v>982</v>
      </c>
      <c r="B27" s="492">
        <v>44339</v>
      </c>
      <c r="C27" s="314" t="s">
        <v>435</v>
      </c>
      <c r="D27" s="314" t="str">
        <f>_xlfn.IFERROR(VLOOKUP(C27,'Base de Monedas'!A:B,2,0),"")</f>
        <v>Guaraní</v>
      </c>
      <c r="E27" s="471">
        <v>1492224.846</v>
      </c>
      <c r="F27" s="314" t="s">
        <v>985</v>
      </c>
      <c r="H27" s="462" t="s">
        <v>982</v>
      </c>
      <c r="I27" s="314" t="s">
        <v>986</v>
      </c>
      <c r="J27" s="314"/>
      <c r="K27" s="314" t="s">
        <v>986</v>
      </c>
      <c r="L27" s="522" t="s">
        <v>986</v>
      </c>
      <c r="M27" s="314" t="s">
        <v>986</v>
      </c>
      <c r="N27" s="517"/>
      <c r="O27" s="523"/>
    </row>
    <row r="28" spans="1:15" s="462" customFormat="1" ht="15" customHeight="1">
      <c r="A28" s="462" t="s">
        <v>982</v>
      </c>
      <c r="B28" s="493">
        <v>44530</v>
      </c>
      <c r="C28" s="314" t="s">
        <v>435</v>
      </c>
      <c r="D28" s="314" t="str">
        <f>_xlfn.IFERROR(VLOOKUP(C28,'Base de Monedas'!A:B,2,0),"")</f>
        <v>Guaraní</v>
      </c>
      <c r="E28" s="496">
        <v>7084449.462</v>
      </c>
      <c r="F28" s="314" t="s">
        <v>985</v>
      </c>
      <c r="H28" s="462" t="s">
        <v>982</v>
      </c>
      <c r="I28" s="314" t="s">
        <v>986</v>
      </c>
      <c r="J28" s="314"/>
      <c r="K28" s="314" t="s">
        <v>986</v>
      </c>
      <c r="L28" s="522" t="s">
        <v>986</v>
      </c>
      <c r="M28" s="314" t="s">
        <v>986</v>
      </c>
      <c r="N28" s="517"/>
      <c r="O28" s="523"/>
    </row>
    <row r="29" spans="1:15" s="462" customFormat="1" ht="15" customHeight="1">
      <c r="A29" s="462" t="s">
        <v>982</v>
      </c>
      <c r="B29" s="493">
        <v>44642</v>
      </c>
      <c r="C29" s="314" t="s">
        <v>435</v>
      </c>
      <c r="D29" s="314" t="str">
        <f>_xlfn.IFERROR(VLOOKUP(C29,'Base de Monedas'!A:B,2,0),"")</f>
        <v>Guaraní</v>
      </c>
      <c r="E29" s="496">
        <v>6400000</v>
      </c>
      <c r="F29" s="314" t="s">
        <v>985</v>
      </c>
      <c r="H29" s="462" t="s">
        <v>982</v>
      </c>
      <c r="I29" s="314" t="s">
        <v>986</v>
      </c>
      <c r="J29" s="314"/>
      <c r="K29" s="314" t="s">
        <v>986</v>
      </c>
      <c r="L29" s="522" t="s">
        <v>986</v>
      </c>
      <c r="M29" s="314" t="s">
        <v>986</v>
      </c>
      <c r="N29" s="517"/>
      <c r="O29" s="523"/>
    </row>
    <row r="30" spans="1:15" s="462" customFormat="1" ht="15" customHeight="1">
      <c r="A30" s="462" t="s">
        <v>987</v>
      </c>
      <c r="B30" s="492" t="s">
        <v>986</v>
      </c>
      <c r="C30" s="314"/>
      <c r="D30" s="314"/>
      <c r="E30" s="471" t="s">
        <v>986</v>
      </c>
      <c r="F30" s="314" t="s">
        <v>986</v>
      </c>
      <c r="H30" s="462" t="s">
        <v>987</v>
      </c>
      <c r="I30" s="492">
        <v>44281</v>
      </c>
      <c r="J30" s="314" t="s">
        <v>435</v>
      </c>
      <c r="K30" s="314" t="str">
        <f>_xlfn.IFERROR(VLOOKUP(J30,'Base de Monedas'!A:B,2,0),"")</f>
        <v>Guaraní</v>
      </c>
      <c r="L30" s="522">
        <v>6000000</v>
      </c>
      <c r="M30" s="314" t="s">
        <v>985</v>
      </c>
      <c r="N30" s="517"/>
      <c r="O30" s="523"/>
    </row>
    <row r="31" spans="1:15" s="462" customFormat="1" ht="15" customHeight="1">
      <c r="A31" s="462" t="s">
        <v>987</v>
      </c>
      <c r="B31" s="492" t="s">
        <v>986</v>
      </c>
      <c r="C31" s="314"/>
      <c r="D31" s="314"/>
      <c r="E31" s="471" t="s">
        <v>986</v>
      </c>
      <c r="F31" s="314" t="s">
        <v>986</v>
      </c>
      <c r="H31" s="462" t="s">
        <v>987</v>
      </c>
      <c r="I31" s="492">
        <v>44006</v>
      </c>
      <c r="J31" s="314" t="s">
        <v>435</v>
      </c>
      <c r="K31" s="314" t="str">
        <f>_xlfn.IFERROR(VLOOKUP(J31,'Base de Monedas'!A:B,2,0),"")</f>
        <v>Guaraní</v>
      </c>
      <c r="L31" s="501">
        <v>4418266.407</v>
      </c>
      <c r="M31" s="314" t="s">
        <v>985</v>
      </c>
      <c r="N31" s="517"/>
      <c r="O31" s="523"/>
    </row>
    <row r="32" spans="1:15" s="462" customFormat="1" ht="15" customHeight="1">
      <c r="A32" s="462" t="s">
        <v>988</v>
      </c>
      <c r="B32" s="492" t="s">
        <v>986</v>
      </c>
      <c r="C32" s="314"/>
      <c r="D32" s="314"/>
      <c r="E32" s="471" t="s">
        <v>986</v>
      </c>
      <c r="F32" s="314" t="s">
        <v>986</v>
      </c>
      <c r="H32" s="462" t="s">
        <v>988</v>
      </c>
      <c r="I32" s="492">
        <v>44068</v>
      </c>
      <c r="J32" s="314" t="s">
        <v>435</v>
      </c>
      <c r="K32" s="314" t="str">
        <f>_xlfn.IFERROR(VLOOKUP(J32,'Base de Monedas'!A:B,2,0),"")</f>
        <v>Guaraní</v>
      </c>
      <c r="L32" s="522">
        <v>1822895.336</v>
      </c>
      <c r="M32" s="314" t="s">
        <v>985</v>
      </c>
      <c r="N32" s="517"/>
      <c r="O32" s="523"/>
    </row>
    <row r="33" spans="1:15" s="462" customFormat="1" ht="15" customHeight="1">
      <c r="A33" s="462" t="s">
        <v>988</v>
      </c>
      <c r="B33" s="492" t="s">
        <v>986</v>
      </c>
      <c r="C33" s="314"/>
      <c r="D33" s="314"/>
      <c r="E33" s="471" t="s">
        <v>986</v>
      </c>
      <c r="F33" s="314" t="s">
        <v>986</v>
      </c>
      <c r="H33" s="462" t="s">
        <v>988</v>
      </c>
      <c r="I33" s="492">
        <v>44190</v>
      </c>
      <c r="J33" s="314" t="s">
        <v>435</v>
      </c>
      <c r="K33" s="314" t="str">
        <f>_xlfn.IFERROR(VLOOKUP(J33,'Base de Monedas'!A:B,2,0),"")</f>
        <v>Guaraní</v>
      </c>
      <c r="L33" s="501">
        <v>887037.659</v>
      </c>
      <c r="M33" s="314" t="s">
        <v>985</v>
      </c>
      <c r="N33" s="517"/>
      <c r="O33" s="523"/>
    </row>
    <row r="34" spans="1:15" s="462" customFormat="1" ht="15" customHeight="1">
      <c r="A34" s="462" t="s">
        <v>988</v>
      </c>
      <c r="B34" s="492" t="s">
        <v>986</v>
      </c>
      <c r="C34" s="314"/>
      <c r="D34" s="314"/>
      <c r="E34" s="471" t="s">
        <v>986</v>
      </c>
      <c r="F34" s="314" t="s">
        <v>986</v>
      </c>
      <c r="H34" s="462" t="s">
        <v>988</v>
      </c>
      <c r="I34" s="492">
        <v>44252</v>
      </c>
      <c r="J34" s="314" t="s">
        <v>435</v>
      </c>
      <c r="K34" s="314" t="str">
        <f>_xlfn.IFERROR(VLOOKUP(J34,'Base de Monedas'!A:B,2,0),"")</f>
        <v>Guaraní</v>
      </c>
      <c r="L34" s="501">
        <v>983147.168</v>
      </c>
      <c r="M34" s="314" t="s">
        <v>985</v>
      </c>
      <c r="N34" s="517"/>
      <c r="O34" s="523"/>
    </row>
    <row r="35" spans="1:15" s="462" customFormat="1" ht="15" customHeight="1">
      <c r="A35" s="462" t="s">
        <v>988</v>
      </c>
      <c r="B35" s="492" t="s">
        <v>986</v>
      </c>
      <c r="C35" s="314"/>
      <c r="D35" s="314"/>
      <c r="E35" s="471" t="s">
        <v>986</v>
      </c>
      <c r="F35" s="314" t="s">
        <v>986</v>
      </c>
      <c r="H35" s="462" t="s">
        <v>988</v>
      </c>
      <c r="I35" s="492">
        <v>44129</v>
      </c>
      <c r="J35" s="314" t="s">
        <v>435</v>
      </c>
      <c r="K35" s="314" t="str">
        <f>_xlfn.IFERROR(VLOOKUP(J35,'Base de Monedas'!A:B,2,0),"")</f>
        <v>Guaraní</v>
      </c>
      <c r="L35" s="501">
        <v>677885.166</v>
      </c>
      <c r="M35" s="314" t="s">
        <v>985</v>
      </c>
      <c r="N35" s="517"/>
      <c r="O35" s="523"/>
    </row>
    <row r="36" spans="1:15" s="462" customFormat="1" ht="15" customHeight="1">
      <c r="A36" s="462" t="s">
        <v>989</v>
      </c>
      <c r="B36" s="492" t="s">
        <v>986</v>
      </c>
      <c r="C36" s="314"/>
      <c r="D36" s="314"/>
      <c r="E36" s="471" t="s">
        <v>986</v>
      </c>
      <c r="F36" s="314" t="s">
        <v>986</v>
      </c>
      <c r="H36" s="462" t="s">
        <v>989</v>
      </c>
      <c r="I36" s="492">
        <v>44013</v>
      </c>
      <c r="J36" s="314" t="s">
        <v>435</v>
      </c>
      <c r="K36" s="314" t="str">
        <f>_xlfn.IFERROR(VLOOKUP(J36,'Base de Monedas'!A:B,2,0),"")</f>
        <v>Guaraní</v>
      </c>
      <c r="L36" s="522">
        <v>6753549.313</v>
      </c>
      <c r="M36" s="314" t="s">
        <v>985</v>
      </c>
      <c r="N36" s="517"/>
      <c r="O36" s="523"/>
    </row>
    <row r="37" spans="1:15" s="462" customFormat="1" ht="15" customHeight="1">
      <c r="A37" s="462" t="s">
        <v>990</v>
      </c>
      <c r="B37" s="493">
        <v>44648</v>
      </c>
      <c r="C37" s="314" t="s">
        <v>435</v>
      </c>
      <c r="D37" s="314" t="str">
        <f>_xlfn.IFERROR(VLOOKUP(C37,'Base de Monedas'!A:B,2,0),"")</f>
        <v>Guaraní</v>
      </c>
      <c r="E37" s="496">
        <v>10000000</v>
      </c>
      <c r="F37" s="314" t="s">
        <v>985</v>
      </c>
      <c r="H37" s="462" t="s">
        <v>990</v>
      </c>
      <c r="I37" s="493">
        <v>44277</v>
      </c>
      <c r="J37" s="314" t="s">
        <v>435</v>
      </c>
      <c r="K37" s="314" t="str">
        <f>_xlfn.IFERROR(VLOOKUP(J37,'Base de Monedas'!A:B,2,0),"")</f>
        <v>Guaraní</v>
      </c>
      <c r="L37" s="501">
        <v>10000000</v>
      </c>
      <c r="M37" s="314" t="s">
        <v>985</v>
      </c>
      <c r="N37" s="517"/>
      <c r="O37" s="523"/>
    </row>
    <row r="38" spans="1:15" s="462" customFormat="1" ht="15" customHeight="1">
      <c r="A38" s="462" t="s">
        <v>990</v>
      </c>
      <c r="B38" s="492" t="s">
        <v>986</v>
      </c>
      <c r="C38" s="314"/>
      <c r="D38" s="314"/>
      <c r="E38" s="471" t="s">
        <v>986</v>
      </c>
      <c r="F38" s="314" t="s">
        <v>986</v>
      </c>
      <c r="H38" s="462" t="s">
        <v>990</v>
      </c>
      <c r="I38" s="493">
        <v>44099</v>
      </c>
      <c r="J38" s="314" t="s">
        <v>435</v>
      </c>
      <c r="K38" s="314" t="str">
        <f>_xlfn.IFERROR(VLOOKUP(J38,'Base de Monedas'!A:B,2,0),"")</f>
        <v>Guaraní</v>
      </c>
      <c r="L38" s="501">
        <v>5125508.848</v>
      </c>
      <c r="M38" s="314" t="s">
        <v>985</v>
      </c>
      <c r="N38" s="517"/>
      <c r="O38" s="523"/>
    </row>
    <row r="39" spans="1:15" s="462" customFormat="1" ht="15" customHeight="1">
      <c r="A39" s="462" t="s">
        <v>981</v>
      </c>
      <c r="B39" s="493">
        <v>44530</v>
      </c>
      <c r="C39" s="314" t="s">
        <v>435</v>
      </c>
      <c r="D39" s="314" t="str">
        <f>_xlfn.IFERROR(VLOOKUP(C39,'Base de Monedas'!A:B,2,0),"")</f>
        <v>Guaraní</v>
      </c>
      <c r="E39" s="496">
        <v>4191439.324</v>
      </c>
      <c r="F39" s="314" t="s">
        <v>985</v>
      </c>
      <c r="H39" s="462" t="s">
        <v>981</v>
      </c>
      <c r="I39" s="492" t="s">
        <v>986</v>
      </c>
      <c r="J39" s="314"/>
      <c r="K39" s="314"/>
      <c r="L39" s="522"/>
      <c r="M39" s="314"/>
      <c r="N39" s="517"/>
      <c r="O39" s="523"/>
    </row>
    <row r="40" spans="1:15" s="462" customFormat="1" ht="15" customHeight="1">
      <c r="A40" s="462" t="s">
        <v>991</v>
      </c>
      <c r="B40" s="494" t="s">
        <v>986</v>
      </c>
      <c r="C40" s="314"/>
      <c r="D40" s="314"/>
      <c r="E40" s="494" t="s">
        <v>986</v>
      </c>
      <c r="F40" s="494" t="s">
        <v>986</v>
      </c>
      <c r="H40" s="462" t="s">
        <v>991</v>
      </c>
      <c r="I40" s="492">
        <v>43941</v>
      </c>
      <c r="J40" s="314" t="s">
        <v>435</v>
      </c>
      <c r="K40" s="314" t="str">
        <f>_xlfn.IFERROR(VLOOKUP(J40,'Base de Monedas'!A:B,2,0),"")</f>
        <v>Guaraní</v>
      </c>
      <c r="L40" s="501">
        <v>521495.565</v>
      </c>
      <c r="M40" s="314" t="s">
        <v>985</v>
      </c>
      <c r="N40" s="517"/>
      <c r="O40" s="523"/>
    </row>
    <row r="41" spans="1:15" s="462" customFormat="1" ht="15" customHeight="1">
      <c r="A41" s="462" t="s">
        <v>991</v>
      </c>
      <c r="B41" s="494" t="s">
        <v>986</v>
      </c>
      <c r="C41" s="314"/>
      <c r="D41" s="314"/>
      <c r="E41" s="494" t="s">
        <v>986</v>
      </c>
      <c r="F41" s="494" t="s">
        <v>986</v>
      </c>
      <c r="H41" s="462" t="s">
        <v>991</v>
      </c>
      <c r="I41" s="492">
        <v>44279</v>
      </c>
      <c r="J41" s="314" t="s">
        <v>435</v>
      </c>
      <c r="K41" s="314" t="str">
        <f>_xlfn.IFERROR(VLOOKUP(J41,'Base de Monedas'!A:B,2,0),"")</f>
        <v>Guaraní</v>
      </c>
      <c r="L41" s="501">
        <v>6500000</v>
      </c>
      <c r="M41" s="314" t="s">
        <v>985</v>
      </c>
      <c r="N41" s="517"/>
      <c r="O41" s="523">
        <f>SUM(L12:L41)</f>
        <v>94425118.69500001</v>
      </c>
    </row>
    <row r="42" spans="1:13" ht="15" customHeight="1">
      <c r="A42" s="520" t="s">
        <v>1023</v>
      </c>
      <c r="B42" s="314">
        <v>2021</v>
      </c>
      <c r="C42" s="314" t="s">
        <v>435</v>
      </c>
      <c r="D42" s="314" t="str">
        <f>_xlfn.IFERROR(VLOOKUP(C42,'Base de Monedas'!A:B,2,0),"")</f>
        <v>Guaraní</v>
      </c>
      <c r="E42" s="496">
        <v>63817014.07699999</v>
      </c>
      <c r="F42" s="314" t="s">
        <v>1024</v>
      </c>
      <c r="H42" s="520" t="s">
        <v>1023</v>
      </c>
      <c r="I42" s="314">
        <v>2021</v>
      </c>
      <c r="J42" s="314" t="s">
        <v>435</v>
      </c>
      <c r="K42" s="314" t="str">
        <f>_xlfn.IFERROR(VLOOKUP(J42,'Base de Monedas'!A:B,2,0),"")</f>
        <v>Guaraní</v>
      </c>
      <c r="L42" s="471">
        <v>38367421.5</v>
      </c>
      <c r="M42" s="314" t="s">
        <v>1024</v>
      </c>
    </row>
    <row r="43" spans="1:13" ht="15" customHeight="1">
      <c r="A43" t="s">
        <v>254</v>
      </c>
      <c r="B43" s="314" t="s">
        <v>979</v>
      </c>
      <c r="C43" s="314"/>
      <c r="D43" s="314">
        <f>_xlfn.IFERROR(VLOOKUP(C43,'Base de Monedas'!A:B,2,0),"")</f>
      </c>
      <c r="E43" s="471"/>
      <c r="H43" s="520" t="s">
        <v>1047</v>
      </c>
      <c r="I43" s="493">
        <v>2021</v>
      </c>
      <c r="J43" s="314" t="s">
        <v>435</v>
      </c>
      <c r="K43" s="314" t="str">
        <f>_xlfn.IFERROR(VLOOKUP(J43,'[7]Base de Monedas'!A:B,2,0),"")</f>
        <v>Guaraní</v>
      </c>
      <c r="L43" s="471">
        <v>17305753</v>
      </c>
      <c r="M43" s="471" t="s">
        <v>1024</v>
      </c>
    </row>
    <row r="44" spans="1:11" ht="15" customHeight="1">
      <c r="A44" s="335" t="s">
        <v>123</v>
      </c>
      <c r="B44" s="314" t="s">
        <v>979</v>
      </c>
      <c r="C44" s="314"/>
      <c r="D44" s="314">
        <f>_xlfn.IFERROR(VLOOKUP(C44,'Base de Monedas'!A:B,2,0),"")</f>
      </c>
      <c r="J44" s="314"/>
      <c r="K44" s="301">
        <f>_xlfn.IFERROR(VLOOKUP(J44,'Base de Monedas'!A:B,2,0),"")</f>
      </c>
    </row>
    <row r="45" spans="1:11" ht="15" customHeight="1">
      <c r="A45" s="135" t="s">
        <v>845</v>
      </c>
      <c r="B45" s="314"/>
      <c r="C45" s="314"/>
      <c r="D45" s="314">
        <f>_xlfn.IFERROR(VLOOKUP(C45,'Base de Monedas'!A:B,2,0),"")</f>
      </c>
      <c r="H45" s="135" t="s">
        <v>845</v>
      </c>
      <c r="J45" s="314"/>
      <c r="K45" s="301">
        <f>_xlfn.IFERROR(VLOOKUP(J45,'Base de Monedas'!A:B,2,0),"")</f>
      </c>
    </row>
    <row r="46" spans="1:11" ht="15" customHeight="1">
      <c r="A46" s="301" t="s">
        <v>843</v>
      </c>
      <c r="B46" s="314" t="s">
        <v>979</v>
      </c>
      <c r="C46" s="314"/>
      <c r="D46" s="314">
        <f>_xlfn.IFERROR(VLOOKUP(C46,'Base de Monedas'!A:B,2,0),"")</f>
      </c>
      <c r="E46" s="314" t="s">
        <v>986</v>
      </c>
      <c r="H46" s="462" t="s">
        <v>843</v>
      </c>
      <c r="I46" s="314" t="s">
        <v>979</v>
      </c>
      <c r="J46" s="314"/>
      <c r="K46" s="301">
        <f>_xlfn.IFERROR(VLOOKUP(J46,'Base de Monedas'!A:B,2,0),"")</f>
      </c>
    </row>
    <row r="47" spans="1:11" ht="15" customHeight="1">
      <c r="A47" s="301" t="s">
        <v>843</v>
      </c>
      <c r="B47" s="314" t="s">
        <v>979</v>
      </c>
      <c r="C47" s="314"/>
      <c r="D47" s="314">
        <f>_xlfn.IFERROR(VLOOKUP(C47,'Base de Monedas'!A:B,2,0),"")</f>
      </c>
      <c r="H47" s="462" t="s">
        <v>843</v>
      </c>
      <c r="I47" s="314" t="s">
        <v>979</v>
      </c>
      <c r="J47" s="314"/>
      <c r="K47" s="301">
        <f>_xlfn.IFERROR(VLOOKUP(J47,'Base de Monedas'!A:B,2,0),"")</f>
      </c>
    </row>
    <row r="48" spans="1:11" ht="15" customHeight="1">
      <c r="A48" s="335" t="s">
        <v>122</v>
      </c>
      <c r="B48" s="314" t="s">
        <v>979</v>
      </c>
      <c r="C48" s="314"/>
      <c r="D48" s="314">
        <f>_xlfn.IFERROR(VLOOKUP(C48,'Base de Monedas'!A:B,2,0),"")</f>
      </c>
      <c r="H48" s="335" t="s">
        <v>122</v>
      </c>
      <c r="I48" s="314" t="s">
        <v>979</v>
      </c>
      <c r="J48" s="314"/>
      <c r="K48" s="301">
        <f>_xlfn.IFERROR(VLOOKUP(J48,'Base de Monedas'!A:B,2,0),"")</f>
      </c>
    </row>
    <row r="49" spans="1:11" ht="15" customHeight="1">
      <c r="A49" t="s">
        <v>254</v>
      </c>
      <c r="B49" s="314" t="s">
        <v>979</v>
      </c>
      <c r="C49" s="314"/>
      <c r="D49" s="314">
        <f>_xlfn.IFERROR(VLOOKUP(C49,'Base de Monedas'!A:B,2,0),"")</f>
      </c>
      <c r="H49" s="462" t="s">
        <v>254</v>
      </c>
      <c r="I49" s="314" t="s">
        <v>979</v>
      </c>
      <c r="J49" s="314"/>
      <c r="K49" s="301">
        <f>_xlfn.IFERROR(VLOOKUP(J49,'Base de Monedas'!A:B,2,0),"")</f>
      </c>
    </row>
    <row r="50" spans="1:11" ht="15" customHeight="1">
      <c r="A50" s="335" t="s">
        <v>123</v>
      </c>
      <c r="B50" s="314" t="s">
        <v>979</v>
      </c>
      <c r="C50" s="314"/>
      <c r="D50" s="314">
        <f>_xlfn.IFERROR(VLOOKUP(C50,'Base de Monedas'!A:B,2,0),"")</f>
      </c>
      <c r="E50" s="471"/>
      <c r="H50" s="335" t="s">
        <v>123</v>
      </c>
      <c r="I50" s="314" t="s">
        <v>979</v>
      </c>
      <c r="J50" s="314"/>
      <c r="K50" s="301">
        <f>_xlfn.IFERROR(VLOOKUP(J50,'Base de Monedas'!A:B,2,0),"")</f>
      </c>
    </row>
    <row r="51" spans="1:11" ht="15" customHeight="1">
      <c r="A51" s="105" t="s">
        <v>848</v>
      </c>
      <c r="B51" s="314"/>
      <c r="C51" s="314"/>
      <c r="E51" s="471"/>
      <c r="H51" s="105" t="s">
        <v>848</v>
      </c>
      <c r="J51" s="314"/>
      <c r="K51" s="301">
        <f>_xlfn.IFERROR(VLOOKUP(J51,'Base de Monedas'!A:B,2,0),"")</f>
      </c>
    </row>
    <row r="52" spans="1:17" ht="15" customHeight="1">
      <c r="A52" t="s">
        <v>846</v>
      </c>
      <c r="B52" s="314"/>
      <c r="C52" s="314" t="s">
        <v>435</v>
      </c>
      <c r="D52" s="314" t="str">
        <f>_xlfn.IFERROR(VLOOKUP(C52,'Base de Monedas'!A:B,2,0),"")</f>
        <v>Guaraní</v>
      </c>
      <c r="E52" s="471">
        <v>1591028.208</v>
      </c>
      <c r="H52" s="462" t="s">
        <v>846</v>
      </c>
      <c r="J52" s="314" t="s">
        <v>435</v>
      </c>
      <c r="K52" s="301" t="str">
        <f>_xlfn.IFERROR(VLOOKUP(J52,'Base de Monedas'!A:B,2,0),"")</f>
        <v>Guaraní</v>
      </c>
      <c r="L52" s="471">
        <v>3592748.454</v>
      </c>
      <c r="N52" s="524"/>
      <c r="O52" s="524"/>
      <c r="Q52" s="465"/>
    </row>
    <row r="53" spans="1:17" s="301" customFormat="1" ht="15" customHeight="1">
      <c r="A53" s="301" t="s">
        <v>849</v>
      </c>
      <c r="B53" s="314"/>
      <c r="C53" s="314" t="s">
        <v>435</v>
      </c>
      <c r="D53" s="314" t="str">
        <f>_xlfn.IFERROR(VLOOKUP(C53,'Base de Monedas'!A:B,2,0),"")</f>
        <v>Guaraní</v>
      </c>
      <c r="E53" s="471">
        <v>-1557381.676</v>
      </c>
      <c r="F53" s="471"/>
      <c r="H53" s="462" t="s">
        <v>849</v>
      </c>
      <c r="I53" s="314"/>
      <c r="J53" s="314" t="s">
        <v>435</v>
      </c>
      <c r="K53" s="462" t="str">
        <f>_xlfn.IFERROR(VLOOKUP(J53,'Base de Monedas'!A:B,2,0),"")</f>
        <v>Guaraní</v>
      </c>
      <c r="L53" s="471">
        <v>-3417897.765</v>
      </c>
      <c r="N53" s="517"/>
      <c r="O53" s="523"/>
      <c r="Q53" s="465"/>
    </row>
    <row r="54" spans="1:15" s="462" customFormat="1" ht="15" customHeight="1">
      <c r="A54" s="105" t="s">
        <v>1023</v>
      </c>
      <c r="B54" s="314"/>
      <c r="C54" s="314"/>
      <c r="D54" s="314"/>
      <c r="E54" s="471"/>
      <c r="F54" s="471"/>
      <c r="H54" s="105" t="s">
        <v>1023</v>
      </c>
      <c r="I54" s="314"/>
      <c r="J54" s="314"/>
      <c r="L54" s="471"/>
      <c r="N54" s="517"/>
      <c r="O54" s="523"/>
    </row>
    <row r="55" spans="1:15" s="462" customFormat="1" ht="15" customHeight="1">
      <c r="A55" s="462" t="s">
        <v>846</v>
      </c>
      <c r="B55" s="314"/>
      <c r="C55" s="314" t="s">
        <v>435</v>
      </c>
      <c r="D55" s="314" t="str">
        <f>_xlfn.IFERROR(VLOOKUP(C55,'Base de Monedas'!A:B,2,0),"")</f>
        <v>Guaraní</v>
      </c>
      <c r="E55" s="471">
        <v>3479959.278</v>
      </c>
      <c r="F55" s="471"/>
      <c r="H55" s="462" t="s">
        <v>846</v>
      </c>
      <c r="I55" s="314"/>
      <c r="J55" s="314" t="s">
        <v>435</v>
      </c>
      <c r="K55" s="462" t="str">
        <f>_xlfn.IFERROR(VLOOKUP(J55,'Base de Monedas'!A:B,2,0),"")</f>
        <v>Guaraní</v>
      </c>
      <c r="L55" s="471">
        <v>2485684.676</v>
      </c>
      <c r="N55" s="517"/>
      <c r="O55" s="523"/>
    </row>
    <row r="56" spans="1:15" s="462" customFormat="1" ht="15" customHeight="1">
      <c r="A56" s="462" t="s">
        <v>849</v>
      </c>
      <c r="B56" s="314"/>
      <c r="C56" s="314" t="s">
        <v>435</v>
      </c>
      <c r="D56" s="314" t="str">
        <f>_xlfn.IFERROR(VLOOKUP(C56,'Base de Monedas'!A:B,2,0),"")</f>
        <v>Guaraní</v>
      </c>
      <c r="E56" s="471">
        <v>-2581077.832</v>
      </c>
      <c r="F56" s="471"/>
      <c r="H56" s="462" t="s">
        <v>849</v>
      </c>
      <c r="I56" s="314"/>
      <c r="J56" s="314" t="s">
        <v>435</v>
      </c>
      <c r="K56" s="462" t="str">
        <f>_xlfn.IFERROR(VLOOKUP(J56,'Base de Monedas'!A:B,2,0),"")</f>
        <v>Guaraní</v>
      </c>
      <c r="L56" s="471">
        <v>-1912909.443</v>
      </c>
      <c r="N56" s="517"/>
      <c r="O56" s="523"/>
    </row>
    <row r="57" spans="1:15" s="462" customFormat="1" ht="15" customHeight="1">
      <c r="A57" s="520" t="s">
        <v>1048</v>
      </c>
      <c r="B57" s="314"/>
      <c r="C57" s="314" t="s">
        <v>435</v>
      </c>
      <c r="D57" s="314" t="str">
        <f>_xlfn.IFERROR(VLOOKUP(C57,'Base de Monedas'!A:B,2,0),"")</f>
        <v>Guaraní</v>
      </c>
      <c r="E57" s="471">
        <v>24339.9</v>
      </c>
      <c r="F57" s="471"/>
      <c r="H57" s="520" t="s">
        <v>1048</v>
      </c>
      <c r="I57" s="314"/>
      <c r="J57" s="314" t="s">
        <v>435</v>
      </c>
      <c r="K57" s="462" t="str">
        <f>_xlfn.IFERROR(VLOOKUP(J57,'Base de Monedas'!A:B,2,0),"")</f>
        <v>Guaraní</v>
      </c>
      <c r="L57" s="471">
        <v>93419.4</v>
      </c>
      <c r="N57" s="517"/>
      <c r="O57" s="523"/>
    </row>
    <row r="58" spans="1:8" ht="15" customHeight="1">
      <c r="A58" s="105" t="s">
        <v>120</v>
      </c>
      <c r="B58" s="314"/>
      <c r="C58" s="314"/>
      <c r="D58" s="314">
        <f>_xlfn.IFERROR(VLOOKUP(C58,'Base de Monedas'!A:B,2,0),"")</f>
      </c>
      <c r="F58" s="497"/>
      <c r="H58" s="105" t="s">
        <v>120</v>
      </c>
    </row>
    <row r="59" spans="1:8" ht="15" customHeight="1">
      <c r="A59" t="s">
        <v>846</v>
      </c>
      <c r="B59" s="314"/>
      <c r="C59" s="314"/>
      <c r="E59" s="471"/>
      <c r="F59" s="497"/>
      <c r="H59" s="462" t="s">
        <v>846</v>
      </c>
    </row>
    <row r="60" spans="1:13" ht="15" customHeight="1">
      <c r="A60" s="337" t="s">
        <v>849</v>
      </c>
      <c r="B60" s="338"/>
      <c r="C60" s="338"/>
      <c r="D60" s="338">
        <f>_xlfn.IFERROR(VLOOKUP(C60,'Base de Monedas'!A:B,2,0),"")</f>
      </c>
      <c r="E60" s="338"/>
      <c r="F60" s="521"/>
      <c r="G60" s="337"/>
      <c r="H60" s="337" t="s">
        <v>849</v>
      </c>
      <c r="I60" s="338"/>
      <c r="J60" s="337"/>
      <c r="K60" s="337"/>
      <c r="L60" s="337"/>
      <c r="M60" s="337"/>
    </row>
    <row r="61" spans="1:12" ht="15" customHeight="1">
      <c r="A61" s="105" t="s">
        <v>3</v>
      </c>
      <c r="C61" s="314"/>
      <c r="D61" s="314">
        <f>_xlfn.IFERROR(VLOOKUP(C61,'Base de Monedas'!A:B,2,0),"")</f>
      </c>
      <c r="E61" s="498">
        <f>SUM($E$12:E60)</f>
        <v>121955083.502</v>
      </c>
      <c r="J61" s="518"/>
      <c r="K61" s="513"/>
      <c r="L61" s="498">
        <f>SUM($L$12:L60)</f>
        <v>150939338.51700002</v>
      </c>
    </row>
    <row r="62" spans="1:11" ht="15" customHeight="1">
      <c r="A62" s="105"/>
      <c r="E62" s="498"/>
      <c r="J62" s="518"/>
      <c r="K62" s="513"/>
    </row>
    <row r="63" spans="5:11" ht="15" customHeight="1">
      <c r="E63" s="471"/>
      <c r="J63" s="518"/>
      <c r="K63" s="513"/>
    </row>
    <row r="64" spans="1:15" s="301" customFormat="1" ht="15" customHeight="1">
      <c r="A64" s="105" t="s">
        <v>840</v>
      </c>
      <c r="D64" s="460"/>
      <c r="E64" s="526"/>
      <c r="H64" s="462"/>
      <c r="I64" s="314"/>
      <c r="J64" s="260"/>
      <c r="K64" s="260"/>
      <c r="L64" s="260"/>
      <c r="M64" s="260"/>
      <c r="N64" s="517"/>
      <c r="O64" s="523"/>
    </row>
    <row r="65" spans="1:15" s="301" customFormat="1" ht="15" customHeight="1">
      <c r="A65" s="24"/>
      <c r="B65" s="423" t="s">
        <v>300</v>
      </c>
      <c r="C65" s="423"/>
      <c r="D65" s="406">
        <f>_xlfn.IFERROR(YEAR(Indice!B6),"2XX2")</f>
        <v>2021</v>
      </c>
      <c r="E65" s="405"/>
      <c r="F65" s="423"/>
      <c r="H65" s="462"/>
      <c r="I65" s="405"/>
      <c r="J65" s="423"/>
      <c r="K65" s="406">
        <f>_xlfn.IFERROR(YEAR(Indice!B6-365),"2XX1")</f>
        <v>2020</v>
      </c>
      <c r="L65" s="423"/>
      <c r="M65" s="423"/>
      <c r="N65" s="517"/>
      <c r="O65" s="523"/>
    </row>
    <row r="66" spans="1:15" s="301" customFormat="1" ht="15" customHeight="1">
      <c r="A66" s="135" t="s">
        <v>847</v>
      </c>
      <c r="B66" s="136" t="s">
        <v>117</v>
      </c>
      <c r="C66" s="317" t="s">
        <v>844</v>
      </c>
      <c r="D66" s="317" t="s">
        <v>331</v>
      </c>
      <c r="E66" s="135" t="s">
        <v>851</v>
      </c>
      <c r="F66" s="136" t="s">
        <v>118</v>
      </c>
      <c r="H66" s="135" t="s">
        <v>847</v>
      </c>
      <c r="I66" s="136" t="s">
        <v>117</v>
      </c>
      <c r="J66" s="317" t="s">
        <v>844</v>
      </c>
      <c r="K66" s="317" t="s">
        <v>331</v>
      </c>
      <c r="L66" s="135" t="s">
        <v>851</v>
      </c>
      <c r="M66" s="136" t="s">
        <v>119</v>
      </c>
      <c r="N66" s="517"/>
      <c r="O66" s="523"/>
    </row>
    <row r="67" spans="1:15" s="462" customFormat="1" ht="15" customHeight="1">
      <c r="A67" s="462" t="s">
        <v>981</v>
      </c>
      <c r="B67" s="500" t="s">
        <v>986</v>
      </c>
      <c r="E67" s="314" t="s">
        <v>986</v>
      </c>
      <c r="F67" s="314" t="s">
        <v>986</v>
      </c>
      <c r="H67" s="462" t="s">
        <v>981</v>
      </c>
      <c r="I67" s="493">
        <v>44070</v>
      </c>
      <c r="J67" s="314" t="s">
        <v>435</v>
      </c>
      <c r="K67" s="314" t="str">
        <f>_xlfn.IFERROR(VLOOKUP(J67,'Base de Monedas'!A:B,2,0),"")</f>
        <v>Guaraní</v>
      </c>
      <c r="L67" s="501">
        <v>2148627.848</v>
      </c>
      <c r="M67" s="314" t="s">
        <v>985</v>
      </c>
      <c r="N67" s="517"/>
      <c r="O67" s="523"/>
    </row>
    <row r="68" spans="1:15" s="462" customFormat="1" ht="15" customHeight="1">
      <c r="A68" s="462" t="s">
        <v>981</v>
      </c>
      <c r="B68" s="493" t="s">
        <v>986</v>
      </c>
      <c r="C68" s="314"/>
      <c r="D68" s="314"/>
      <c r="E68" s="496" t="s">
        <v>986</v>
      </c>
      <c r="F68" s="314" t="s">
        <v>986</v>
      </c>
      <c r="H68" s="462" t="s">
        <v>981</v>
      </c>
      <c r="I68" s="493">
        <v>44191</v>
      </c>
      <c r="J68" s="314" t="s">
        <v>435</v>
      </c>
      <c r="K68" s="314" t="str">
        <f>_xlfn.IFERROR(VLOOKUP(J68,'Base de Monedas'!A:B,2,0),"")</f>
        <v>Guaraní</v>
      </c>
      <c r="L68" s="501">
        <v>3200678.537</v>
      </c>
      <c r="M68" s="314" t="s">
        <v>985</v>
      </c>
      <c r="N68" s="517"/>
      <c r="O68" s="523"/>
    </row>
    <row r="69" spans="1:15" s="462" customFormat="1" ht="15" customHeight="1">
      <c r="A69" s="462" t="s">
        <v>982</v>
      </c>
      <c r="B69" s="493" t="s">
        <v>986</v>
      </c>
      <c r="C69" s="314"/>
      <c r="D69" s="314"/>
      <c r="E69" s="496" t="s">
        <v>986</v>
      </c>
      <c r="F69" s="314" t="s">
        <v>986</v>
      </c>
      <c r="H69" s="462" t="s">
        <v>982</v>
      </c>
      <c r="I69" s="493">
        <v>43975</v>
      </c>
      <c r="J69" s="314" t="s">
        <v>435</v>
      </c>
      <c r="K69" s="314" t="str">
        <f>_xlfn.IFERROR(VLOOKUP(J69,'Base de Monedas'!A:B,2,0),"")</f>
        <v>Guaraní</v>
      </c>
      <c r="L69" s="501">
        <v>1430086.741</v>
      </c>
      <c r="M69" s="314" t="s">
        <v>985</v>
      </c>
      <c r="N69" s="517"/>
      <c r="O69" s="523"/>
    </row>
    <row r="70" spans="1:15" s="462" customFormat="1" ht="15" customHeight="1">
      <c r="A70" s="462" t="s">
        <v>982</v>
      </c>
      <c r="B70" s="493" t="s">
        <v>986</v>
      </c>
      <c r="C70" s="314"/>
      <c r="D70" s="314"/>
      <c r="E70" s="496" t="s">
        <v>986</v>
      </c>
      <c r="F70" s="314" t="s">
        <v>986</v>
      </c>
      <c r="H70" s="462" t="s">
        <v>982</v>
      </c>
      <c r="I70" s="493">
        <v>44164</v>
      </c>
      <c r="J70" s="314" t="s">
        <v>435</v>
      </c>
      <c r="K70" s="314" t="str">
        <f>_xlfn.IFERROR(VLOOKUP(J70,'Base de Monedas'!A:B,2,0),"")</f>
        <v>Guaraní</v>
      </c>
      <c r="L70" s="501">
        <v>3666666.668</v>
      </c>
      <c r="M70" s="314" t="s">
        <v>985</v>
      </c>
      <c r="N70" s="517"/>
      <c r="O70" s="523"/>
    </row>
    <row r="71" spans="1:15" s="462" customFormat="1" ht="15" customHeight="1">
      <c r="A71" s="462" t="s">
        <v>982</v>
      </c>
      <c r="B71" s="500" t="s">
        <v>986</v>
      </c>
      <c r="E71" s="314" t="s">
        <v>986</v>
      </c>
      <c r="F71" s="314" t="s">
        <v>986</v>
      </c>
      <c r="H71" s="462" t="s">
        <v>982</v>
      </c>
      <c r="I71" s="493">
        <v>44071</v>
      </c>
      <c r="J71" s="314" t="s">
        <v>435</v>
      </c>
      <c r="K71" s="314" t="str">
        <f>_xlfn.IFERROR(VLOOKUP(J71,'Base de Monedas'!A:B,2,0),"")</f>
        <v>Guaraní</v>
      </c>
      <c r="L71" s="501">
        <v>2229805.782</v>
      </c>
      <c r="M71" s="314" t="s">
        <v>985</v>
      </c>
      <c r="N71" s="517"/>
      <c r="O71" s="523"/>
    </row>
    <row r="72" spans="1:15" s="301" customFormat="1" ht="15" customHeight="1">
      <c r="A72" s="301" t="s">
        <v>976</v>
      </c>
      <c r="B72" s="494">
        <v>44382</v>
      </c>
      <c r="C72" s="314" t="s">
        <v>435</v>
      </c>
      <c r="D72" s="314" t="str">
        <f>_xlfn.IFERROR(VLOOKUP(C72,'Base de Monedas'!A:B,2,0),"")</f>
        <v>Guaraní</v>
      </c>
      <c r="E72" s="497">
        <v>2916666.664</v>
      </c>
      <c r="F72" s="314" t="s">
        <v>985</v>
      </c>
      <c r="H72" s="462" t="s">
        <v>976</v>
      </c>
      <c r="I72" s="493" t="s">
        <v>986</v>
      </c>
      <c r="J72" s="314" t="s">
        <v>435</v>
      </c>
      <c r="K72" s="314" t="str">
        <f>_xlfn.IFERROR(VLOOKUP(J72,'Base de Monedas'!A:B,2,0),"")</f>
        <v>Guaraní</v>
      </c>
      <c r="L72" s="501" t="s">
        <v>986</v>
      </c>
      <c r="M72" s="314" t="s">
        <v>985</v>
      </c>
      <c r="N72" s="517"/>
      <c r="O72" s="523"/>
    </row>
    <row r="73" spans="1:15" s="301" customFormat="1" ht="15" customHeight="1">
      <c r="A73" s="301" t="s">
        <v>983</v>
      </c>
      <c r="B73" s="494">
        <v>44397</v>
      </c>
      <c r="C73" s="314" t="s">
        <v>435</v>
      </c>
      <c r="D73" s="314" t="str">
        <f>_xlfn.IFERROR(VLOOKUP(C73,'Base de Monedas'!A:B,2,0),"")</f>
        <v>Guaraní</v>
      </c>
      <c r="E73" s="497">
        <v>1955638.377</v>
      </c>
      <c r="F73" s="314" t="s">
        <v>985</v>
      </c>
      <c r="H73" s="462" t="s">
        <v>983</v>
      </c>
      <c r="I73" s="493">
        <v>44137</v>
      </c>
      <c r="J73" s="314" t="s">
        <v>435</v>
      </c>
      <c r="K73" s="314" t="str">
        <f>_xlfn.IFERROR(VLOOKUP(J73,'Base de Monedas'!A:B,2,0),"")</f>
        <v>Guaraní</v>
      </c>
      <c r="L73" s="501">
        <v>6810180.094</v>
      </c>
      <c r="M73" s="314" t="s">
        <v>985</v>
      </c>
      <c r="N73" s="517"/>
      <c r="O73" s="523"/>
    </row>
    <row r="74" spans="1:15" s="462" customFormat="1" ht="15" customHeight="1">
      <c r="A74" s="462" t="s">
        <v>977</v>
      </c>
      <c r="B74" s="494">
        <v>44439</v>
      </c>
      <c r="C74" s="314" t="s">
        <v>435</v>
      </c>
      <c r="D74" s="314" t="str">
        <f>_xlfn.IFERROR(VLOOKUP(C74,'Base de Monedas'!A:B,2,0),"")</f>
        <v>Guaraní</v>
      </c>
      <c r="E74" s="497">
        <v>194592.453</v>
      </c>
      <c r="F74" s="314" t="s">
        <v>985</v>
      </c>
      <c r="H74" s="462" t="s">
        <v>977</v>
      </c>
      <c r="I74" s="314" t="s">
        <v>986</v>
      </c>
      <c r="J74" s="314" t="s">
        <v>435</v>
      </c>
      <c r="K74" s="314" t="str">
        <f>_xlfn.IFERROR(VLOOKUP(J74,'Base de Monedas'!A:B,2,0),"")</f>
        <v>Guaraní</v>
      </c>
      <c r="L74" s="515" t="s">
        <v>986</v>
      </c>
      <c r="M74" s="314" t="s">
        <v>985</v>
      </c>
      <c r="N74" s="517"/>
      <c r="O74" s="523"/>
    </row>
    <row r="75" spans="1:15" s="462" customFormat="1" ht="15" customHeight="1">
      <c r="A75" s="462" t="s">
        <v>977</v>
      </c>
      <c r="B75" s="494">
        <v>44514</v>
      </c>
      <c r="C75" s="314" t="s">
        <v>435</v>
      </c>
      <c r="D75" s="314" t="str">
        <f>_xlfn.IFERROR(VLOOKUP(C75,'Base de Monedas'!A:B,2,0),"")</f>
        <v>Guaraní</v>
      </c>
      <c r="E75" s="497">
        <v>575562.892</v>
      </c>
      <c r="F75" s="314" t="s">
        <v>985</v>
      </c>
      <c r="H75" s="462" t="s">
        <v>977</v>
      </c>
      <c r="I75" s="314" t="s">
        <v>986</v>
      </c>
      <c r="J75" s="314" t="s">
        <v>435</v>
      </c>
      <c r="K75" s="314" t="str">
        <f>_xlfn.IFERROR(VLOOKUP(J75,'Base de Monedas'!A:B,2,0),"")</f>
        <v>Guaraní</v>
      </c>
      <c r="L75" s="515" t="s">
        <v>986</v>
      </c>
      <c r="M75" s="314" t="s">
        <v>985</v>
      </c>
      <c r="N75" s="517"/>
      <c r="O75" s="523"/>
    </row>
    <row r="76" spans="1:15" s="462" customFormat="1" ht="15" customHeight="1">
      <c r="A76" s="462" t="s">
        <v>977</v>
      </c>
      <c r="B76" s="494">
        <v>44484</v>
      </c>
      <c r="C76" s="314" t="s">
        <v>435</v>
      </c>
      <c r="D76" s="314" t="str">
        <f>_xlfn.IFERROR(VLOOKUP(C76,'Base de Monedas'!A:B,2,0),"")</f>
        <v>Guaraní</v>
      </c>
      <c r="E76" s="497">
        <v>504015.95</v>
      </c>
      <c r="F76" s="314" t="s">
        <v>985</v>
      </c>
      <c r="H76" s="462" t="s">
        <v>977</v>
      </c>
      <c r="I76" s="314" t="s">
        <v>986</v>
      </c>
      <c r="J76" s="314" t="s">
        <v>435</v>
      </c>
      <c r="K76" s="314" t="str">
        <f>_xlfn.IFERROR(VLOOKUP(J76,'Base de Monedas'!A:B,2,0),"")</f>
        <v>Guaraní</v>
      </c>
      <c r="L76" s="515" t="s">
        <v>986</v>
      </c>
      <c r="M76" s="314" t="s">
        <v>985</v>
      </c>
      <c r="N76" s="517"/>
      <c r="O76" s="523"/>
    </row>
    <row r="77" spans="1:15" s="462" customFormat="1" ht="15" customHeight="1">
      <c r="A77" s="462" t="s">
        <v>977</v>
      </c>
      <c r="B77" s="494">
        <v>44456</v>
      </c>
      <c r="C77" s="314" t="s">
        <v>435</v>
      </c>
      <c r="D77" s="314" t="str">
        <f>_xlfn.IFERROR(VLOOKUP(C77,'Base de Monedas'!A:B,2,0),"")</f>
        <v>Guaraní</v>
      </c>
      <c r="E77" s="497">
        <v>432352.395</v>
      </c>
      <c r="F77" s="314" t="s">
        <v>985</v>
      </c>
      <c r="H77" s="462" t="s">
        <v>977</v>
      </c>
      <c r="I77" s="501" t="s">
        <v>986</v>
      </c>
      <c r="J77" s="314" t="s">
        <v>435</v>
      </c>
      <c r="K77" s="314" t="str">
        <f>_xlfn.IFERROR(VLOOKUP(J77,'Base de Monedas'!A:B,2,0),"")</f>
        <v>Guaraní</v>
      </c>
      <c r="L77" s="501" t="s">
        <v>986</v>
      </c>
      <c r="M77" s="314" t="s">
        <v>985</v>
      </c>
      <c r="N77" s="517"/>
      <c r="O77" s="523"/>
    </row>
    <row r="78" spans="1:15" s="462" customFormat="1" ht="15" customHeight="1">
      <c r="A78" s="462" t="s">
        <v>984</v>
      </c>
      <c r="B78" s="494">
        <v>44520</v>
      </c>
      <c r="C78" s="314" t="s">
        <v>435</v>
      </c>
      <c r="D78" s="314" t="str">
        <f>_xlfn.IFERROR(VLOOKUP(C78,'Base de Monedas'!A:B,2,0),"")</f>
        <v>Guaraní</v>
      </c>
      <c r="E78" s="497">
        <v>2637144.644</v>
      </c>
      <c r="F78" s="314" t="s">
        <v>985</v>
      </c>
      <c r="H78" s="462" t="s">
        <v>984</v>
      </c>
      <c r="I78" s="493">
        <v>44160</v>
      </c>
      <c r="J78" s="314" t="s">
        <v>435</v>
      </c>
      <c r="K78" s="314" t="str">
        <f>_xlfn.IFERROR(VLOOKUP(J78,'Base de Monedas'!A:B,2,0),"")</f>
        <v>Guaraní</v>
      </c>
      <c r="L78" s="501">
        <v>4284645.044</v>
      </c>
      <c r="M78" s="314" t="s">
        <v>985</v>
      </c>
      <c r="N78" s="517"/>
      <c r="O78" s="523"/>
    </row>
    <row r="79" spans="1:15" s="462" customFormat="1" ht="15" customHeight="1">
      <c r="A79" s="462" t="s">
        <v>990</v>
      </c>
      <c r="B79" s="494">
        <v>44648</v>
      </c>
      <c r="C79" s="314" t="s">
        <v>435</v>
      </c>
      <c r="D79" s="314" t="str">
        <f>_xlfn.IFERROR(VLOOKUP(C79,'Base de Monedas'!A:B,2,0),"")</f>
        <v>Guaraní</v>
      </c>
      <c r="E79" s="497">
        <v>11102938.674</v>
      </c>
      <c r="F79" s="314" t="s">
        <v>985</v>
      </c>
      <c r="H79" s="462" t="s">
        <v>990</v>
      </c>
      <c r="I79" s="501" t="s">
        <v>986</v>
      </c>
      <c r="J79" s="314" t="s">
        <v>435</v>
      </c>
      <c r="K79" s="314" t="str">
        <f>_xlfn.IFERROR(VLOOKUP(J79,'Base de Monedas'!A:B,2,0),"")</f>
        <v>Guaraní</v>
      </c>
      <c r="L79" s="501" t="s">
        <v>986</v>
      </c>
      <c r="M79" s="314" t="s">
        <v>985</v>
      </c>
      <c r="N79" s="517"/>
      <c r="O79" s="523"/>
    </row>
    <row r="80" spans="1:15" s="462" customFormat="1" ht="15" customHeight="1">
      <c r="A80" s="462" t="s">
        <v>983</v>
      </c>
      <c r="B80" s="494">
        <v>44685</v>
      </c>
      <c r="C80" s="314" t="s">
        <v>435</v>
      </c>
      <c r="D80" s="314" t="str">
        <f>_xlfn.IFERROR(VLOOKUP(C80,'Base de Monedas'!A:B,2,0),"")</f>
        <v>Guaraní</v>
      </c>
      <c r="E80" s="497">
        <v>2498574.832</v>
      </c>
      <c r="F80" s="314" t="s">
        <v>985</v>
      </c>
      <c r="H80" s="462" t="s">
        <v>983</v>
      </c>
      <c r="I80" s="493" t="s">
        <v>986</v>
      </c>
      <c r="J80" s="314" t="s">
        <v>435</v>
      </c>
      <c r="K80" s="314" t="str">
        <f>_xlfn.IFERROR(VLOOKUP(J80,'Base de Monedas'!A:B,2,0),"")</f>
        <v>Guaraní</v>
      </c>
      <c r="L80" s="501" t="s">
        <v>986</v>
      </c>
      <c r="M80" s="314" t="s">
        <v>985</v>
      </c>
      <c r="N80" s="517"/>
      <c r="O80" s="523"/>
    </row>
    <row r="81" spans="1:15" s="462" customFormat="1" ht="15" customHeight="1">
      <c r="A81" s="462" t="s">
        <v>991</v>
      </c>
      <c r="B81" s="494" t="s">
        <v>986</v>
      </c>
      <c r="C81" s="314"/>
      <c r="D81" s="314"/>
      <c r="E81" s="494" t="s">
        <v>986</v>
      </c>
      <c r="F81" s="494" t="s">
        <v>986</v>
      </c>
      <c r="H81" s="462" t="s">
        <v>991</v>
      </c>
      <c r="I81" s="492">
        <v>44076</v>
      </c>
      <c r="J81" s="314" t="s">
        <v>435</v>
      </c>
      <c r="K81" s="314" t="str">
        <f>_xlfn.IFERROR(VLOOKUP(J81,'Base de Monedas'!A:B,2,0),"")</f>
        <v>Guaraní</v>
      </c>
      <c r="L81" s="501">
        <v>2311278.743</v>
      </c>
      <c r="M81" s="314" t="s">
        <v>985</v>
      </c>
      <c r="N81" s="517"/>
      <c r="O81" s="523"/>
    </row>
    <row r="82" spans="1:15" s="462" customFormat="1" ht="15" customHeight="1">
      <c r="A82" s="462" t="s">
        <v>992</v>
      </c>
      <c r="B82" s="494" t="s">
        <v>986</v>
      </c>
      <c r="C82" s="314"/>
      <c r="D82" s="314"/>
      <c r="E82" s="494" t="s">
        <v>986</v>
      </c>
      <c r="F82" s="494" t="s">
        <v>986</v>
      </c>
      <c r="H82" s="462" t="s">
        <v>992</v>
      </c>
      <c r="I82" s="492">
        <v>44011</v>
      </c>
      <c r="J82" s="314" t="s">
        <v>435</v>
      </c>
      <c r="K82" s="314" t="str">
        <f>_xlfn.IFERROR(VLOOKUP(J82,'Base de Monedas'!A:B,2,0),"")</f>
        <v>Guaraní</v>
      </c>
      <c r="L82" s="501">
        <v>2628025.624</v>
      </c>
      <c r="M82" s="314" t="s">
        <v>985</v>
      </c>
      <c r="N82" s="517"/>
      <c r="O82" s="523"/>
    </row>
    <row r="83" spans="1:15" s="462" customFormat="1" ht="15" customHeight="1">
      <c r="A83" s="462" t="s">
        <v>992</v>
      </c>
      <c r="B83" s="494" t="s">
        <v>986</v>
      </c>
      <c r="C83" s="314"/>
      <c r="D83" s="314"/>
      <c r="E83" s="494" t="s">
        <v>986</v>
      </c>
      <c r="F83" s="494" t="s">
        <v>986</v>
      </c>
      <c r="H83" s="462" t="s">
        <v>992</v>
      </c>
      <c r="I83" s="492">
        <v>44074</v>
      </c>
      <c r="J83" s="314" t="s">
        <v>435</v>
      </c>
      <c r="K83" s="314" t="str">
        <f>_xlfn.IFERROR(VLOOKUP(J83,'Base de Monedas'!A:B,2,0),"")</f>
        <v>Guaraní</v>
      </c>
      <c r="L83" s="496">
        <v>2168905.706</v>
      </c>
      <c r="M83" s="314" t="s">
        <v>985</v>
      </c>
      <c r="N83" s="517"/>
      <c r="O83" s="523"/>
    </row>
    <row r="84" spans="1:15" s="462" customFormat="1" ht="15" customHeight="1">
      <c r="A84" s="462" t="s">
        <v>1023</v>
      </c>
      <c r="B84" s="494">
        <v>2021</v>
      </c>
      <c r="C84" s="314" t="s">
        <v>435</v>
      </c>
      <c r="D84" s="314" t="str">
        <f>_xlfn.IFERROR(VLOOKUP(C84,'Base de Monedas'!A:B,2,0),"")</f>
        <v>Guaraní</v>
      </c>
      <c r="E84" s="471">
        <v>49228045.51</v>
      </c>
      <c r="F84" s="471" t="s">
        <v>1024</v>
      </c>
      <c r="H84" s="462" t="s">
        <v>1023</v>
      </c>
      <c r="I84" s="492">
        <v>2021</v>
      </c>
      <c r="J84" s="314" t="s">
        <v>435</v>
      </c>
      <c r="K84" s="314" t="str">
        <f>_xlfn.IFERROR(VLOOKUP(J84,'Base de Monedas'!A:B,2,0),"")</f>
        <v>Guaraní</v>
      </c>
      <c r="L84" s="496">
        <v>29106876.6</v>
      </c>
      <c r="M84" s="471" t="s">
        <v>1024</v>
      </c>
      <c r="N84" s="517"/>
      <c r="O84" s="523"/>
    </row>
    <row r="85" spans="1:15" s="301" customFormat="1" ht="15" customHeight="1">
      <c r="A85" s="301" t="s">
        <v>254</v>
      </c>
      <c r="C85" s="314"/>
      <c r="D85" s="314">
        <f>_xlfn.IFERROR(VLOOKUP(C85,'Base de Monedas'!A:B,2,0),"")</f>
      </c>
      <c r="E85" s="314"/>
      <c r="H85" s="462"/>
      <c r="I85" s="314"/>
      <c r="J85" s="314"/>
      <c r="K85" s="314"/>
      <c r="L85" s="496"/>
      <c r="N85" s="517"/>
      <c r="O85" s="523"/>
    </row>
    <row r="86" spans="1:15" s="301" customFormat="1" ht="15" customHeight="1">
      <c r="A86" s="335" t="s">
        <v>123</v>
      </c>
      <c r="C86" s="314"/>
      <c r="D86" s="314">
        <f>_xlfn.IFERROR(VLOOKUP(C86,'Base de Monedas'!A:B,2,0),"")</f>
      </c>
      <c r="H86" s="462"/>
      <c r="I86" s="314"/>
      <c r="J86" s="314"/>
      <c r="K86" s="314"/>
      <c r="L86" s="496"/>
      <c r="N86" s="517"/>
      <c r="O86" s="523"/>
    </row>
    <row r="87" spans="1:15" s="301" customFormat="1" ht="15" customHeight="1">
      <c r="A87" s="135" t="s">
        <v>845</v>
      </c>
      <c r="C87" s="314"/>
      <c r="D87" s="314">
        <f>_xlfn.IFERROR(VLOOKUP(C87,'Base de Monedas'!A:B,2,0),"")</f>
      </c>
      <c r="E87" s="314"/>
      <c r="H87" s="135" t="s">
        <v>845</v>
      </c>
      <c r="J87" s="462"/>
      <c r="K87" s="314"/>
      <c r="L87" s="496"/>
      <c r="N87" s="517"/>
      <c r="O87" s="523"/>
    </row>
    <row r="88" spans="1:15" s="301" customFormat="1" ht="15" customHeight="1">
      <c r="A88" s="301" t="s">
        <v>843</v>
      </c>
      <c r="C88" s="314"/>
      <c r="D88" s="314">
        <f>_xlfn.IFERROR(VLOOKUP(C88,'Base de Monedas'!A:B,2,0),"")</f>
      </c>
      <c r="E88" s="314"/>
      <c r="H88" s="462" t="s">
        <v>843</v>
      </c>
      <c r="J88" s="462"/>
      <c r="K88" s="314"/>
      <c r="L88" s="496"/>
      <c r="N88" s="517"/>
      <c r="O88" s="523"/>
    </row>
    <row r="89" spans="1:15" s="301" customFormat="1" ht="15" customHeight="1">
      <c r="A89" s="301" t="s">
        <v>843</v>
      </c>
      <c r="C89" s="314"/>
      <c r="D89" s="314">
        <f>_xlfn.IFERROR(VLOOKUP(C89,'Base de Monedas'!A:B,2,0),"")</f>
      </c>
      <c r="E89" s="314"/>
      <c r="H89" s="462" t="s">
        <v>843</v>
      </c>
      <c r="J89" s="462"/>
      <c r="K89" s="314"/>
      <c r="N89" s="517"/>
      <c r="O89" s="523"/>
    </row>
    <row r="90" spans="1:15" s="301" customFormat="1" ht="15" customHeight="1">
      <c r="A90" s="335" t="s">
        <v>122</v>
      </c>
      <c r="C90" s="314"/>
      <c r="D90" s="314">
        <f>_xlfn.IFERROR(VLOOKUP(C90,'Base de Monedas'!A:B,2,0),"")</f>
      </c>
      <c r="E90" s="314"/>
      <c r="H90" s="335" t="s">
        <v>122</v>
      </c>
      <c r="J90" s="462"/>
      <c r="K90" s="314"/>
      <c r="N90" s="517"/>
      <c r="O90" s="523"/>
    </row>
    <row r="91" spans="1:15" s="301" customFormat="1" ht="15" customHeight="1">
      <c r="A91" s="301" t="s">
        <v>254</v>
      </c>
      <c r="C91" s="314"/>
      <c r="D91" s="314">
        <f>_xlfn.IFERROR(VLOOKUP(C91,'Base de Monedas'!A:B,2,0),"")</f>
      </c>
      <c r="E91" s="314"/>
      <c r="H91" s="462" t="s">
        <v>254</v>
      </c>
      <c r="J91" s="462"/>
      <c r="K91" s="314"/>
      <c r="N91" s="517"/>
      <c r="O91" s="523"/>
    </row>
    <row r="92" spans="1:15" s="301" customFormat="1" ht="15" customHeight="1">
      <c r="A92" s="335" t="s">
        <v>123</v>
      </c>
      <c r="C92" s="314"/>
      <c r="D92" s="314">
        <f>_xlfn.IFERROR(VLOOKUP(C92,'Base de Monedas'!A:B,2,0),"")</f>
      </c>
      <c r="E92" s="314"/>
      <c r="H92" s="335" t="s">
        <v>123</v>
      </c>
      <c r="J92" s="462"/>
      <c r="K92" s="314"/>
      <c r="N92" s="517"/>
      <c r="O92" s="523"/>
    </row>
    <row r="93" spans="1:15" s="301" customFormat="1" ht="15" customHeight="1">
      <c r="A93" s="105" t="s">
        <v>848</v>
      </c>
      <c r="C93" s="314"/>
      <c r="D93" s="314">
        <f>_xlfn.IFERROR(VLOOKUP(C93,'Base de Monedas'!A:B,2,0),"")</f>
      </c>
      <c r="E93" s="314"/>
      <c r="H93" s="105" t="s">
        <v>848</v>
      </c>
      <c r="J93" s="462"/>
      <c r="K93" s="314"/>
      <c r="N93" s="517"/>
      <c r="O93" s="523"/>
    </row>
    <row r="94" spans="1:15" s="301" customFormat="1" ht="15" customHeight="1">
      <c r="A94" s="301" t="s">
        <v>846</v>
      </c>
      <c r="C94" s="314" t="s">
        <v>435</v>
      </c>
      <c r="D94" s="314" t="str">
        <f>_xlfn.IFERROR(VLOOKUP(C94,'Base de Monedas'!A:B,2,0),"")</f>
        <v>Guaraní</v>
      </c>
      <c r="E94" s="471">
        <v>1229236.964</v>
      </c>
      <c r="H94" s="462" t="s">
        <v>846</v>
      </c>
      <c r="J94" s="314" t="s">
        <v>435</v>
      </c>
      <c r="K94" s="314" t="str">
        <f>_xlfn.IFERROR(VLOOKUP(J94,'Base de Monedas'!A:B,2,0),"")</f>
        <v>Guaraní</v>
      </c>
      <c r="L94" s="471">
        <v>971564.683</v>
      </c>
      <c r="M94" s="524"/>
      <c r="N94" s="524"/>
      <c r="O94" s="523"/>
    </row>
    <row r="95" spans="1:15" s="301" customFormat="1" ht="15" customHeight="1">
      <c r="A95" s="301" t="s">
        <v>849</v>
      </c>
      <c r="C95" s="314" t="s">
        <v>435</v>
      </c>
      <c r="D95" s="314" t="str">
        <f>_xlfn.IFERROR(VLOOKUP(C95,'Base de Monedas'!A:B,2,0),"")</f>
        <v>Guaraní</v>
      </c>
      <c r="E95" s="471">
        <v>-1153057.772</v>
      </c>
      <c r="H95" s="462" t="s">
        <v>849</v>
      </c>
      <c r="J95" s="314" t="s">
        <v>435</v>
      </c>
      <c r="K95" s="314" t="str">
        <f>_xlfn.IFERROR(VLOOKUP(J95,'Base de Monedas'!A:B,2,0),"")</f>
        <v>Guaraní</v>
      </c>
      <c r="L95" s="471">
        <v>-876666.882</v>
      </c>
      <c r="N95" s="517"/>
      <c r="O95" s="523"/>
    </row>
    <row r="96" spans="1:15" s="462" customFormat="1" ht="15" customHeight="1">
      <c r="A96" s="105" t="s">
        <v>1023</v>
      </c>
      <c r="C96" s="314"/>
      <c r="D96" s="314"/>
      <c r="E96" s="471"/>
      <c r="H96" s="105" t="s">
        <v>1023</v>
      </c>
      <c r="L96" s="471"/>
      <c r="M96" s="517"/>
      <c r="N96" s="517"/>
      <c r="O96" s="523"/>
    </row>
    <row r="97" spans="1:15" s="462" customFormat="1" ht="15" customHeight="1">
      <c r="A97" s="462" t="s">
        <v>846</v>
      </c>
      <c r="C97" s="314" t="s">
        <v>435</v>
      </c>
      <c r="D97" s="314" t="str">
        <f>_xlfn.IFERROR(VLOOKUP(C97,'Base de Monedas'!A:B,2,0),"")</f>
        <v>Guaraní</v>
      </c>
      <c r="E97" s="471">
        <v>7956674.857</v>
      </c>
      <c r="H97" s="462" t="s">
        <v>846</v>
      </c>
      <c r="J97" s="314" t="s">
        <v>435</v>
      </c>
      <c r="K97" s="314" t="str">
        <f>_xlfn.IFERROR(VLOOKUP(J97,'Base de Monedas'!A:B,2,0),"")</f>
        <v>Guaraní</v>
      </c>
      <c r="L97" s="471">
        <v>2872183.5</v>
      </c>
      <c r="M97" s="525"/>
      <c r="N97" s="525"/>
      <c r="O97" s="523"/>
    </row>
    <row r="98" spans="1:15" s="462" customFormat="1" ht="15" customHeight="1">
      <c r="A98" s="462" t="s">
        <v>849</v>
      </c>
      <c r="C98" s="314" t="s">
        <v>435</v>
      </c>
      <c r="D98" s="314" t="str">
        <f>_xlfn.IFERROR(VLOOKUP(C98,'Base de Monedas'!A:B,2,0),"")</f>
        <v>Guaraní</v>
      </c>
      <c r="E98" s="471">
        <v>-7537487.873</v>
      </c>
      <c r="H98" s="462" t="s">
        <v>849</v>
      </c>
      <c r="J98" s="314" t="s">
        <v>435</v>
      </c>
      <c r="K98" s="314" t="str">
        <f>_xlfn.IFERROR(VLOOKUP(J98,'Base de Monedas'!A:B,2,0),"")</f>
        <v>Guaraní</v>
      </c>
      <c r="L98" s="471">
        <v>-2578539.9</v>
      </c>
      <c r="M98" s="517"/>
      <c r="N98" s="517"/>
      <c r="O98" s="523"/>
    </row>
    <row r="99" spans="1:15" s="301" customFormat="1" ht="15" customHeight="1">
      <c r="A99" s="105" t="s">
        <v>120</v>
      </c>
      <c r="C99" s="314"/>
      <c r="D99" s="314">
        <f>_xlfn.IFERROR(VLOOKUP(C99,'Base de Monedas'!A:B,2,0),"")</f>
      </c>
      <c r="E99" s="314"/>
      <c r="H99" s="105" t="s">
        <v>120</v>
      </c>
      <c r="J99" s="462"/>
      <c r="K99" s="301">
        <f>_xlfn.IFERROR(VLOOKUP(#REF!,'Base de Monedas'!A:B,2,0),"")</f>
      </c>
      <c r="L99" s="471"/>
      <c r="N99" s="517"/>
      <c r="O99" s="523"/>
    </row>
    <row r="100" spans="1:15" s="301" customFormat="1" ht="15" customHeight="1">
      <c r="A100" s="301" t="s">
        <v>846</v>
      </c>
      <c r="C100" s="314"/>
      <c r="D100" s="314"/>
      <c r="E100" s="314"/>
      <c r="H100" s="462" t="s">
        <v>846</v>
      </c>
      <c r="J100" s="462"/>
      <c r="K100" s="301">
        <f>_xlfn.IFERROR(VLOOKUP(#REF!,'Base de Monedas'!A:B,2,0),"")</f>
      </c>
      <c r="N100" s="517"/>
      <c r="O100" s="523"/>
    </row>
    <row r="101" spans="1:15" s="301" customFormat="1" ht="15" customHeight="1">
      <c r="A101" s="337" t="s">
        <v>849</v>
      </c>
      <c r="B101" s="337"/>
      <c r="C101" s="338"/>
      <c r="D101" s="338">
        <f>_xlfn.IFERROR(VLOOKUP(C101,'Base de Monedas'!A:B,2,0),"")</f>
      </c>
      <c r="E101" s="338"/>
      <c r="H101" s="337" t="s">
        <v>849</v>
      </c>
      <c r="J101" s="337"/>
      <c r="K101" s="337"/>
      <c r="L101" s="337"/>
      <c r="M101" s="337"/>
      <c r="N101" s="517"/>
      <c r="O101" s="523"/>
    </row>
    <row r="102" spans="1:15" s="301" customFormat="1" ht="15" customHeight="1">
      <c r="A102" s="105" t="s">
        <v>3</v>
      </c>
      <c r="C102" s="314"/>
      <c r="D102" s="314">
        <f>_xlfn.IFERROR(VLOOKUP(C102,'Base de Monedas'!A:B,2,0),"")</f>
      </c>
      <c r="E102" s="498">
        <f>SUM($E$67:E101)</f>
        <v>72540898.567</v>
      </c>
      <c r="H102" s="462"/>
      <c r="I102" s="314"/>
      <c r="J102" s="314"/>
      <c r="K102" s="301">
        <f>_xlfn.IFERROR(VLOOKUP(J102,'Base de Monedas'!A:B,2,0),"")</f>
      </c>
      <c r="L102" s="498">
        <f>SUM($L$67:L101)</f>
        <v>60374318.788</v>
      </c>
      <c r="N102" s="517"/>
      <c r="O102" s="523"/>
    </row>
    <row r="103" spans="5:11" ht="15" customHeight="1">
      <c r="E103" s="471"/>
      <c r="J103" s="314"/>
      <c r="K103" s="301">
        <f>_xlfn.IFERROR(VLOOKUP(J103,'Base de Monedas'!H:I,2,0),"")</f>
      </c>
    </row>
    <row r="104" ht="15" customHeight="1">
      <c r="E104" s="471"/>
    </row>
    <row r="105" spans="4:12" ht="15" customHeight="1">
      <c r="D105" s="516"/>
      <c r="E105" s="719"/>
      <c r="F105" s="517"/>
      <c r="G105" s="517"/>
      <c r="H105" s="517"/>
      <c r="I105" s="516"/>
      <c r="L105" s="471"/>
    </row>
    <row r="106" spans="4:12" ht="15" customHeight="1">
      <c r="D106" s="516"/>
      <c r="E106" s="719"/>
      <c r="F106" s="517"/>
      <c r="G106" s="517"/>
      <c r="H106" s="517"/>
      <c r="I106" s="516"/>
      <c r="L106" s="471"/>
    </row>
    <row r="107" spans="4:12" ht="15" customHeight="1">
      <c r="D107" s="516"/>
      <c r="E107" s="516"/>
      <c r="F107" s="517"/>
      <c r="G107" s="517"/>
      <c r="H107" s="517"/>
      <c r="I107" s="516"/>
      <c r="L107" s="471"/>
    </row>
    <row r="108" spans="4:9" ht="15" customHeight="1">
      <c r="D108" s="513"/>
      <c r="E108" s="514"/>
      <c r="F108" s="513"/>
      <c r="G108" s="517"/>
      <c r="H108" s="517"/>
      <c r="I108" s="516"/>
    </row>
    <row r="109" spans="4:9" ht="15" customHeight="1">
      <c r="D109" s="513"/>
      <c r="E109" s="514"/>
      <c r="F109" s="513"/>
      <c r="G109" s="517"/>
      <c r="H109" s="517"/>
      <c r="I109" s="516"/>
    </row>
    <row r="110" spans="4:9" ht="15" customHeight="1">
      <c r="D110" s="513"/>
      <c r="E110" s="514"/>
      <c r="F110" s="513"/>
      <c r="G110" s="517"/>
      <c r="H110" s="517"/>
      <c r="I110" s="516"/>
    </row>
    <row r="111" spans="4:9" ht="15" customHeight="1">
      <c r="D111" s="513"/>
      <c r="E111" s="514"/>
      <c r="F111" s="513"/>
      <c r="G111" s="517"/>
      <c r="H111" s="517"/>
      <c r="I111" s="516"/>
    </row>
    <row r="112" spans="4:9" ht="15" customHeight="1">
      <c r="D112" s="513"/>
      <c r="E112" s="514"/>
      <c r="F112" s="513"/>
      <c r="G112" s="517"/>
      <c r="H112" s="517"/>
      <c r="I112" s="516"/>
    </row>
    <row r="113" spans="4:13" ht="15" customHeight="1">
      <c r="D113" s="513"/>
      <c r="E113" s="514"/>
      <c r="F113" s="513"/>
      <c r="G113" s="517"/>
      <c r="H113" s="517"/>
      <c r="I113" s="516"/>
      <c r="K113" s="465"/>
      <c r="L113" s="465"/>
      <c r="M113" s="465"/>
    </row>
    <row r="114" spans="4:9" ht="15" customHeight="1">
      <c r="D114" s="513"/>
      <c r="E114" s="514"/>
      <c r="F114" s="513"/>
      <c r="G114" s="517"/>
      <c r="H114" s="517"/>
      <c r="I114" s="516"/>
    </row>
    <row r="115" spans="4:9" ht="15" customHeight="1">
      <c r="D115" s="513"/>
      <c r="E115" s="514"/>
      <c r="F115" s="513"/>
      <c r="G115" s="517"/>
      <c r="H115" s="517"/>
      <c r="I115" s="516"/>
    </row>
    <row r="116" spans="4:9" ht="15" customHeight="1">
      <c r="D116" s="513"/>
      <c r="E116" s="514"/>
      <c r="F116" s="513"/>
      <c r="G116" s="517"/>
      <c r="H116" s="517"/>
      <c r="I116" s="516"/>
    </row>
    <row r="117" spans="4:9" ht="15" customHeight="1">
      <c r="D117" s="516"/>
      <c r="E117" s="516"/>
      <c r="F117" s="517"/>
      <c r="G117" s="517"/>
      <c r="H117" s="517"/>
      <c r="I117" s="516"/>
    </row>
    <row r="118" spans="4:9" ht="15" customHeight="1">
      <c r="D118" s="516"/>
      <c r="E118" s="516"/>
      <c r="F118" s="517"/>
      <c r="G118" s="517"/>
      <c r="H118" s="517"/>
      <c r="I118" s="516"/>
    </row>
    <row r="119" spans="4:9" ht="15" customHeight="1">
      <c r="D119" s="516"/>
      <c r="E119" s="516"/>
      <c r="F119" s="517"/>
      <c r="G119" s="517"/>
      <c r="H119" s="517"/>
      <c r="I119" s="516"/>
    </row>
    <row r="120" spans="4:9" ht="15" customHeight="1">
      <c r="D120" s="516"/>
      <c r="E120" s="516"/>
      <c r="F120" s="517"/>
      <c r="G120" s="517"/>
      <c r="H120" s="517"/>
      <c r="I120" s="516"/>
    </row>
    <row r="121" spans="4:9" ht="15" customHeight="1">
      <c r="D121" s="516"/>
      <c r="E121" s="516"/>
      <c r="F121" s="517"/>
      <c r="G121" s="517"/>
      <c r="H121" s="517"/>
      <c r="I121" s="516"/>
    </row>
    <row r="122" spans="4:9" ht="15" customHeight="1">
      <c r="D122" s="516"/>
      <c r="E122" s="516"/>
      <c r="F122" s="517"/>
      <c r="G122" s="517"/>
      <c r="H122" s="517"/>
      <c r="I122" s="516"/>
    </row>
    <row r="123" spans="4:9" ht="15" customHeight="1">
      <c r="D123" s="516"/>
      <c r="E123" s="516"/>
      <c r="F123" s="517"/>
      <c r="G123" s="517"/>
      <c r="H123" s="517"/>
      <c r="I123" s="516"/>
    </row>
    <row r="124" spans="4:9" ht="15" customHeight="1">
      <c r="D124" s="516"/>
      <c r="E124" s="516"/>
      <c r="F124" s="517"/>
      <c r="G124" s="517"/>
      <c r="H124" s="517"/>
      <c r="I124" s="516"/>
    </row>
    <row r="125" spans="4:9" ht="15" customHeight="1">
      <c r="D125" s="516"/>
      <c r="E125" s="516"/>
      <c r="F125" s="517"/>
      <c r="G125" s="517"/>
      <c r="H125" s="517"/>
      <c r="I125" s="516"/>
    </row>
    <row r="126" spans="4:9" ht="15" customHeight="1">
      <c r="D126" s="516"/>
      <c r="E126" s="516"/>
      <c r="F126" s="517"/>
      <c r="G126" s="517"/>
      <c r="H126" s="517"/>
      <c r="I126" s="516"/>
    </row>
    <row r="127" spans="4:9" ht="15" customHeight="1">
      <c r="D127" s="516"/>
      <c r="E127" s="516"/>
      <c r="F127" s="517"/>
      <c r="G127" s="517"/>
      <c r="H127" s="517"/>
      <c r="I127" s="516"/>
    </row>
    <row r="128" spans="4:9" ht="15" customHeight="1">
      <c r="D128" s="516"/>
      <c r="E128" s="516"/>
      <c r="F128" s="517"/>
      <c r="G128" s="517"/>
      <c r="H128" s="517"/>
      <c r="I128" s="516"/>
    </row>
    <row r="129" spans="4:9" ht="15" customHeight="1">
      <c r="D129" s="516"/>
      <c r="E129" s="516"/>
      <c r="F129" s="517"/>
      <c r="G129" s="517"/>
      <c r="H129" s="517"/>
      <c r="I129" s="516"/>
    </row>
    <row r="130" spans="4:9" ht="15" customHeight="1">
      <c r="D130" s="516"/>
      <c r="E130" s="516"/>
      <c r="F130" s="517"/>
      <c r="G130" s="517"/>
      <c r="H130" s="517"/>
      <c r="I130" s="516"/>
    </row>
    <row r="131" spans="4:9" ht="15" customHeight="1">
      <c r="D131" s="516"/>
      <c r="E131" s="516"/>
      <c r="F131" s="517"/>
      <c r="G131" s="517"/>
      <c r="H131" s="517"/>
      <c r="I131" s="516"/>
    </row>
    <row r="132" spans="4:9" ht="15" customHeight="1">
      <c r="D132" s="516"/>
      <c r="E132" s="516"/>
      <c r="F132" s="517"/>
      <c r="G132" s="517"/>
      <c r="H132" s="517"/>
      <c r="I132" s="516"/>
    </row>
    <row r="133" spans="4:9" ht="15" customHeight="1">
      <c r="D133" s="516"/>
      <c r="E133" s="516"/>
      <c r="F133" s="517"/>
      <c r="G133" s="517"/>
      <c r="H133" s="517"/>
      <c r="I133" s="516"/>
    </row>
    <row r="134" spans="4:9" ht="15" customHeight="1">
      <c r="D134" s="516"/>
      <c r="E134" s="516"/>
      <c r="F134" s="517"/>
      <c r="G134" s="517"/>
      <c r="H134" s="517"/>
      <c r="I134" s="516"/>
    </row>
    <row r="135" spans="4:9" ht="15" customHeight="1">
      <c r="D135" s="516"/>
      <c r="E135" s="516"/>
      <c r="F135" s="517"/>
      <c r="G135" s="517"/>
      <c r="H135" s="517"/>
      <c r="I135" s="516"/>
    </row>
    <row r="136" spans="4:9" ht="15" customHeight="1">
      <c r="D136" s="516"/>
      <c r="E136" s="516"/>
      <c r="F136" s="517"/>
      <c r="G136" s="517"/>
      <c r="H136" s="517"/>
      <c r="I136" s="516"/>
    </row>
    <row r="137" spans="4:9" ht="15" customHeight="1">
      <c r="D137" s="516"/>
      <c r="E137" s="516"/>
      <c r="F137" s="517"/>
      <c r="G137" s="517"/>
      <c r="H137" s="517"/>
      <c r="I137" s="516"/>
    </row>
    <row r="138" spans="4:9" ht="15" customHeight="1">
      <c r="D138" s="516"/>
      <c r="E138" s="516"/>
      <c r="F138" s="517"/>
      <c r="G138" s="517"/>
      <c r="H138" s="517"/>
      <c r="I138" s="516"/>
    </row>
    <row r="139" spans="4:9" ht="15" customHeight="1">
      <c r="D139" s="516"/>
      <c r="E139" s="516"/>
      <c r="F139" s="517"/>
      <c r="G139" s="517"/>
      <c r="H139" s="517"/>
      <c r="I139" s="516"/>
    </row>
    <row r="140" spans="4:9" ht="15" customHeight="1">
      <c r="D140" s="516"/>
      <c r="E140" s="516"/>
      <c r="F140" s="517"/>
      <c r="G140" s="517"/>
      <c r="H140" s="517"/>
      <c r="I140" s="516"/>
    </row>
    <row r="141" spans="4:9" ht="15" customHeight="1">
      <c r="D141" s="516"/>
      <c r="E141" s="516"/>
      <c r="F141" s="517"/>
      <c r="G141" s="517"/>
      <c r="H141" s="517"/>
      <c r="I141" s="516"/>
    </row>
    <row r="142" spans="4:9" ht="15" customHeight="1">
      <c r="D142" s="516"/>
      <c r="E142" s="516"/>
      <c r="F142" s="517"/>
      <c r="G142" s="517"/>
      <c r="H142" s="517"/>
      <c r="I142" s="516"/>
    </row>
    <row r="143" spans="4:9" ht="15" customHeight="1">
      <c r="D143" s="516"/>
      <c r="E143" s="516"/>
      <c r="F143" s="517"/>
      <c r="G143" s="517"/>
      <c r="H143" s="517"/>
      <c r="I143" s="516"/>
    </row>
    <row r="144" spans="4:9" ht="15" customHeight="1">
      <c r="D144" s="516"/>
      <c r="E144" s="516"/>
      <c r="F144" s="517"/>
      <c r="G144" s="517"/>
      <c r="H144" s="517"/>
      <c r="I144" s="516"/>
    </row>
    <row r="145" spans="4:9" ht="15" customHeight="1">
      <c r="D145" s="516"/>
      <c r="E145" s="516"/>
      <c r="F145" s="517"/>
      <c r="G145" s="517"/>
      <c r="H145" s="517"/>
      <c r="I145" s="516"/>
    </row>
    <row r="146" spans="4:9" ht="15" customHeight="1">
      <c r="D146" s="516"/>
      <c r="E146" s="516"/>
      <c r="F146" s="517"/>
      <c r="G146" s="517"/>
      <c r="H146" s="517"/>
      <c r="I146" s="516"/>
    </row>
    <row r="147" spans="4:9" ht="15" customHeight="1">
      <c r="D147" s="516"/>
      <c r="E147" s="516"/>
      <c r="F147" s="517"/>
      <c r="G147" s="517"/>
      <c r="H147" s="517"/>
      <c r="I147" s="516"/>
    </row>
    <row r="148" spans="4:9" ht="15" customHeight="1">
      <c r="D148" s="516"/>
      <c r="E148" s="516"/>
      <c r="F148" s="517"/>
      <c r="G148" s="517"/>
      <c r="H148" s="517"/>
      <c r="I148" s="516"/>
    </row>
    <row r="149" spans="4:9" ht="15" customHeight="1">
      <c r="D149" s="516"/>
      <c r="E149" s="516"/>
      <c r="F149" s="517"/>
      <c r="G149" s="517"/>
      <c r="H149" s="517"/>
      <c r="I149" s="516"/>
    </row>
    <row r="150" spans="4:9" ht="15" customHeight="1">
      <c r="D150" s="516"/>
      <c r="E150" s="516"/>
      <c r="F150" s="517"/>
      <c r="G150" s="517"/>
      <c r="H150" s="517"/>
      <c r="I150" s="516"/>
    </row>
    <row r="151" spans="4:9" ht="15" customHeight="1">
      <c r="D151" s="516"/>
      <c r="E151" s="516"/>
      <c r="F151" s="517"/>
      <c r="G151" s="517"/>
      <c r="H151" s="517"/>
      <c r="I151" s="516"/>
    </row>
    <row r="152" spans="4:9" ht="15" customHeight="1">
      <c r="D152" s="516"/>
      <c r="E152" s="516"/>
      <c r="F152" s="517"/>
      <c r="G152" s="517"/>
      <c r="H152" s="517"/>
      <c r="I152" s="516"/>
    </row>
    <row r="153" spans="4:9" ht="15" customHeight="1">
      <c r="D153" s="516"/>
      <c r="E153" s="516"/>
      <c r="F153" s="517"/>
      <c r="G153" s="517"/>
      <c r="H153" s="517"/>
      <c r="I153" s="516"/>
    </row>
    <row r="154" spans="4:9" ht="15" customHeight="1">
      <c r="D154" s="516"/>
      <c r="E154" s="516"/>
      <c r="F154" s="517"/>
      <c r="G154" s="517"/>
      <c r="H154" s="517"/>
      <c r="I154" s="516"/>
    </row>
    <row r="155" spans="4:9" ht="15" customHeight="1">
      <c r="D155" s="516"/>
      <c r="E155" s="516"/>
      <c r="F155" s="517"/>
      <c r="G155" s="517"/>
      <c r="H155" s="517"/>
      <c r="I155" s="516"/>
    </row>
    <row r="156" spans="4:9" ht="15" customHeight="1">
      <c r="D156" s="516"/>
      <c r="E156" s="516"/>
      <c r="F156" s="517"/>
      <c r="G156" s="517"/>
      <c r="H156" s="517"/>
      <c r="I156" s="516"/>
    </row>
    <row r="157" spans="4:9" ht="15" customHeight="1">
      <c r="D157" s="516"/>
      <c r="E157" s="516"/>
      <c r="F157" s="517"/>
      <c r="G157" s="517"/>
      <c r="H157" s="517"/>
      <c r="I157" s="516"/>
    </row>
    <row r="158" spans="4:9" ht="15" customHeight="1">
      <c r="D158" s="516"/>
      <c r="E158" s="516"/>
      <c r="F158" s="517"/>
      <c r="G158" s="517"/>
      <c r="H158" s="517"/>
      <c r="I158" s="516"/>
    </row>
    <row r="159" spans="4:9" ht="15" customHeight="1">
      <c r="D159" s="516"/>
      <c r="E159" s="516"/>
      <c r="F159" s="517"/>
      <c r="G159" s="517"/>
      <c r="H159" s="517"/>
      <c r="I159" s="516"/>
    </row>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sheetData>
  <sheetProtection/>
  <hyperlinks>
    <hyperlink ref="M1" location="BG!A1" display="BG"/>
    <hyperlink ref="E1" location="BG!A1" display="BG"/>
  </hyperlinks>
  <printOptions horizontalCentered="1"/>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2.xml><?xml version="1.0" encoding="utf-8"?>
<worksheet xmlns="http://schemas.openxmlformats.org/spreadsheetml/2006/main" xmlns:r="http://schemas.openxmlformats.org/officeDocument/2006/relationships">
  <dimension ref="A1:K82"/>
  <sheetViews>
    <sheetView showGridLines="0" zoomScalePageLayoutView="0" workbookViewId="0" topLeftCell="A1">
      <selection activeCell="I30" sqref="I30"/>
    </sheetView>
  </sheetViews>
  <sheetFormatPr defaultColWidth="11.421875" defaultRowHeight="15"/>
  <cols>
    <col min="1" max="1" width="2.140625" style="48" customWidth="1"/>
    <col min="2" max="2" width="2.00390625" style="48" customWidth="1"/>
    <col min="3" max="3" width="2.28125" style="48" customWidth="1"/>
    <col min="4" max="4" width="51.8515625" style="48" customWidth="1"/>
    <col min="5" max="5" width="10.28125" style="83" customWidth="1"/>
    <col min="6" max="7" width="21.7109375" style="48" bestFit="1" customWidth="1"/>
    <col min="8" max="8" width="11.421875" style="48" customWidth="1"/>
    <col min="9" max="9" width="14.7109375" style="48" bestFit="1" customWidth="1"/>
    <col min="10" max="16384" width="11.421875" style="48" customWidth="1"/>
  </cols>
  <sheetData>
    <row r="1" spans="4:5" ht="15">
      <c r="D1" s="455" t="str">
        <f>Indice!C1</f>
        <v>NEGOFIN S.A.E.C.A.</v>
      </c>
      <c r="E1" s="206" t="s">
        <v>389</v>
      </c>
    </row>
    <row r="3" ht="11.25">
      <c r="F3" s="120"/>
    </row>
    <row r="6" ht="11.25">
      <c r="G6" s="53"/>
    </row>
    <row r="7" spans="1:7" ht="12.75">
      <c r="A7" s="721" t="s">
        <v>301</v>
      </c>
      <c r="B7" s="721"/>
      <c r="C7" s="721"/>
      <c r="D7" s="721"/>
      <c r="E7" s="721"/>
      <c r="F7" s="721"/>
      <c r="G7" s="721"/>
    </row>
    <row r="8" spans="1:7" ht="15" customHeight="1">
      <c r="A8" s="723" t="str">
        <f>_xlfn.IFERROR(IF(Indice!B6="","Al dia... de mes… de año 2XX2…","Al "&amp;DAY(Indice!B6)&amp;" de "&amp;VLOOKUP(MONTH(Indice!B6),Indice!S:T,2,0)&amp;" de "&amp;YEAR(Indice!B6)),"Al dia... de mes… de año 2XX2…")</f>
        <v>Al 31 de Marzo de 2021</v>
      </c>
      <c r="B8" s="723"/>
      <c r="C8" s="723"/>
      <c r="D8" s="723"/>
      <c r="E8" s="723"/>
      <c r="F8" s="723"/>
      <c r="G8" s="723"/>
    </row>
    <row r="9" spans="1:7" ht="12.75">
      <c r="A9" s="722" t="s">
        <v>275</v>
      </c>
      <c r="B9" s="722"/>
      <c r="C9" s="722"/>
      <c r="D9" s="722"/>
      <c r="E9" s="722"/>
      <c r="F9" s="722"/>
      <c r="G9" s="722"/>
    </row>
    <row r="10" spans="1:7" ht="12">
      <c r="A10" s="59"/>
      <c r="B10" s="59"/>
      <c r="C10" s="59"/>
      <c r="D10" s="59"/>
      <c r="E10" s="5"/>
      <c r="F10" s="59"/>
      <c r="G10" s="59"/>
    </row>
    <row r="11" spans="1:7" ht="15">
      <c r="A11" s="59"/>
      <c r="B11" s="204"/>
      <c r="C11" s="204"/>
      <c r="D11" s="204"/>
      <c r="E11" s="309" t="s">
        <v>221</v>
      </c>
      <c r="F11" s="309">
        <f>_xlfn.IFERROR(IF(Indice!B6="","2XX2",YEAR(Indice!B6)),"2XX2")</f>
        <v>2021</v>
      </c>
      <c r="G11" s="309">
        <f>_xlfn.IFERROR(YEAR(Indice!B6-365),"2XX1")</f>
        <v>2020</v>
      </c>
    </row>
    <row r="12" spans="2:5" ht="15">
      <c r="B12" s="732" t="s">
        <v>222</v>
      </c>
      <c r="C12" s="732"/>
      <c r="D12" s="732"/>
      <c r="E12" s="209"/>
    </row>
    <row r="13" spans="1:7" ht="12.75">
      <c r="A13" s="59"/>
      <c r="B13" s="75" t="s">
        <v>223</v>
      </c>
      <c r="C13" s="38"/>
      <c r="D13" s="38"/>
      <c r="E13" s="205"/>
      <c r="F13" s="38"/>
      <c r="G13" s="76"/>
    </row>
    <row r="14" spans="1:7" ht="15">
      <c r="A14" s="59"/>
      <c r="B14" s="38"/>
      <c r="C14" s="720" t="s">
        <v>224</v>
      </c>
      <c r="D14" s="720"/>
      <c r="E14" s="223">
        <v>3</v>
      </c>
      <c r="F14" s="355">
        <f>'Nota 3'!C20</f>
        <v>21753585.9</v>
      </c>
      <c r="G14" s="355">
        <f>'Nota 3'!D20</f>
        <v>23962939.599999998</v>
      </c>
    </row>
    <row r="15" spans="1:7" ht="15">
      <c r="A15" s="59"/>
      <c r="B15" s="38"/>
      <c r="C15" s="720" t="s">
        <v>110</v>
      </c>
      <c r="D15" s="720"/>
      <c r="E15" s="223">
        <v>4</v>
      </c>
      <c r="F15" s="355">
        <f>'Nota 4'!B18</f>
        <v>0</v>
      </c>
      <c r="G15" s="355">
        <f>'Nota 4'!C18</f>
        <v>0</v>
      </c>
    </row>
    <row r="16" spans="1:7" ht="15">
      <c r="A16" s="59"/>
      <c r="B16" s="38"/>
      <c r="C16" s="720" t="s">
        <v>225</v>
      </c>
      <c r="D16" s="720"/>
      <c r="E16" s="223">
        <v>5</v>
      </c>
      <c r="F16" s="355">
        <f>'Nota 5'!C27</f>
        <v>288779005.9</v>
      </c>
      <c r="G16" s="355">
        <f>'Nota 5'!D27</f>
        <v>309889508.7</v>
      </c>
    </row>
    <row r="17" spans="1:10" ht="15">
      <c r="A17" s="74"/>
      <c r="B17" s="38"/>
      <c r="C17" s="720" t="s">
        <v>40</v>
      </c>
      <c r="D17" s="720"/>
      <c r="E17" s="223">
        <v>6</v>
      </c>
      <c r="F17" s="355">
        <f>'Nota 6'!B58</f>
        <v>8999947.400000002</v>
      </c>
      <c r="G17" s="355">
        <f>'Nota 6'!C58</f>
        <v>8605902.100000003</v>
      </c>
      <c r="I17" s="53"/>
      <c r="J17" s="502"/>
    </row>
    <row r="18" spans="1:10" ht="15">
      <c r="A18" s="59"/>
      <c r="B18" s="38"/>
      <c r="C18" s="720" t="s">
        <v>226</v>
      </c>
      <c r="D18" s="720"/>
      <c r="E18" s="223">
        <v>7</v>
      </c>
      <c r="F18" s="355">
        <f>'Nota 7'!B15</f>
        <v>0</v>
      </c>
      <c r="G18" s="355">
        <f>'Nota 7'!C15</f>
        <v>0</v>
      </c>
      <c r="J18" s="53"/>
    </row>
    <row r="19" spans="1:10" ht="12.75">
      <c r="A19" s="59"/>
      <c r="B19" s="38"/>
      <c r="C19" s="75" t="s">
        <v>310</v>
      </c>
      <c r="D19" s="38"/>
      <c r="E19" s="205"/>
      <c r="F19" s="672">
        <f>SUM(F14:F18)</f>
        <v>319532539.1999999</v>
      </c>
      <c r="G19" s="672">
        <f>SUM(G14:G18)</f>
        <v>342458350.40000004</v>
      </c>
      <c r="I19" s="53"/>
      <c r="J19" s="53"/>
    </row>
    <row r="20" spans="1:7" ht="12.75">
      <c r="A20" s="59"/>
      <c r="B20" s="75" t="s">
        <v>227</v>
      </c>
      <c r="C20" s="38"/>
      <c r="D20" s="38"/>
      <c r="E20" s="205"/>
      <c r="F20" s="572"/>
      <c r="G20" s="356"/>
    </row>
    <row r="21" spans="1:7" ht="15">
      <c r="A21" s="59"/>
      <c r="B21" s="38"/>
      <c r="C21" s="720" t="s">
        <v>228</v>
      </c>
      <c r="D21" s="720"/>
      <c r="E21" s="223">
        <v>6</v>
      </c>
      <c r="F21" s="355">
        <f>'Nota 6'!F16</f>
        <v>5227148.2</v>
      </c>
      <c r="G21" s="673">
        <f>'Nota 6'!G16</f>
        <v>3524766.0000000005</v>
      </c>
    </row>
    <row r="22" spans="1:10" ht="15">
      <c r="A22" s="59"/>
      <c r="B22" s="38"/>
      <c r="C22" s="401" t="s">
        <v>225</v>
      </c>
      <c r="D22" s="401"/>
      <c r="E22" s="223">
        <v>5</v>
      </c>
      <c r="F22" s="355">
        <f>'Nota 5'!C54</f>
        <v>60153877</v>
      </c>
      <c r="G22" s="673">
        <f>'Nota 5'!D54</f>
        <v>45047119.7</v>
      </c>
      <c r="I22" s="53"/>
      <c r="J22" s="502"/>
    </row>
    <row r="23" spans="1:10" ht="15">
      <c r="A23" s="59"/>
      <c r="B23" s="38"/>
      <c r="C23" s="720" t="s">
        <v>415</v>
      </c>
      <c r="D23" s="720"/>
      <c r="E23" s="223">
        <v>8</v>
      </c>
      <c r="F23" s="355">
        <f>'Nota 8'!B8</f>
        <v>750125</v>
      </c>
      <c r="G23" s="356">
        <f>'Nota 8'!C8</f>
        <v>718125</v>
      </c>
      <c r="I23" s="53"/>
      <c r="J23" s="53"/>
    </row>
    <row r="24" spans="1:10" ht="15">
      <c r="A24" s="59"/>
      <c r="B24" s="38"/>
      <c r="C24" s="720" t="s">
        <v>416</v>
      </c>
      <c r="D24" s="720"/>
      <c r="E24" s="223">
        <v>9</v>
      </c>
      <c r="F24" s="355">
        <f>'Nota 9'!L25</f>
        <v>1861386.9880000006</v>
      </c>
      <c r="G24" s="356">
        <f>'Nota 9'!M25</f>
        <v>3011938.7</v>
      </c>
      <c r="I24" s="53"/>
      <c r="J24" s="53"/>
    </row>
    <row r="25" spans="1:7" ht="15">
      <c r="A25" s="59"/>
      <c r="B25" s="38"/>
      <c r="C25" s="720" t="s">
        <v>245</v>
      </c>
      <c r="D25" s="720"/>
      <c r="E25" s="223">
        <v>10</v>
      </c>
      <c r="F25" s="355">
        <f>'Nota 10'!B19</f>
        <v>0</v>
      </c>
      <c r="G25" s="356">
        <f>'Nota 10'!C19</f>
        <v>0</v>
      </c>
    </row>
    <row r="26" spans="1:7" ht="15">
      <c r="A26" s="59"/>
      <c r="B26" s="38"/>
      <c r="C26" s="720" t="s">
        <v>125</v>
      </c>
      <c r="D26" s="720"/>
      <c r="E26" s="223">
        <v>11</v>
      </c>
      <c r="F26" s="355">
        <f>'Nota 11'!B12</f>
        <v>357022</v>
      </c>
      <c r="G26" s="356">
        <f>'Nota 11'!C12</f>
        <v>682028.7000000002</v>
      </c>
    </row>
    <row r="27" spans="1:7" ht="15">
      <c r="A27" s="59"/>
      <c r="B27" s="38"/>
      <c r="C27" s="720" t="s">
        <v>131</v>
      </c>
      <c r="D27" s="720"/>
      <c r="E27" s="223">
        <v>12</v>
      </c>
      <c r="F27" s="355">
        <f>'Nota 12'!B11</f>
        <v>0</v>
      </c>
      <c r="G27" s="356">
        <f>'Nota 12'!C11</f>
        <v>0</v>
      </c>
    </row>
    <row r="28" spans="1:7" ht="12.75">
      <c r="A28" s="59"/>
      <c r="B28" s="38"/>
      <c r="C28" s="724" t="s">
        <v>328</v>
      </c>
      <c r="D28" s="724"/>
      <c r="E28" s="205"/>
      <c r="F28" s="672">
        <f>SUM(F21:F27)</f>
        <v>68349559.18800001</v>
      </c>
      <c r="G28" s="672">
        <f>SUM(G21:G27)</f>
        <v>52983978.10000001</v>
      </c>
    </row>
    <row r="29" spans="1:10" ht="15.75">
      <c r="A29" s="59"/>
      <c r="B29" s="733" t="s">
        <v>246</v>
      </c>
      <c r="C29" s="733"/>
      <c r="D29" s="733"/>
      <c r="E29" s="210"/>
      <c r="F29" s="674">
        <f>+F19+F28</f>
        <v>387882098.38799995</v>
      </c>
      <c r="G29" s="675">
        <f>+G19+G28</f>
        <v>395442328.50000006</v>
      </c>
      <c r="I29" s="465"/>
      <c r="J29" s="53"/>
    </row>
    <row r="30" spans="2:10" ht="17.25">
      <c r="B30" s="727" t="s">
        <v>247</v>
      </c>
      <c r="C30" s="727"/>
      <c r="D30" s="727"/>
      <c r="E30" s="212"/>
      <c r="F30" s="676"/>
      <c r="G30" s="677">
        <v>395442329</v>
      </c>
      <c r="I30" s="502"/>
      <c r="J30" s="502"/>
    </row>
    <row r="31" spans="1:7" ht="12.75">
      <c r="A31" s="59"/>
      <c r="B31" s="75" t="s">
        <v>248</v>
      </c>
      <c r="C31" s="38"/>
      <c r="D31" s="38"/>
      <c r="E31" s="205"/>
      <c r="F31" s="678">
        <v>-1</v>
      </c>
      <c r="G31" s="356"/>
    </row>
    <row r="32" spans="1:7" ht="15">
      <c r="A32" s="59"/>
      <c r="B32" s="38"/>
      <c r="C32" s="720" t="s">
        <v>111</v>
      </c>
      <c r="D32" s="720"/>
      <c r="E32" s="223">
        <v>13</v>
      </c>
      <c r="F32" s="355">
        <f>'Nota 13'!D13</f>
        <v>574371</v>
      </c>
      <c r="G32" s="356">
        <f>'Nota 13'!E13</f>
        <v>396941.8</v>
      </c>
    </row>
    <row r="33" spans="1:10" ht="15">
      <c r="A33" s="59"/>
      <c r="B33" s="38"/>
      <c r="C33" s="725" t="s">
        <v>250</v>
      </c>
      <c r="D33" s="725"/>
      <c r="E33" s="223">
        <v>14</v>
      </c>
      <c r="F33" s="355">
        <f>'Nota 14'!E61</f>
        <v>121955083.502</v>
      </c>
      <c r="G33" s="356">
        <f>'Nota 14'!L61</f>
        <v>150939338.51700002</v>
      </c>
      <c r="I33" s="53"/>
      <c r="J33" s="502"/>
    </row>
    <row r="34" spans="1:7" ht="15">
      <c r="A34" s="59"/>
      <c r="B34" s="38"/>
      <c r="C34" s="720" t="s">
        <v>133</v>
      </c>
      <c r="D34" s="720"/>
      <c r="E34" s="223">
        <v>15</v>
      </c>
      <c r="F34" s="355">
        <f>'Nota 15'!B15</f>
        <v>0</v>
      </c>
      <c r="G34" s="356">
        <f>'Nota 15'!C15</f>
        <v>0</v>
      </c>
    </row>
    <row r="35" spans="1:10" ht="15">
      <c r="A35" s="59"/>
      <c r="B35" s="38"/>
      <c r="C35" s="720" t="s">
        <v>67</v>
      </c>
      <c r="D35" s="720"/>
      <c r="E35" s="223">
        <v>16</v>
      </c>
      <c r="F35" s="355">
        <f>'Nota 16'!B12</f>
        <v>1336206.9</v>
      </c>
      <c r="G35" s="356">
        <f>'Nota 16'!C12</f>
        <v>815336.7</v>
      </c>
      <c r="I35" s="53"/>
      <c r="J35" s="502"/>
    </row>
    <row r="36" spans="1:7" ht="15">
      <c r="A36" s="59"/>
      <c r="B36" s="38"/>
      <c r="C36" s="720" t="s">
        <v>68</v>
      </c>
      <c r="D36" s="720"/>
      <c r="E36" s="223">
        <v>17</v>
      </c>
      <c r="F36" s="355">
        <f>'Nota 17'!B12</f>
        <v>6373274</v>
      </c>
      <c r="G36" s="356">
        <f>'Nota 17'!C12</f>
        <v>5552021.7</v>
      </c>
    </row>
    <row r="37" spans="1:7" ht="15">
      <c r="A37" s="59"/>
      <c r="B37" s="38"/>
      <c r="C37" s="720" t="s">
        <v>69</v>
      </c>
      <c r="D37" s="720"/>
      <c r="E37" s="223">
        <v>18</v>
      </c>
      <c r="F37" s="355">
        <f>'Nota 18'!B39</f>
        <v>411065.7</v>
      </c>
      <c r="G37" s="356">
        <f>'Nota 18'!C39</f>
        <v>372119.5</v>
      </c>
    </row>
    <row r="38" spans="1:10" ht="15">
      <c r="A38" s="59"/>
      <c r="B38" s="38"/>
      <c r="C38" s="720" t="s">
        <v>251</v>
      </c>
      <c r="D38" s="720"/>
      <c r="E38" s="223">
        <v>19</v>
      </c>
      <c r="F38" s="355">
        <f>'Nota 19'!B45</f>
        <v>1621187.7</v>
      </c>
      <c r="G38" s="356">
        <f>'Nota 19'!C45</f>
        <v>1005077.1</v>
      </c>
      <c r="I38" s="53"/>
      <c r="J38" s="502"/>
    </row>
    <row r="39" spans="1:10" ht="13.5" customHeight="1">
      <c r="A39" s="59"/>
      <c r="B39" s="38"/>
      <c r="C39" s="75" t="s">
        <v>249</v>
      </c>
      <c r="D39" s="38"/>
      <c r="E39" s="205"/>
      <c r="F39" s="672">
        <f>+F32+F33+F34+F35+F36+F37+F38</f>
        <v>132271188.80200002</v>
      </c>
      <c r="G39" s="672">
        <f>SUM(G32:G38)</f>
        <v>159080835.317</v>
      </c>
      <c r="I39" s="53"/>
      <c r="J39" s="53"/>
    </row>
    <row r="40" spans="1:7" ht="12.75">
      <c r="A40" s="59"/>
      <c r="B40" s="75" t="s">
        <v>252</v>
      </c>
      <c r="C40" s="38"/>
      <c r="D40" s="38"/>
      <c r="E40" s="205"/>
      <c r="F40" s="572"/>
      <c r="G40" s="572"/>
    </row>
    <row r="41" spans="1:7" ht="15">
      <c r="A41" s="59"/>
      <c r="B41" s="38"/>
      <c r="C41" s="720" t="s">
        <v>253</v>
      </c>
      <c r="D41" s="720"/>
      <c r="E41" s="223">
        <v>14</v>
      </c>
      <c r="F41" s="355">
        <f>'Nota 14'!E102</f>
        <v>72540898.567</v>
      </c>
      <c r="G41" s="356">
        <f>'Nota 14'!L102</f>
        <v>60374318.788</v>
      </c>
    </row>
    <row r="42" spans="1:7" ht="15">
      <c r="A42" s="59"/>
      <c r="B42" s="38"/>
      <c r="C42" s="720" t="s">
        <v>363</v>
      </c>
      <c r="D42" s="720"/>
      <c r="E42" s="223">
        <v>19</v>
      </c>
      <c r="F42" s="355">
        <f>'Nota 19'!F14</f>
        <v>0</v>
      </c>
      <c r="G42" s="356">
        <f>'Nota 19'!G14</f>
        <v>0</v>
      </c>
    </row>
    <row r="43" spans="1:7" ht="12.75">
      <c r="A43" s="59"/>
      <c r="B43" s="38"/>
      <c r="C43" s="75" t="s">
        <v>338</v>
      </c>
      <c r="D43" s="38"/>
      <c r="E43" s="205"/>
      <c r="F43" s="672">
        <f>SUM(F41:F42)</f>
        <v>72540898.567</v>
      </c>
      <c r="G43" s="672">
        <f>SUM(G41:G42)</f>
        <v>60374318.788</v>
      </c>
    </row>
    <row r="44" spans="1:7" ht="6" customHeight="1">
      <c r="A44" s="59"/>
      <c r="B44" s="38"/>
      <c r="C44" s="38"/>
      <c r="D44" s="87"/>
      <c r="E44" s="211"/>
      <c r="F44" s="572"/>
      <c r="G44" s="356"/>
    </row>
    <row r="45" spans="1:11" ht="15">
      <c r="A45" s="59"/>
      <c r="B45" s="727" t="s">
        <v>417</v>
      </c>
      <c r="C45" s="727"/>
      <c r="D45" s="727"/>
      <c r="E45" s="213"/>
      <c r="F45" s="674">
        <f>+F39+F43</f>
        <v>204812087.36900002</v>
      </c>
      <c r="G45" s="674">
        <f>+G39+G43</f>
        <v>219455154.10500002</v>
      </c>
      <c r="J45" s="535"/>
      <c r="K45" s="535"/>
    </row>
    <row r="46" spans="2:11" ht="15">
      <c r="B46" s="727" t="s">
        <v>41</v>
      </c>
      <c r="C46" s="727"/>
      <c r="D46" s="727"/>
      <c r="E46" s="212"/>
      <c r="F46" s="471"/>
      <c r="G46" s="471"/>
      <c r="J46" s="502"/>
      <c r="K46" s="502"/>
    </row>
    <row r="47" spans="1:7" ht="15">
      <c r="A47" s="59"/>
      <c r="B47" s="38"/>
      <c r="C47" s="720" t="s">
        <v>255</v>
      </c>
      <c r="D47" s="720"/>
      <c r="E47" s="223">
        <v>20</v>
      </c>
      <c r="F47" s="355">
        <f>'Nota 20'!B12</f>
        <v>120884126</v>
      </c>
      <c r="G47" s="355">
        <f>'Nota 20'!C12</f>
        <v>120884126</v>
      </c>
    </row>
    <row r="48" spans="1:11" ht="15">
      <c r="A48" s="59"/>
      <c r="B48" s="38"/>
      <c r="C48" s="720" t="s">
        <v>43</v>
      </c>
      <c r="D48" s="720"/>
      <c r="E48" s="206">
        <v>21</v>
      </c>
      <c r="F48" s="355">
        <f>' Nota 21'!B8</f>
        <v>1334216.8</v>
      </c>
      <c r="G48" s="355">
        <f>' Nota 21'!C8</f>
        <v>1334216.8</v>
      </c>
      <c r="J48" s="502"/>
      <c r="K48" s="502"/>
    </row>
    <row r="49" spans="1:7" ht="15">
      <c r="A49" s="74"/>
      <c r="B49" s="38"/>
      <c r="C49" s="720" t="s">
        <v>81</v>
      </c>
      <c r="D49" s="720"/>
      <c r="E49" s="206">
        <v>21</v>
      </c>
      <c r="F49" s="355">
        <f>' Nota 21'!B12</f>
        <v>12704334.2</v>
      </c>
      <c r="G49" s="355">
        <f>' Nota 21'!C12</f>
        <v>11145066.2</v>
      </c>
    </row>
    <row r="50" spans="1:7" ht="15">
      <c r="A50" s="59"/>
      <c r="B50" s="38"/>
      <c r="C50" s="720" t="s">
        <v>256</v>
      </c>
      <c r="D50" s="720"/>
      <c r="E50" s="206">
        <v>21</v>
      </c>
      <c r="F50" s="355">
        <f>' Nota 21'!B16</f>
        <v>0</v>
      </c>
      <c r="G50" s="355">
        <f>' Nota 21'!C16</f>
        <v>0</v>
      </c>
    </row>
    <row r="51" spans="1:7" ht="15">
      <c r="A51" s="59"/>
      <c r="B51" s="38"/>
      <c r="C51" s="720" t="s">
        <v>257</v>
      </c>
      <c r="D51" s="720"/>
      <c r="E51" s="206">
        <v>21</v>
      </c>
      <c r="F51" s="355">
        <f>' Nota 21'!B20</f>
        <v>3852480</v>
      </c>
      <c r="G51" s="355">
        <f>' Nota 21'!C20</f>
        <v>0</v>
      </c>
    </row>
    <row r="52" spans="1:7" ht="15">
      <c r="A52" s="59"/>
      <c r="B52" s="38"/>
      <c r="C52" s="720" t="s">
        <v>70</v>
      </c>
      <c r="D52" s="720"/>
      <c r="E52" s="223">
        <v>22</v>
      </c>
      <c r="F52" s="355">
        <f>'Nota 22'!B8</f>
        <v>0</v>
      </c>
      <c r="G52" s="355">
        <f>'Nota 22'!C8</f>
        <v>0</v>
      </c>
    </row>
    <row r="53" spans="1:7" ht="15">
      <c r="A53" s="59"/>
      <c r="B53" s="38"/>
      <c r="C53" s="720" t="s">
        <v>44</v>
      </c>
      <c r="D53" s="720"/>
      <c r="E53" s="223">
        <v>23</v>
      </c>
      <c r="F53" s="355">
        <f>'Nota 23'!B10</f>
        <v>44294853.155</v>
      </c>
      <c r="G53" s="355">
        <f>'Nota 23'!C10</f>
        <v>42623765.934</v>
      </c>
    </row>
    <row r="54" spans="1:7" ht="12.75">
      <c r="A54" s="59"/>
      <c r="B54" s="38"/>
      <c r="C54" s="730" t="s">
        <v>62</v>
      </c>
      <c r="D54" s="730"/>
      <c r="E54" s="205"/>
      <c r="F54" s="355">
        <f>SUM(F47:F53)</f>
        <v>183070010.155</v>
      </c>
      <c r="G54" s="355">
        <f>SUM(G47:G53)</f>
        <v>175987174.93400002</v>
      </c>
    </row>
    <row r="55" spans="1:7" ht="15">
      <c r="A55" s="59"/>
      <c r="B55" s="38"/>
      <c r="C55" s="720" t="s">
        <v>71</v>
      </c>
      <c r="D55" s="720"/>
      <c r="E55" s="223">
        <v>24</v>
      </c>
      <c r="F55" s="355">
        <f>'Nota 24'!B8</f>
        <v>0</v>
      </c>
      <c r="G55" s="355">
        <f>'Nota 24'!C8</f>
        <v>0</v>
      </c>
    </row>
    <row r="56" spans="1:11" ht="15">
      <c r="A56" s="59"/>
      <c r="B56" s="727" t="s">
        <v>258</v>
      </c>
      <c r="C56" s="727"/>
      <c r="D56" s="727"/>
      <c r="E56" s="213"/>
      <c r="F56" s="674">
        <f>F54</f>
        <v>183070010.155</v>
      </c>
      <c r="G56" s="674">
        <f>G54</f>
        <v>175987174.93400002</v>
      </c>
      <c r="J56" s="535"/>
      <c r="K56" s="535"/>
    </row>
    <row r="57" spans="1:11" ht="15">
      <c r="A57" s="59"/>
      <c r="B57" s="727" t="s">
        <v>259</v>
      </c>
      <c r="C57" s="727"/>
      <c r="D57" s="727"/>
      <c r="E57" s="214"/>
      <c r="F57" s="674">
        <f>+F45+F56</f>
        <v>387882097.52400005</v>
      </c>
      <c r="G57" s="674">
        <f>+G45+G56</f>
        <v>395442329.03900003</v>
      </c>
      <c r="J57" s="535"/>
      <c r="K57" s="535"/>
    </row>
    <row r="58" spans="1:7" ht="12.75">
      <c r="A58" s="59"/>
      <c r="B58" s="75"/>
      <c r="C58" s="38"/>
      <c r="D58" s="38"/>
      <c r="E58" s="205"/>
      <c r="F58" s="679"/>
      <c r="G58" s="572"/>
    </row>
    <row r="59" spans="2:7" ht="12">
      <c r="B59" s="59" t="s">
        <v>414</v>
      </c>
      <c r="C59" s="59"/>
      <c r="D59" s="59"/>
      <c r="E59" s="215"/>
      <c r="F59" s="680"/>
      <c r="G59" s="680"/>
    </row>
    <row r="60" spans="1:7" ht="12">
      <c r="A60" s="59"/>
      <c r="B60" s="73"/>
      <c r="C60" s="59"/>
      <c r="D60" s="59"/>
      <c r="E60" s="215"/>
      <c r="F60" s="680"/>
      <c r="G60" s="681"/>
    </row>
    <row r="61" spans="1:7" ht="12">
      <c r="A61" s="59"/>
      <c r="B61" s="73"/>
      <c r="C61" s="59"/>
      <c r="D61" s="59"/>
      <c r="E61" s="215"/>
      <c r="F61" s="680"/>
      <c r="G61" s="681"/>
    </row>
    <row r="62" spans="1:7" ht="12">
      <c r="A62" s="59"/>
      <c r="B62" s="73"/>
      <c r="C62" s="59"/>
      <c r="D62" s="59"/>
      <c r="E62" s="215"/>
      <c r="F62" s="680"/>
      <c r="G62" s="681"/>
    </row>
    <row r="63" spans="1:7" ht="12">
      <c r="A63" s="59"/>
      <c r="B63" s="59"/>
      <c r="C63" s="59"/>
      <c r="D63" s="59"/>
      <c r="E63" s="215"/>
      <c r="F63" s="680"/>
      <c r="G63" s="680"/>
    </row>
    <row r="64" spans="1:7" s="86" customFormat="1" ht="15">
      <c r="A64" s="99"/>
      <c r="B64" s="100"/>
      <c r="C64" s="100"/>
      <c r="D64" s="100"/>
      <c r="E64" s="216"/>
      <c r="F64" s="731"/>
      <c r="G64" s="731"/>
    </row>
    <row r="65" spans="2:7" s="86" customFormat="1" ht="15.75">
      <c r="B65" s="101"/>
      <c r="C65" s="101"/>
      <c r="D65" s="109"/>
      <c r="E65" s="217"/>
      <c r="F65" s="728"/>
      <c r="G65" s="728"/>
    </row>
    <row r="66" spans="1:7" s="86" customFormat="1" ht="15.75">
      <c r="A66" s="99"/>
      <c r="B66" s="99"/>
      <c r="C66" s="99"/>
      <c r="D66" s="85"/>
      <c r="E66" s="218"/>
      <c r="F66" s="85"/>
      <c r="G66" s="99"/>
    </row>
    <row r="67" spans="1:7" s="86" customFormat="1" ht="15.75">
      <c r="A67" s="99"/>
      <c r="B67" s="99"/>
      <c r="C67" s="99"/>
      <c r="D67" s="85"/>
      <c r="E67" s="218"/>
      <c r="F67" s="85"/>
      <c r="G67" s="99"/>
    </row>
    <row r="68" spans="1:7" s="86" customFormat="1" ht="15.75">
      <c r="A68" s="99"/>
      <c r="B68" s="99"/>
      <c r="C68" s="99"/>
      <c r="D68" s="85"/>
      <c r="E68" s="218"/>
      <c r="F68" s="85"/>
      <c r="G68" s="99"/>
    </row>
    <row r="69" spans="1:7" s="86" customFormat="1" ht="15">
      <c r="A69" s="102"/>
      <c r="B69" s="102"/>
      <c r="C69" s="102"/>
      <c r="D69" s="102"/>
      <c r="E69" s="219"/>
      <c r="F69" s="729"/>
      <c r="G69" s="729"/>
    </row>
    <row r="70" spans="2:7" s="86" customFormat="1" ht="15.75">
      <c r="B70" s="103"/>
      <c r="C70" s="103"/>
      <c r="D70" s="103"/>
      <c r="E70" s="218"/>
      <c r="F70" s="728"/>
      <c r="G70" s="728"/>
    </row>
    <row r="71" spans="2:5" s="85" customFormat="1" ht="15.75">
      <c r="B71" s="726"/>
      <c r="C71" s="726"/>
      <c r="D71" s="726"/>
      <c r="E71" s="218"/>
    </row>
    <row r="72" spans="1:7" ht="12.75">
      <c r="A72" s="38"/>
      <c r="B72" s="38"/>
      <c r="C72" s="76"/>
      <c r="D72" s="77"/>
      <c r="E72" s="205"/>
      <c r="F72" s="77"/>
      <c r="G72" s="38"/>
    </row>
    <row r="73" spans="3:6" ht="11.25">
      <c r="C73" s="51"/>
      <c r="D73" s="49"/>
      <c r="E73" s="220"/>
      <c r="F73" s="49"/>
    </row>
    <row r="74" spans="4:6" ht="11.25">
      <c r="D74" s="50"/>
      <c r="E74" s="221"/>
      <c r="F74" s="50"/>
    </row>
    <row r="75" spans="4:6" ht="11.25">
      <c r="D75" s="50"/>
      <c r="E75" s="221"/>
      <c r="F75" s="50"/>
    </row>
    <row r="76" spans="4:6" ht="11.25">
      <c r="D76" s="50"/>
      <c r="E76" s="221"/>
      <c r="F76" s="50"/>
    </row>
    <row r="77" spans="4:6" ht="11.25">
      <c r="D77" s="50"/>
      <c r="E77" s="221"/>
      <c r="F77" s="50"/>
    </row>
    <row r="78" spans="4:6" ht="11.25">
      <c r="D78" s="50"/>
      <c r="E78" s="221"/>
      <c r="F78" s="50"/>
    </row>
    <row r="79" ht="11.25">
      <c r="E79" s="222"/>
    </row>
    <row r="80" spans="3:5" ht="11.25">
      <c r="C80" s="52"/>
      <c r="E80" s="222"/>
    </row>
    <row r="81" spans="3:6" ht="11.25">
      <c r="C81" s="51"/>
      <c r="D81" s="49"/>
      <c r="E81" s="220"/>
      <c r="F81" s="49"/>
    </row>
    <row r="82" spans="4:6" ht="11.25">
      <c r="D82" s="49"/>
      <c r="E82" s="84"/>
      <c r="F82" s="49"/>
    </row>
  </sheetData>
  <sheetProtection/>
  <mergeCells count="45">
    <mergeCell ref="C32:D32"/>
    <mergeCell ref="F64:G64"/>
    <mergeCell ref="B12:D12"/>
    <mergeCell ref="B30:D30"/>
    <mergeCell ref="B46:D46"/>
    <mergeCell ref="B45:D45"/>
    <mergeCell ref="B56:D56"/>
    <mergeCell ref="B29:D29"/>
    <mergeCell ref="C41:D41"/>
    <mergeCell ref="C33:D33"/>
    <mergeCell ref="B71:D71"/>
    <mergeCell ref="B57:D57"/>
    <mergeCell ref="F70:G70"/>
    <mergeCell ref="F69:G69"/>
    <mergeCell ref="F65:G65"/>
    <mergeCell ref="C42:D42"/>
    <mergeCell ref="C53:D53"/>
    <mergeCell ref="C54:D54"/>
    <mergeCell ref="C34:D34"/>
    <mergeCell ref="C55:D55"/>
    <mergeCell ref="C50:D50"/>
    <mergeCell ref="C51:D51"/>
    <mergeCell ref="C52:D52"/>
    <mergeCell ref="C38:D38"/>
    <mergeCell ref="C49:D49"/>
    <mergeCell ref="C48:D48"/>
    <mergeCell ref="A8:G8"/>
    <mergeCell ref="C16:D16"/>
    <mergeCell ref="C21:D21"/>
    <mergeCell ref="C14:D14"/>
    <mergeCell ref="C15:D15"/>
    <mergeCell ref="C28:D28"/>
    <mergeCell ref="C25:D25"/>
    <mergeCell ref="C26:D26"/>
    <mergeCell ref="C27:D27"/>
    <mergeCell ref="C35:D35"/>
    <mergeCell ref="C36:D36"/>
    <mergeCell ref="C37:D37"/>
    <mergeCell ref="C47:D47"/>
    <mergeCell ref="C24:D24"/>
    <mergeCell ref="A7:G7"/>
    <mergeCell ref="A9:G9"/>
    <mergeCell ref="C17:D17"/>
    <mergeCell ref="C18:D18"/>
    <mergeCell ref="C23:D23"/>
  </mergeCells>
  <hyperlinks>
    <hyperlink ref="E14" location="'Nota 3'!A1" display="'Nota 3'!A1"/>
    <hyperlink ref="E15" location="'Nota 4'!A1" display="'Nota 4'!A1"/>
    <hyperlink ref="E16" location="'Nota 5'!A1" display="'Nota 5'!A1"/>
    <hyperlink ref="E17" location="'Nota 6'!A1" display="'Nota 6'!A1"/>
    <hyperlink ref="E18" location="'Nota 7'!A1" display="'Nota 7'!A1"/>
    <hyperlink ref="E21" location="'Nota 6'!A1" display="'Nota 6'!A1"/>
    <hyperlink ref="E23" location="'Nota 8'!A1" display="'Nota 8'!A1"/>
    <hyperlink ref="E24" location="'Nota 9'!A1" display="'Nota 9'!A1"/>
    <hyperlink ref="E25" location="'Nota 10'!A1" display="'Nota 10'!A1"/>
    <hyperlink ref="E26" location="'Nota 11'!A1" display="'Nota 11'!A1"/>
    <hyperlink ref="E27" location="'Nota 12'!A1" display="'Nota 12'!A1"/>
    <hyperlink ref="E32" location="'Nota 13'!A1" display="'Nota 13'!A1"/>
    <hyperlink ref="E33" location="'Nota 14'!A1" display="'Nota 14'!A1"/>
    <hyperlink ref="E41" location="'Nota 14'!A1" display="'Nota 14'!A1"/>
    <hyperlink ref="E34" location="'Nota 15'!A1" display="'Nota 15'!A1"/>
    <hyperlink ref="E35" location="'Nota 16'!A1" display="'Nota 16'!A1"/>
    <hyperlink ref="E36" location="'Nota 17'!A1" display="'Nota 17'!A1"/>
    <hyperlink ref="E37" location="'Nota 18'!A1" display="'Nota 18'!A1"/>
    <hyperlink ref="E38" location="'Nota 19'!A1" display="'Nota 19'!A1"/>
    <hyperlink ref="E42" location="'Nota 19'!A1" display="'Nota 19'!A1"/>
    <hyperlink ref="E47" location="'Nota 20'!A1" display="'Nota 20'!A1"/>
    <hyperlink ref="E52" location="'Nota 22'!A1" display="'Nota 22'!A1"/>
    <hyperlink ref="E48" location="' Nota 21'!A1" display="' Nota 21'!A1"/>
    <hyperlink ref="E49" location="' Nota 21'!A1" display="' Nota 21'!A1"/>
    <hyperlink ref="E50" location="' Nota 21'!A1" display="' Nota 21'!A1"/>
    <hyperlink ref="E51" location="' Nota 21'!A1" display="' Nota 21'!A1"/>
    <hyperlink ref="E53" location="'Nota 23'!A1" display="'Nota 23'!A1"/>
    <hyperlink ref="E55" location="'Nota 24'!A1" display="'Nota 24'!A1"/>
    <hyperlink ref="E1" location="Indice!A1" display="Indice"/>
    <hyperlink ref="E22" location="'Nota 5'!A1" display="'Nota 5'!A1"/>
  </hyperlinks>
  <printOptions horizontalCentered="1"/>
  <pageMargins left="0.7086614173228347" right="0.7086614173228347" top="0.7480314960629921" bottom="0.7480314960629921" header="0.31496062992125984" footer="0.31496062992125984"/>
  <pageSetup horizontalDpi="1200" verticalDpi="1200" orientation="portrait" paperSize="9" scale="70" r:id="rId2"/>
  <ignoredErrors>
    <ignoredError sqref="G28" formulaRange="1"/>
  </ignoredErrors>
  <drawing r:id="rId1"/>
</worksheet>
</file>

<file path=xl/worksheets/sheet20.xml><?xml version="1.0" encoding="utf-8"?>
<worksheet xmlns="http://schemas.openxmlformats.org/spreadsheetml/2006/main" xmlns:r="http://schemas.openxmlformats.org/officeDocument/2006/relationships">
  <dimension ref="A1:AH19"/>
  <sheetViews>
    <sheetView zoomScalePageLayoutView="0" workbookViewId="0" topLeftCell="A1">
      <selection activeCell="E6" sqref="E6"/>
    </sheetView>
  </sheetViews>
  <sheetFormatPr defaultColWidth="11.421875" defaultRowHeight="15"/>
  <cols>
    <col min="1" max="1" width="44.7109375" style="129" customWidth="1"/>
    <col min="2" max="2" width="18.28125" style="129" customWidth="1"/>
    <col min="3" max="3" width="20.140625" style="129" customWidth="1"/>
    <col min="4" max="34" width="11.421875" style="129" customWidth="1"/>
  </cols>
  <sheetData>
    <row r="1" spans="1:4" ht="15">
      <c r="A1" s="129" t="str">
        <f>Indice!C1</f>
        <v>NEGOFIN S.A.E.C.A.</v>
      </c>
      <c r="D1" s="150" t="s">
        <v>132</v>
      </c>
    </row>
    <row r="5" spans="1:34" ht="15">
      <c r="A5" s="315" t="s">
        <v>332</v>
      </c>
      <c r="B5" s="315"/>
      <c r="C5" s="315"/>
      <c r="D5" s="315"/>
      <c r="T5"/>
      <c r="U5"/>
      <c r="V5"/>
      <c r="W5"/>
      <c r="X5"/>
      <c r="Y5"/>
      <c r="Z5"/>
      <c r="AA5"/>
      <c r="AB5"/>
      <c r="AC5"/>
      <c r="AD5"/>
      <c r="AE5"/>
      <c r="AF5"/>
      <c r="AG5"/>
      <c r="AH5"/>
    </row>
    <row r="7" spans="2:3" ht="15">
      <c r="B7" s="801" t="s">
        <v>314</v>
      </c>
      <c r="C7" s="801"/>
    </row>
    <row r="8" spans="1:34" ht="15">
      <c r="A8" s="304" t="s">
        <v>133</v>
      </c>
      <c r="B8" s="303">
        <f>_xlfn.IFERROR(IF(Indice!B6="","2XX2",YEAR(Indice!B6)),"2XX2")</f>
        <v>2021</v>
      </c>
      <c r="C8" s="303">
        <f>_xlfn.IFERROR(YEAR(Indice!B6-365),"2XX1")</f>
        <v>2020</v>
      </c>
      <c r="D8" s="143"/>
      <c r="T8"/>
      <c r="U8"/>
      <c r="V8"/>
      <c r="W8"/>
      <c r="X8"/>
      <c r="Y8"/>
      <c r="Z8"/>
      <c r="AA8"/>
      <c r="AB8"/>
      <c r="AC8"/>
      <c r="AD8"/>
      <c r="AE8"/>
      <c r="AF8"/>
      <c r="AG8"/>
      <c r="AH8"/>
    </row>
    <row r="9" spans="1:34" ht="15">
      <c r="A9" s="144" t="s">
        <v>111</v>
      </c>
      <c r="B9" s="144"/>
      <c r="C9" s="144"/>
      <c r="D9" s="144"/>
      <c r="T9"/>
      <c r="U9"/>
      <c r="V9"/>
      <c r="W9"/>
      <c r="X9"/>
      <c r="Y9"/>
      <c r="Z9"/>
      <c r="AA9"/>
      <c r="AB9"/>
      <c r="AC9"/>
      <c r="AD9"/>
      <c r="AE9"/>
      <c r="AF9"/>
      <c r="AG9"/>
      <c r="AH9"/>
    </row>
    <row r="10" spans="1:34" ht="15">
      <c r="A10" s="145" t="s">
        <v>134</v>
      </c>
      <c r="D10" s="145"/>
      <c r="T10"/>
      <c r="U10"/>
      <c r="V10"/>
      <c r="W10"/>
      <c r="X10"/>
      <c r="Y10"/>
      <c r="Z10"/>
      <c r="AA10"/>
      <c r="AB10"/>
      <c r="AC10"/>
      <c r="AD10"/>
      <c r="AE10"/>
      <c r="AF10"/>
      <c r="AG10"/>
      <c r="AH10"/>
    </row>
    <row r="11" spans="1:34" ht="15">
      <c r="A11" s="145" t="s">
        <v>116</v>
      </c>
      <c r="D11" s="145"/>
      <c r="T11"/>
      <c r="U11"/>
      <c r="V11"/>
      <c r="W11"/>
      <c r="X11"/>
      <c r="Y11"/>
      <c r="Z11"/>
      <c r="AA11"/>
      <c r="AB11"/>
      <c r="AC11"/>
      <c r="AD11"/>
      <c r="AE11"/>
      <c r="AF11"/>
      <c r="AG11"/>
      <c r="AH11"/>
    </row>
    <row r="12" spans="1:34" ht="15">
      <c r="A12" s="145" t="s">
        <v>135</v>
      </c>
      <c r="D12" s="145"/>
      <c r="T12"/>
      <c r="U12"/>
      <c r="V12"/>
      <c r="W12"/>
      <c r="X12"/>
      <c r="Y12"/>
      <c r="Z12"/>
      <c r="AA12"/>
      <c r="AB12"/>
      <c r="AC12"/>
      <c r="AD12"/>
      <c r="AE12"/>
      <c r="AF12"/>
      <c r="AG12"/>
      <c r="AH12"/>
    </row>
    <row r="13" spans="1:34" ht="15">
      <c r="A13" s="145" t="s">
        <v>136</v>
      </c>
      <c r="D13" s="145"/>
      <c r="T13"/>
      <c r="U13"/>
      <c r="V13"/>
      <c r="W13"/>
      <c r="X13"/>
      <c r="Y13"/>
      <c r="Z13"/>
      <c r="AA13"/>
      <c r="AB13"/>
      <c r="AC13"/>
      <c r="AD13"/>
      <c r="AE13"/>
      <c r="AF13"/>
      <c r="AG13"/>
      <c r="AH13"/>
    </row>
    <row r="14" spans="1:34" ht="15">
      <c r="A14" s="336" t="s">
        <v>66</v>
      </c>
      <c r="B14" s="144"/>
      <c r="C14" s="144"/>
      <c r="D14" s="144"/>
      <c r="T14"/>
      <c r="U14"/>
      <c r="V14"/>
      <c r="W14"/>
      <c r="X14"/>
      <c r="Y14"/>
      <c r="Z14"/>
      <c r="AA14"/>
      <c r="AB14"/>
      <c r="AC14"/>
      <c r="AD14"/>
      <c r="AE14"/>
      <c r="AF14"/>
      <c r="AG14"/>
      <c r="AH14"/>
    </row>
    <row r="15" spans="1:34" ht="15">
      <c r="A15" s="134" t="s">
        <v>130</v>
      </c>
      <c r="B15" s="259">
        <f>SUM($B$9:B14)</f>
        <v>0</v>
      </c>
      <c r="C15" s="259">
        <f>SUM($C$9:C14)</f>
        <v>0</v>
      </c>
      <c r="T15"/>
      <c r="U15"/>
      <c r="V15"/>
      <c r="W15"/>
      <c r="X15"/>
      <c r="Y15"/>
      <c r="Z15"/>
      <c r="AA15"/>
      <c r="AB15"/>
      <c r="AC15"/>
      <c r="AD15"/>
      <c r="AE15"/>
      <c r="AF15"/>
      <c r="AG15"/>
      <c r="AH15"/>
    </row>
    <row r="16" spans="1:34" ht="15">
      <c r="A16" s="146"/>
      <c r="D16" s="145"/>
      <c r="T16"/>
      <c r="U16"/>
      <c r="V16"/>
      <c r="W16"/>
      <c r="X16"/>
      <c r="Y16"/>
      <c r="Z16"/>
      <c r="AA16"/>
      <c r="AB16"/>
      <c r="AC16"/>
      <c r="AD16"/>
      <c r="AE16"/>
      <c r="AF16"/>
      <c r="AG16"/>
      <c r="AH16"/>
    </row>
    <row r="17" spans="1:34" ht="15">
      <c r="A17" s="145"/>
      <c r="D17" s="145"/>
      <c r="T17"/>
      <c r="U17"/>
      <c r="V17"/>
      <c r="W17"/>
      <c r="X17"/>
      <c r="Y17"/>
      <c r="Z17"/>
      <c r="AA17"/>
      <c r="AB17"/>
      <c r="AC17"/>
      <c r="AD17"/>
      <c r="AE17"/>
      <c r="AF17"/>
      <c r="AG17"/>
      <c r="AH17"/>
    </row>
    <row r="18" spans="1:34" ht="15">
      <c r="A18" s="146"/>
      <c r="D18" s="145"/>
      <c r="E18" s="144"/>
      <c r="F18" s="144"/>
      <c r="T18"/>
      <c r="U18"/>
      <c r="V18"/>
      <c r="W18"/>
      <c r="X18"/>
      <c r="Y18"/>
      <c r="Z18"/>
      <c r="AA18"/>
      <c r="AB18"/>
      <c r="AC18"/>
      <c r="AD18"/>
      <c r="AE18"/>
      <c r="AF18"/>
      <c r="AG18"/>
      <c r="AH18"/>
    </row>
    <row r="19" spans="20:34" ht="15">
      <c r="T19"/>
      <c r="U19"/>
      <c r="V19"/>
      <c r="W19"/>
      <c r="X19"/>
      <c r="Y19"/>
      <c r="Z19"/>
      <c r="AA19"/>
      <c r="AB19"/>
      <c r="AC19"/>
      <c r="AD19"/>
      <c r="AE19"/>
      <c r="AF19"/>
      <c r="AG19"/>
      <c r="AH19"/>
    </row>
  </sheetData>
  <sheetProtection/>
  <mergeCells count="1">
    <mergeCell ref="B7:C7"/>
  </mergeCells>
  <hyperlinks>
    <hyperlink ref="D1" location="BG!A1" display="BG"/>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G12"/>
  <sheetViews>
    <sheetView zoomScalePageLayoutView="0" workbookViewId="0" topLeftCell="A1">
      <selection activeCell="B8" sqref="B8:B9"/>
    </sheetView>
  </sheetViews>
  <sheetFormatPr defaultColWidth="11.421875" defaultRowHeight="15"/>
  <cols>
    <col min="1" max="1" width="48.421875" style="129" customWidth="1"/>
    <col min="2" max="3" width="22.7109375" style="129" customWidth="1"/>
    <col min="4" max="33" width="11.421875" style="129" customWidth="1"/>
  </cols>
  <sheetData>
    <row r="1" spans="1:6" ht="15">
      <c r="A1" s="129" t="str">
        <f>Indice!C1</f>
        <v>NEGOFIN S.A.E.C.A.</v>
      </c>
      <c r="F1" s="150" t="s">
        <v>132</v>
      </c>
    </row>
    <row r="4" spans="1:33" ht="15">
      <c r="A4" s="315" t="s">
        <v>333</v>
      </c>
      <c r="B4" s="315"/>
      <c r="C4" s="315"/>
      <c r="D4" s="315"/>
      <c r="T4"/>
      <c r="U4"/>
      <c r="V4"/>
      <c r="W4"/>
      <c r="X4"/>
      <c r="Y4"/>
      <c r="Z4"/>
      <c r="AA4"/>
      <c r="AB4"/>
      <c r="AC4"/>
      <c r="AD4"/>
      <c r="AE4"/>
      <c r="AF4"/>
      <c r="AG4"/>
    </row>
    <row r="6" spans="2:3" ht="15">
      <c r="B6" s="801" t="s">
        <v>314</v>
      </c>
      <c r="C6" s="801"/>
    </row>
    <row r="7" spans="1:3" ht="15">
      <c r="A7" s="304" t="s">
        <v>67</v>
      </c>
      <c r="B7" s="350">
        <f>_xlfn.IFERROR(IF(Indice!B6="","2XX2",YEAR(Indice!B6)),"2XX2")</f>
        <v>2021</v>
      </c>
      <c r="C7" s="350">
        <f>_xlfn.IFERROR(YEAR(Indice!B6-365),"2XX1")</f>
        <v>2020</v>
      </c>
    </row>
    <row r="8" spans="1:3" ht="15">
      <c r="A8" s="129" t="s">
        <v>137</v>
      </c>
      <c r="B8" s="484">
        <f>356164+572199.1</f>
        <v>928363.1</v>
      </c>
      <c r="C8" s="484">
        <f>341027.2+156693.9</f>
        <v>497721.1</v>
      </c>
    </row>
    <row r="9" spans="1:3" ht="15">
      <c r="A9" s="129" t="s">
        <v>138</v>
      </c>
      <c r="B9" s="484">
        <v>407843.8</v>
      </c>
      <c r="C9" s="484">
        <v>317615.6</v>
      </c>
    </row>
    <row r="10" spans="1:3" ht="15">
      <c r="A10" s="129" t="s">
        <v>139</v>
      </c>
      <c r="B10" s="484">
        <v>0</v>
      </c>
      <c r="C10" s="484">
        <v>0</v>
      </c>
    </row>
    <row r="11" spans="1:3" ht="15">
      <c r="A11" s="129" t="s">
        <v>140</v>
      </c>
      <c r="B11" s="484"/>
      <c r="C11" s="484"/>
    </row>
    <row r="12" spans="1:3" ht="15">
      <c r="A12" s="129" t="s">
        <v>3</v>
      </c>
      <c r="B12" s="485">
        <f>SUM($B$8:B11)</f>
        <v>1336206.9</v>
      </c>
      <c r="C12" s="485">
        <f>SUM($C$8:C11)</f>
        <v>815336.7</v>
      </c>
    </row>
  </sheetData>
  <sheetProtection/>
  <mergeCells count="1">
    <mergeCell ref="B6:C6"/>
  </mergeCells>
  <hyperlinks>
    <hyperlink ref="F1" location="BG!A1" display="BG"/>
  </hyperlink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G12"/>
  <sheetViews>
    <sheetView zoomScalePageLayoutView="0" workbookViewId="0" topLeftCell="A1">
      <selection activeCell="B9" sqref="B9"/>
    </sheetView>
  </sheetViews>
  <sheetFormatPr defaultColWidth="11.421875" defaultRowHeight="15"/>
  <cols>
    <col min="1" max="1" width="51.57421875" style="129" customWidth="1"/>
    <col min="2" max="3" width="22.7109375" style="129" customWidth="1"/>
    <col min="4" max="16" width="11.421875" style="129" customWidth="1"/>
  </cols>
  <sheetData>
    <row r="1" spans="1:7" ht="15">
      <c r="A1" s="129" t="str">
        <f>Indice!C1</f>
        <v>NEGOFIN S.A.E.C.A.</v>
      </c>
      <c r="G1" s="150" t="s">
        <v>132</v>
      </c>
    </row>
    <row r="5" spans="1:4" ht="15">
      <c r="A5" s="315" t="s">
        <v>349</v>
      </c>
      <c r="B5" s="315"/>
      <c r="C5" s="315"/>
      <c r="D5" s="315"/>
    </row>
    <row r="6" spans="1:4" s="29" customFormat="1" ht="15">
      <c r="A6" s="151"/>
      <c r="B6" s="151"/>
      <c r="C6" s="151"/>
      <c r="D6" s="151"/>
    </row>
    <row r="7" spans="2:3" ht="15">
      <c r="B7" s="801" t="s">
        <v>314</v>
      </c>
      <c r="C7" s="801"/>
    </row>
    <row r="8" spans="1:3" ht="15">
      <c r="A8" s="305" t="s">
        <v>68</v>
      </c>
      <c r="B8" s="350">
        <f>_xlfn.IFERROR(IF(Indice!B6="","2XX2",YEAR(Indice!B6)),"2XX2")</f>
        <v>2021</v>
      </c>
      <c r="C8" s="350">
        <f>_xlfn.IFERROR(YEAR(Indice!B6-365),"2XX1")</f>
        <v>2020</v>
      </c>
    </row>
    <row r="9" spans="1:3" ht="15">
      <c r="A9" s="129" t="s">
        <v>141</v>
      </c>
      <c r="B9" s="484">
        <v>6373274</v>
      </c>
      <c r="C9" s="484">
        <v>5552021.7</v>
      </c>
    </row>
    <row r="10" spans="1:3" ht="15">
      <c r="A10" s="129" t="s">
        <v>142</v>
      </c>
      <c r="B10" s="484">
        <v>0</v>
      </c>
      <c r="C10" s="484">
        <v>0</v>
      </c>
    </row>
    <row r="11" spans="1:3" ht="15">
      <c r="A11" s="129" t="s">
        <v>143</v>
      </c>
      <c r="B11" s="484">
        <v>0</v>
      </c>
      <c r="C11" s="484">
        <v>0</v>
      </c>
    </row>
    <row r="12" spans="1:3" ht="15">
      <c r="A12" s="129" t="s">
        <v>3</v>
      </c>
      <c r="B12" s="485">
        <f>SUM($B$9:B11)</f>
        <v>6373274</v>
      </c>
      <c r="C12" s="485">
        <f>SUM($C$9:C11)</f>
        <v>5552021.7</v>
      </c>
    </row>
  </sheetData>
  <sheetProtection/>
  <mergeCells count="1">
    <mergeCell ref="B7:C7"/>
  </mergeCells>
  <hyperlinks>
    <hyperlink ref="G1" location="BG!A1" display="BG"/>
  </hyperlinks>
  <printOptions/>
  <pageMargins left="0.7" right="0.7" top="0.75" bottom="0.7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M39"/>
  <sheetViews>
    <sheetView showGridLines="0" zoomScalePageLayoutView="0" workbookViewId="0" topLeftCell="A20">
      <selection activeCell="B34" sqref="B34"/>
    </sheetView>
  </sheetViews>
  <sheetFormatPr defaultColWidth="11.421875" defaultRowHeight="15"/>
  <cols>
    <col min="1" max="1" width="36.140625" style="129" bestFit="1" customWidth="1"/>
    <col min="2" max="3" width="22.7109375" style="129" customWidth="1"/>
    <col min="4" max="13" width="11.421875" style="129" customWidth="1"/>
  </cols>
  <sheetData>
    <row r="1" spans="1:4" ht="15">
      <c r="A1" s="129" t="str">
        <f>Indice!C1</f>
        <v>NEGOFIN S.A.E.C.A.</v>
      </c>
      <c r="D1" s="150" t="s">
        <v>132</v>
      </c>
    </row>
    <row r="4" spans="1:4" ht="15">
      <c r="A4" s="805" t="s">
        <v>335</v>
      </c>
      <c r="B4" s="805"/>
      <c r="C4" s="805"/>
      <c r="D4" s="805"/>
    </row>
    <row r="6" spans="2:3" ht="15">
      <c r="B6" s="801" t="s">
        <v>314</v>
      </c>
      <c r="C6" s="801"/>
    </row>
    <row r="7" spans="1:3" ht="15">
      <c r="A7" s="810" t="s">
        <v>69</v>
      </c>
      <c r="B7" s="350">
        <f>_xlfn.IFERROR(IF(Indice!B6="","2XX2",YEAR(Indice!B6)),"2XX2")</f>
        <v>2021</v>
      </c>
      <c r="C7" s="350">
        <f>_xlfn.IFERROR(YEAR(Indice!B6-365),"2XX1")</f>
        <v>2020</v>
      </c>
    </row>
    <row r="8" spans="1:3" ht="15">
      <c r="A8" s="810"/>
      <c r="B8" s="424"/>
      <c r="C8" s="424"/>
    </row>
    <row r="9" spans="1:13" s="301" customFormat="1" ht="15">
      <c r="A9" s="339" t="s">
        <v>852</v>
      </c>
      <c r="B9" s="484">
        <v>0</v>
      </c>
      <c r="C9" s="484">
        <v>0</v>
      </c>
      <c r="D9" s="129"/>
      <c r="E9" s="129"/>
      <c r="F9" s="129"/>
      <c r="G9" s="129"/>
      <c r="H9" s="129"/>
      <c r="I9" s="129"/>
      <c r="J9" s="129"/>
      <c r="K9" s="129"/>
      <c r="L9" s="129"/>
      <c r="M9" s="129"/>
    </row>
    <row r="10" spans="1:13" s="301" customFormat="1" ht="15">
      <c r="A10" s="339" t="s">
        <v>854</v>
      </c>
      <c r="B10" s="484">
        <v>0</v>
      </c>
      <c r="C10" s="484">
        <v>0</v>
      </c>
      <c r="D10" s="129"/>
      <c r="E10" s="129"/>
      <c r="F10" s="129"/>
      <c r="G10" s="129"/>
      <c r="H10" s="129"/>
      <c r="I10" s="129"/>
      <c r="J10" s="129"/>
      <c r="K10" s="129"/>
      <c r="L10" s="129"/>
      <c r="M10" s="129"/>
    </row>
    <row r="11" spans="1:13" s="301" customFormat="1" ht="15">
      <c r="A11" s="339" t="s">
        <v>853</v>
      </c>
      <c r="B11" s="484">
        <v>0</v>
      </c>
      <c r="C11" s="484">
        <v>0</v>
      </c>
      <c r="D11" s="129"/>
      <c r="E11" s="129"/>
      <c r="F11" s="129"/>
      <c r="G11" s="129"/>
      <c r="H11" s="129"/>
      <c r="I11" s="129"/>
      <c r="J11" s="129"/>
      <c r="K11" s="129"/>
      <c r="L11" s="129"/>
      <c r="M11" s="129"/>
    </row>
    <row r="12" spans="1:13" s="462" customFormat="1" ht="15">
      <c r="A12" s="339" t="s">
        <v>972</v>
      </c>
      <c r="B12" s="484">
        <v>954.4</v>
      </c>
      <c r="C12" s="484">
        <v>22159</v>
      </c>
      <c r="D12" s="129"/>
      <c r="E12" s="129"/>
      <c r="F12" s="129"/>
      <c r="G12" s="129"/>
      <c r="H12" s="129"/>
      <c r="I12" s="129"/>
      <c r="J12" s="129"/>
      <c r="K12" s="129"/>
      <c r="L12" s="129"/>
      <c r="M12" s="129"/>
    </row>
    <row r="13" spans="1:13" s="462" customFormat="1" ht="15">
      <c r="A13" s="339" t="s">
        <v>973</v>
      </c>
      <c r="B13" s="484">
        <v>94285.5</v>
      </c>
      <c r="C13" s="484">
        <v>97254.8</v>
      </c>
      <c r="D13" s="129"/>
      <c r="E13" s="129"/>
      <c r="F13" s="129"/>
      <c r="G13" s="129"/>
      <c r="H13" s="129"/>
      <c r="I13" s="129"/>
      <c r="J13" s="129"/>
      <c r="K13" s="129"/>
      <c r="L13" s="129"/>
      <c r="M13" s="129"/>
    </row>
    <row r="14" spans="1:13" s="462" customFormat="1" ht="15">
      <c r="A14" s="339" t="s">
        <v>974</v>
      </c>
      <c r="B14" s="484">
        <v>638.7</v>
      </c>
      <c r="C14" s="484">
        <v>572</v>
      </c>
      <c r="D14" s="129"/>
      <c r="E14" s="129"/>
      <c r="F14" s="129"/>
      <c r="G14" s="129"/>
      <c r="H14" s="129"/>
      <c r="I14" s="129"/>
      <c r="J14" s="129"/>
      <c r="K14" s="129"/>
      <c r="L14" s="129"/>
      <c r="M14" s="129"/>
    </row>
    <row r="15" spans="1:13" s="462" customFormat="1" ht="15">
      <c r="A15" s="339" t="s">
        <v>993</v>
      </c>
      <c r="B15" s="484">
        <v>0</v>
      </c>
      <c r="C15" s="484">
        <v>73</v>
      </c>
      <c r="D15" s="129"/>
      <c r="E15" s="129"/>
      <c r="F15" s="129"/>
      <c r="G15" s="129"/>
      <c r="H15" s="129"/>
      <c r="I15" s="129"/>
      <c r="J15" s="129"/>
      <c r="K15" s="129"/>
      <c r="L15" s="129"/>
      <c r="M15" s="129"/>
    </row>
    <row r="16" spans="1:13" s="462" customFormat="1" ht="15">
      <c r="A16" s="339" t="s">
        <v>994</v>
      </c>
      <c r="B16" s="484">
        <v>292.3</v>
      </c>
      <c r="C16" s="484">
        <v>0</v>
      </c>
      <c r="D16" s="129"/>
      <c r="E16" s="129"/>
      <c r="F16" s="129"/>
      <c r="G16" s="129"/>
      <c r="H16" s="129"/>
      <c r="I16" s="129"/>
      <c r="J16" s="129"/>
      <c r="K16" s="129"/>
      <c r="L16" s="129"/>
      <c r="M16" s="129"/>
    </row>
    <row r="17" spans="1:13" s="462" customFormat="1" ht="15">
      <c r="A17" s="339" t="s">
        <v>995</v>
      </c>
      <c r="B17" s="484">
        <v>12313.3</v>
      </c>
      <c r="C17" s="484">
        <v>13195.3</v>
      </c>
      <c r="D17" s="129"/>
      <c r="E17" s="129"/>
      <c r="F17" s="129"/>
      <c r="G17" s="129"/>
      <c r="H17" s="129"/>
      <c r="I17" s="129"/>
      <c r="J17" s="129"/>
      <c r="K17" s="129"/>
      <c r="L17" s="129"/>
      <c r="M17" s="129"/>
    </row>
    <row r="18" spans="1:13" s="462" customFormat="1" ht="15">
      <c r="A18" s="339" t="s">
        <v>996</v>
      </c>
      <c r="B18" s="484">
        <v>14470.4</v>
      </c>
      <c r="C18" s="484">
        <v>14470.4</v>
      </c>
      <c r="D18" s="129"/>
      <c r="E18" s="129"/>
      <c r="F18" s="129"/>
      <c r="G18" s="129"/>
      <c r="H18" s="129"/>
      <c r="I18" s="129"/>
      <c r="J18" s="129"/>
      <c r="K18" s="129"/>
      <c r="L18" s="129"/>
      <c r="M18" s="129"/>
    </row>
    <row r="19" spans="1:13" s="462" customFormat="1" ht="15">
      <c r="A19" s="339" t="s">
        <v>997</v>
      </c>
      <c r="B19" s="484">
        <v>0</v>
      </c>
      <c r="C19" s="484">
        <v>696.8</v>
      </c>
      <c r="D19" s="129"/>
      <c r="E19" s="129"/>
      <c r="F19" s="129"/>
      <c r="G19" s="129"/>
      <c r="H19" s="129"/>
      <c r="I19" s="129"/>
      <c r="J19" s="129"/>
      <c r="K19" s="129"/>
      <c r="L19" s="129"/>
      <c r="M19" s="129"/>
    </row>
    <row r="20" spans="1:13" s="462" customFormat="1" ht="15">
      <c r="A20" s="339" t="s">
        <v>998</v>
      </c>
      <c r="B20" s="484">
        <v>730.9</v>
      </c>
      <c r="C20" s="484">
        <v>7895.9</v>
      </c>
      <c r="D20" s="129"/>
      <c r="E20" s="129"/>
      <c r="F20" s="129"/>
      <c r="G20" s="129"/>
      <c r="H20" s="129"/>
      <c r="I20" s="129"/>
      <c r="J20" s="129"/>
      <c r="K20" s="129"/>
      <c r="L20" s="129"/>
      <c r="M20" s="129"/>
    </row>
    <row r="21" spans="1:13" s="462" customFormat="1" ht="15">
      <c r="A21" s="339" t="s">
        <v>999</v>
      </c>
      <c r="B21" s="484">
        <v>7435.1</v>
      </c>
      <c r="C21" s="484">
        <v>5315.3</v>
      </c>
      <c r="D21" s="129"/>
      <c r="E21" s="129"/>
      <c r="F21" s="129"/>
      <c r="G21" s="129"/>
      <c r="H21" s="129"/>
      <c r="I21" s="129"/>
      <c r="J21" s="129"/>
      <c r="K21" s="129"/>
      <c r="L21" s="129"/>
      <c r="M21" s="129"/>
    </row>
    <row r="22" spans="1:13" s="462" customFormat="1" ht="15">
      <c r="A22" s="339" t="s">
        <v>1000</v>
      </c>
      <c r="B22" s="484">
        <v>49243.8</v>
      </c>
      <c r="C22" s="484">
        <v>57601.5</v>
      </c>
      <c r="D22" s="129"/>
      <c r="E22" s="129"/>
      <c r="F22" s="129"/>
      <c r="G22" s="129"/>
      <c r="H22" s="129"/>
      <c r="I22" s="129"/>
      <c r="J22" s="129"/>
      <c r="K22" s="129"/>
      <c r="L22" s="129"/>
      <c r="M22" s="129"/>
    </row>
    <row r="23" spans="1:13" s="462" customFormat="1" ht="15">
      <c r="A23" s="339" t="s">
        <v>1001</v>
      </c>
      <c r="B23" s="484">
        <v>13142.5</v>
      </c>
      <c r="C23" s="484">
        <v>13142.5</v>
      </c>
      <c r="D23" s="129"/>
      <c r="E23" s="129"/>
      <c r="F23" s="129"/>
      <c r="G23" s="129"/>
      <c r="H23" s="129"/>
      <c r="I23" s="129"/>
      <c r="J23" s="129"/>
      <c r="K23" s="129"/>
      <c r="L23" s="129"/>
      <c r="M23" s="129"/>
    </row>
    <row r="24" spans="1:13" s="462" customFormat="1" ht="15">
      <c r="A24" s="339" t="s">
        <v>1002</v>
      </c>
      <c r="B24" s="484">
        <v>8323.2</v>
      </c>
      <c r="C24" s="484">
        <v>8323.2</v>
      </c>
      <c r="D24" s="129"/>
      <c r="E24" s="129"/>
      <c r="F24" s="129"/>
      <c r="G24" s="129"/>
      <c r="H24" s="129"/>
      <c r="I24" s="129"/>
      <c r="J24" s="129"/>
      <c r="K24" s="129"/>
      <c r="L24" s="129"/>
      <c r="M24" s="129"/>
    </row>
    <row r="25" spans="1:13" s="462" customFormat="1" ht="15">
      <c r="A25" s="339" t="s">
        <v>1003</v>
      </c>
      <c r="B25" s="484">
        <v>6773.6</v>
      </c>
      <c r="C25" s="484">
        <v>6773.6</v>
      </c>
      <c r="D25" s="129"/>
      <c r="E25" s="129"/>
      <c r="F25" s="129"/>
      <c r="G25" s="129"/>
      <c r="H25" s="129"/>
      <c r="I25" s="129"/>
      <c r="J25" s="129"/>
      <c r="K25" s="129"/>
      <c r="L25" s="129"/>
      <c r="M25" s="129"/>
    </row>
    <row r="26" spans="1:13" s="462" customFormat="1" ht="15">
      <c r="A26" s="339" t="s">
        <v>1004</v>
      </c>
      <c r="B26" s="484">
        <v>21508</v>
      </c>
      <c r="C26" s="484">
        <v>21508</v>
      </c>
      <c r="D26" s="129"/>
      <c r="E26" s="129"/>
      <c r="F26" s="129"/>
      <c r="G26" s="129"/>
      <c r="H26" s="129"/>
      <c r="I26" s="129"/>
      <c r="J26" s="129"/>
      <c r="K26" s="129"/>
      <c r="L26" s="129"/>
      <c r="M26" s="129"/>
    </row>
    <row r="27" spans="1:13" s="462" customFormat="1" ht="15">
      <c r="A27" s="339" t="s">
        <v>1005</v>
      </c>
      <c r="B27" s="484">
        <v>7192.7</v>
      </c>
      <c r="C27" s="484">
        <v>7192.3</v>
      </c>
      <c r="D27" s="129"/>
      <c r="E27" s="129"/>
      <c r="F27" s="129"/>
      <c r="G27" s="129"/>
      <c r="H27" s="129"/>
      <c r="I27" s="129"/>
      <c r="J27" s="129"/>
      <c r="K27" s="129"/>
      <c r="L27" s="129"/>
      <c r="M27" s="129"/>
    </row>
    <row r="28" spans="1:13" s="462" customFormat="1" ht="15">
      <c r="A28" s="339" t="s">
        <v>1006</v>
      </c>
      <c r="B28" s="484">
        <v>4301.8</v>
      </c>
      <c r="C28" s="484">
        <v>7166.6</v>
      </c>
      <c r="D28" s="129"/>
      <c r="E28" s="129"/>
      <c r="F28" s="129"/>
      <c r="G28" s="129"/>
      <c r="H28" s="129"/>
      <c r="I28" s="129"/>
      <c r="J28" s="129"/>
      <c r="K28" s="129"/>
      <c r="L28" s="129"/>
      <c r="M28" s="129"/>
    </row>
    <row r="29" spans="1:13" s="462" customFormat="1" ht="15">
      <c r="A29" s="339" t="s">
        <v>1007</v>
      </c>
      <c r="B29" s="484">
        <v>31808.7</v>
      </c>
      <c r="C29" s="484">
        <v>32344</v>
      </c>
      <c r="D29" s="129"/>
      <c r="E29" s="129"/>
      <c r="F29" s="129"/>
      <c r="G29" s="129"/>
      <c r="H29" s="129"/>
      <c r="I29" s="129"/>
      <c r="J29" s="129"/>
      <c r="K29" s="129"/>
      <c r="L29" s="129"/>
      <c r="M29" s="129"/>
    </row>
    <row r="30" spans="1:13" s="462" customFormat="1" ht="15">
      <c r="A30" s="339" t="s">
        <v>1009</v>
      </c>
      <c r="B30" s="484">
        <v>10242.7</v>
      </c>
      <c r="C30" s="484">
        <v>10242.7</v>
      </c>
      <c r="D30" s="129"/>
      <c r="E30" s="129"/>
      <c r="F30" s="129"/>
      <c r="G30" s="129"/>
      <c r="H30" s="129"/>
      <c r="I30" s="129"/>
      <c r="J30" s="129"/>
      <c r="K30" s="129"/>
      <c r="L30" s="129"/>
      <c r="M30" s="129"/>
    </row>
    <row r="31" spans="1:13" s="462" customFormat="1" ht="15">
      <c r="A31" s="339" t="s">
        <v>1008</v>
      </c>
      <c r="B31" s="484">
        <v>11051.9</v>
      </c>
      <c r="C31" s="484">
        <v>11051.9</v>
      </c>
      <c r="D31" s="129"/>
      <c r="E31" s="129"/>
      <c r="F31" s="129"/>
      <c r="G31" s="129"/>
      <c r="H31" s="129"/>
      <c r="I31" s="129"/>
      <c r="J31" s="129"/>
      <c r="K31" s="129"/>
      <c r="L31" s="129"/>
      <c r="M31" s="129"/>
    </row>
    <row r="32" spans="1:13" s="462" customFormat="1" ht="15">
      <c r="A32" s="339" t="s">
        <v>1010</v>
      </c>
      <c r="B32" s="484">
        <v>106615.8</v>
      </c>
      <c r="C32" s="484">
        <v>32724.8</v>
      </c>
      <c r="D32" s="129"/>
      <c r="E32" s="129"/>
      <c r="F32" s="129"/>
      <c r="G32" s="129"/>
      <c r="H32" s="129"/>
      <c r="I32" s="129"/>
      <c r="J32" s="129"/>
      <c r="K32" s="129"/>
      <c r="L32" s="129"/>
      <c r="M32" s="129"/>
    </row>
    <row r="33" spans="1:13" s="462" customFormat="1" ht="15">
      <c r="A33" s="339" t="s">
        <v>1015</v>
      </c>
      <c r="B33" s="484">
        <v>4150.5</v>
      </c>
      <c r="C33" s="484">
        <v>0</v>
      </c>
      <c r="D33" s="129"/>
      <c r="E33" s="129"/>
      <c r="F33" s="129"/>
      <c r="G33" s="129"/>
      <c r="H33" s="129"/>
      <c r="I33" s="129"/>
      <c r="J33" s="129"/>
      <c r="K33" s="129"/>
      <c r="L33" s="129"/>
      <c r="M33" s="129"/>
    </row>
    <row r="34" spans="1:13" s="462" customFormat="1" ht="15">
      <c r="A34" s="339" t="s">
        <v>1011</v>
      </c>
      <c r="B34" s="484">
        <v>586</v>
      </c>
      <c r="C34" s="484">
        <v>586</v>
      </c>
      <c r="D34" s="129"/>
      <c r="E34" s="129"/>
      <c r="F34" s="129"/>
      <c r="G34" s="129"/>
      <c r="H34" s="129"/>
      <c r="I34" s="129"/>
      <c r="J34" s="129"/>
      <c r="K34" s="129"/>
      <c r="L34" s="129"/>
      <c r="M34" s="129"/>
    </row>
    <row r="35" spans="1:13" s="462" customFormat="1" ht="15">
      <c r="A35" s="339" t="s">
        <v>1012</v>
      </c>
      <c r="B35" s="484">
        <v>3482</v>
      </c>
      <c r="C35" s="484">
        <v>582</v>
      </c>
      <c r="D35" s="129"/>
      <c r="E35" s="129"/>
      <c r="F35" s="129"/>
      <c r="G35" s="129"/>
      <c r="H35" s="129"/>
      <c r="I35" s="129"/>
      <c r="J35" s="129"/>
      <c r="K35" s="129"/>
      <c r="L35" s="129"/>
      <c r="M35" s="129"/>
    </row>
    <row r="36" spans="1:13" s="462" customFormat="1" ht="15">
      <c r="A36" s="339" t="s">
        <v>1013</v>
      </c>
      <c r="B36" s="484">
        <v>978.9</v>
      </c>
      <c r="C36" s="484">
        <v>704.9</v>
      </c>
      <c r="D36" s="129"/>
      <c r="E36" s="129"/>
      <c r="F36" s="129"/>
      <c r="G36" s="129"/>
      <c r="H36" s="129"/>
      <c r="I36" s="129"/>
      <c r="J36" s="129"/>
      <c r="K36" s="129"/>
      <c r="L36" s="129"/>
      <c r="M36" s="129"/>
    </row>
    <row r="37" spans="1:13" s="462" customFormat="1" ht="15">
      <c r="A37" s="339" t="s">
        <v>1014</v>
      </c>
      <c r="B37" s="484">
        <v>543</v>
      </c>
      <c r="C37" s="484">
        <v>543</v>
      </c>
      <c r="D37" s="129"/>
      <c r="E37" s="129"/>
      <c r="F37" s="129"/>
      <c r="G37" s="129"/>
      <c r="H37" s="129"/>
      <c r="I37" s="129"/>
      <c r="J37" s="129"/>
      <c r="K37" s="129"/>
      <c r="L37" s="129"/>
      <c r="M37" s="129"/>
    </row>
    <row r="38" spans="1:3" ht="15">
      <c r="A38" s="129" t="s">
        <v>336</v>
      </c>
      <c r="B38" s="484"/>
      <c r="C38" s="484"/>
    </row>
    <row r="39" spans="1:3" ht="15">
      <c r="A39" s="129" t="s">
        <v>3</v>
      </c>
      <c r="B39" s="491">
        <f>SUM($B$9:B38)</f>
        <v>411065.7</v>
      </c>
      <c r="C39" s="491">
        <f>SUM($C$9:C38)</f>
        <v>372119.5</v>
      </c>
    </row>
  </sheetData>
  <sheetProtection/>
  <mergeCells count="3">
    <mergeCell ref="A4:D4"/>
    <mergeCell ref="A7:A8"/>
    <mergeCell ref="B6:C6"/>
  </mergeCells>
  <hyperlinks>
    <hyperlink ref="D1" location="BG!A1" display="BG"/>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G46"/>
  <sheetViews>
    <sheetView showGridLines="0" zoomScalePageLayoutView="0" workbookViewId="0" topLeftCell="A33">
      <selection activeCell="B35" sqref="B35"/>
    </sheetView>
  </sheetViews>
  <sheetFormatPr defaultColWidth="11.421875" defaultRowHeight="15"/>
  <cols>
    <col min="1" max="1" width="51.140625" style="0" customWidth="1"/>
    <col min="2" max="2" width="17.8515625" style="0" customWidth="1"/>
    <col min="3" max="3" width="14.8515625" style="0" bestFit="1" customWidth="1"/>
    <col min="4" max="4" width="3.421875" style="0" bestFit="1" customWidth="1"/>
    <col min="5" max="5" width="51.57421875" style="0" bestFit="1" customWidth="1"/>
    <col min="6" max="7" width="17.140625" style="0" customWidth="1"/>
  </cols>
  <sheetData>
    <row r="1" spans="1:4" ht="15">
      <c r="A1" t="str">
        <f>Indice!C1</f>
        <v>NEGOFIN S.A.E.C.A.</v>
      </c>
      <c r="D1" s="149" t="s">
        <v>132</v>
      </c>
    </row>
    <row r="3" spans="1:3" ht="15">
      <c r="A3" s="315" t="s">
        <v>337</v>
      </c>
      <c r="B3" s="315"/>
      <c r="C3" s="315"/>
    </row>
    <row r="4" spans="1:2" ht="15">
      <c r="A4" s="811" t="s">
        <v>314</v>
      </c>
      <c r="B4" s="811"/>
    </row>
    <row r="5" spans="1:7" ht="15">
      <c r="A5" s="11"/>
      <c r="E5" s="11"/>
      <c r="F5" s="302"/>
      <c r="G5" s="302"/>
    </row>
    <row r="6" spans="1:7" ht="15">
      <c r="A6" s="25" t="s">
        <v>65</v>
      </c>
      <c r="B6" s="406">
        <f>_xlfn.IFERROR(IF(Indice!B6="","2XX2",YEAR(Indice!B6)),"2XX2")</f>
        <v>2021</v>
      </c>
      <c r="C6" s="406">
        <f>_xlfn.IFERROR(YEAR(Indice!B6-365),"2XX1")</f>
        <v>2020</v>
      </c>
      <c r="E6" s="25" t="s">
        <v>840</v>
      </c>
      <c r="F6" s="406">
        <f>_xlfn.IFERROR(IF(Indice!B6="","2XX2",YEAR(Indice!B6)),"2XX2")</f>
        <v>2021</v>
      </c>
      <c r="G6" s="406">
        <f>_xlfn.IFERROR(YEAR(Indice!B6-365),"2XX1")</f>
        <v>2020</v>
      </c>
    </row>
    <row r="7" spans="1:7" ht="15">
      <c r="A7" s="11" t="s">
        <v>144</v>
      </c>
      <c r="B7" s="472">
        <v>11734.3</v>
      </c>
      <c r="C7" s="472">
        <v>0</v>
      </c>
      <c r="E7" s="11" t="s">
        <v>144</v>
      </c>
      <c r="F7" s="472">
        <v>0</v>
      </c>
      <c r="G7" s="472">
        <v>0</v>
      </c>
    </row>
    <row r="8" spans="1:7" ht="15">
      <c r="A8" s="26" t="s">
        <v>20</v>
      </c>
      <c r="B8" s="487">
        <v>17601.5</v>
      </c>
      <c r="C8" s="488">
        <v>0</v>
      </c>
      <c r="E8" s="26" t="s">
        <v>20</v>
      </c>
      <c r="F8" s="472">
        <v>0</v>
      </c>
      <c r="G8" s="472">
        <v>0</v>
      </c>
    </row>
    <row r="9" spans="1:7" ht="15">
      <c r="A9" s="26" t="s">
        <v>21</v>
      </c>
      <c r="B9" s="487">
        <v>0</v>
      </c>
      <c r="C9" s="488">
        <v>0</v>
      </c>
      <c r="E9" s="26" t="s">
        <v>21</v>
      </c>
      <c r="F9" s="472">
        <v>0</v>
      </c>
      <c r="G9" s="472">
        <v>0</v>
      </c>
    </row>
    <row r="10" spans="1:7" ht="15">
      <c r="A10" s="26" t="s">
        <v>146</v>
      </c>
      <c r="B10" s="487">
        <v>0</v>
      </c>
      <c r="C10" s="488">
        <v>0</v>
      </c>
      <c r="E10" s="26" t="s">
        <v>147</v>
      </c>
      <c r="F10" s="472">
        <v>0</v>
      </c>
      <c r="G10" s="472">
        <v>0</v>
      </c>
    </row>
    <row r="11" spans="1:7" ht="15">
      <c r="A11" s="11" t="s">
        <v>850</v>
      </c>
      <c r="B11" s="487">
        <v>0</v>
      </c>
      <c r="C11" s="488">
        <v>0</v>
      </c>
      <c r="E11" s="11" t="s">
        <v>850</v>
      </c>
      <c r="F11" s="472">
        <v>0</v>
      </c>
      <c r="G11" s="472">
        <v>0</v>
      </c>
    </row>
    <row r="12" spans="1:7" ht="15">
      <c r="A12" s="11" t="s">
        <v>1016</v>
      </c>
      <c r="B12" s="487">
        <v>21706.3</v>
      </c>
      <c r="C12" s="488">
        <v>14143.1</v>
      </c>
      <c r="E12" s="11" t="s">
        <v>145</v>
      </c>
      <c r="F12" s="472">
        <v>0</v>
      </c>
      <c r="G12" s="472">
        <v>0</v>
      </c>
    </row>
    <row r="13" spans="1:7" ht="15">
      <c r="A13" s="11" t="s">
        <v>1017</v>
      </c>
      <c r="B13" s="487">
        <v>71430</v>
      </c>
      <c r="C13" s="488">
        <v>76809.7</v>
      </c>
      <c r="E13" s="318" t="s">
        <v>66</v>
      </c>
      <c r="F13" s="472">
        <v>0</v>
      </c>
      <c r="G13" s="472">
        <v>0</v>
      </c>
    </row>
    <row r="14" spans="1:7" s="29" customFormat="1" ht="15.75" thickBot="1">
      <c r="A14" s="11" t="s">
        <v>1018</v>
      </c>
      <c r="B14" s="487">
        <v>293342.8</v>
      </c>
      <c r="C14" s="488">
        <v>334355.1</v>
      </c>
      <c r="E14" s="28" t="s">
        <v>18</v>
      </c>
      <c r="F14" s="489">
        <f>SUM(F8:F13)</f>
        <v>0</v>
      </c>
      <c r="G14" s="490">
        <f>SUM(G8:G13)</f>
        <v>0</v>
      </c>
    </row>
    <row r="15" spans="1:3" s="29" customFormat="1" ht="15.75" thickTop="1">
      <c r="A15" s="11" t="s">
        <v>1019</v>
      </c>
      <c r="B15" s="487">
        <v>9038.7</v>
      </c>
      <c r="C15" s="488">
        <v>90524.6</v>
      </c>
    </row>
    <row r="16" spans="1:7" ht="15">
      <c r="A16" s="11" t="s">
        <v>1020</v>
      </c>
      <c r="B16" s="487">
        <v>3983</v>
      </c>
      <c r="C16" s="488">
        <v>73966.4</v>
      </c>
      <c r="E16" s="28"/>
      <c r="F16" s="11"/>
      <c r="G16" s="17"/>
    </row>
    <row r="17" spans="1:3" ht="15">
      <c r="A17" s="11" t="s">
        <v>1010</v>
      </c>
      <c r="B17" s="487">
        <v>131088.2</v>
      </c>
      <c r="C17" s="488">
        <v>0</v>
      </c>
    </row>
    <row r="18" spans="1:3" ht="15">
      <c r="A18" s="11" t="s">
        <v>1025</v>
      </c>
      <c r="B18" s="487">
        <v>169039.3</v>
      </c>
      <c r="C18" s="488">
        <v>9181.6</v>
      </c>
    </row>
    <row r="19" spans="1:3" ht="15">
      <c r="A19" s="11" t="s">
        <v>1026</v>
      </c>
      <c r="B19" s="487">
        <v>83508.7</v>
      </c>
      <c r="C19" s="488">
        <v>0</v>
      </c>
    </row>
    <row r="20" spans="1:3" ht="15">
      <c r="A20" s="11" t="s">
        <v>1012</v>
      </c>
      <c r="B20" s="487">
        <v>58290.4</v>
      </c>
      <c r="C20" s="488">
        <v>0</v>
      </c>
    </row>
    <row r="21" spans="1:3" ht="15">
      <c r="A21" s="11" t="s">
        <v>1027</v>
      </c>
      <c r="B21" s="487">
        <v>110350.4</v>
      </c>
      <c r="C21" s="488">
        <v>0</v>
      </c>
    </row>
    <row r="22" spans="1:3" ht="15">
      <c r="A22" s="11" t="s">
        <v>1028</v>
      </c>
      <c r="B22" s="487">
        <v>112308.1</v>
      </c>
      <c r="C22" s="488">
        <v>12494</v>
      </c>
    </row>
    <row r="23" spans="1:3" ht="15">
      <c r="A23" s="11" t="s">
        <v>1015</v>
      </c>
      <c r="B23" s="487">
        <v>125082.6</v>
      </c>
      <c r="C23" s="488">
        <v>49776.7</v>
      </c>
    </row>
    <row r="24" spans="1:3" ht="15">
      <c r="A24" s="11" t="s">
        <v>1013</v>
      </c>
      <c r="B24" s="487">
        <v>8876.7</v>
      </c>
      <c r="C24" s="488">
        <v>49962.5</v>
      </c>
    </row>
    <row r="25" spans="1:3" ht="15">
      <c r="A25" s="11" t="s">
        <v>1029</v>
      </c>
      <c r="B25" s="487">
        <v>15603.7</v>
      </c>
      <c r="C25" s="488">
        <v>32752.5</v>
      </c>
    </row>
    <row r="26" spans="1:3" ht="15">
      <c r="A26" s="11" t="s">
        <v>1030</v>
      </c>
      <c r="B26" s="487">
        <v>21889.4</v>
      </c>
      <c r="C26" s="488">
        <v>21818</v>
      </c>
    </row>
    <row r="27" spans="1:3" ht="15">
      <c r="A27" s="11" t="s">
        <v>1031</v>
      </c>
      <c r="B27" s="487">
        <v>4606.5</v>
      </c>
      <c r="C27" s="488">
        <v>3714</v>
      </c>
    </row>
    <row r="28" spans="1:3" s="462" customFormat="1" ht="15">
      <c r="A28" s="11" t="s">
        <v>1032</v>
      </c>
      <c r="B28" s="487">
        <v>3735</v>
      </c>
      <c r="C28" s="488">
        <v>3735</v>
      </c>
    </row>
    <row r="29" spans="1:3" s="462" customFormat="1" ht="15">
      <c r="A29" s="11" t="s">
        <v>1043</v>
      </c>
      <c r="B29" s="487">
        <v>357</v>
      </c>
      <c r="C29" s="488">
        <v>357</v>
      </c>
    </row>
    <row r="30" spans="1:3" s="462" customFormat="1" ht="15">
      <c r="A30" s="11" t="s">
        <v>1033</v>
      </c>
      <c r="B30" s="487">
        <v>6249.5</v>
      </c>
      <c r="C30" s="488">
        <v>178.5</v>
      </c>
    </row>
    <row r="31" spans="1:3" s="462" customFormat="1" ht="15">
      <c r="A31" s="11" t="s">
        <v>1034</v>
      </c>
      <c r="B31" s="487">
        <v>5892.5</v>
      </c>
      <c r="C31" s="488">
        <v>5892.5</v>
      </c>
    </row>
    <row r="32" spans="1:3" s="462" customFormat="1" ht="15">
      <c r="A32" s="11" t="s">
        <v>1035</v>
      </c>
      <c r="B32" s="487">
        <v>803.2</v>
      </c>
      <c r="C32" s="488">
        <v>1428</v>
      </c>
    </row>
    <row r="33" spans="1:3" s="462" customFormat="1" ht="15">
      <c r="A33" s="11" t="s">
        <v>1014</v>
      </c>
      <c r="B33" s="487">
        <v>112320</v>
      </c>
      <c r="C33" s="488">
        <v>89607.4</v>
      </c>
    </row>
    <row r="34" spans="1:3" s="462" customFormat="1" ht="15">
      <c r="A34" s="11" t="s">
        <v>1036</v>
      </c>
      <c r="B34" s="487">
        <v>109088</v>
      </c>
      <c r="C34" s="488">
        <v>31548.1</v>
      </c>
    </row>
    <row r="35" spans="1:3" s="462" customFormat="1" ht="15">
      <c r="A35" s="11" t="s">
        <v>1037</v>
      </c>
      <c r="B35" s="487">
        <v>44570</v>
      </c>
      <c r="C35" s="488">
        <v>15270.5</v>
      </c>
    </row>
    <row r="36" spans="1:3" s="462" customFormat="1" ht="15">
      <c r="A36" s="11" t="s">
        <v>1038</v>
      </c>
      <c r="B36" s="487">
        <v>44667.5</v>
      </c>
      <c r="C36" s="488">
        <v>0</v>
      </c>
    </row>
    <row r="37" spans="1:3" s="462" customFormat="1" ht="15">
      <c r="A37" s="11" t="s">
        <v>1039</v>
      </c>
      <c r="B37" s="487">
        <v>18687.2</v>
      </c>
      <c r="C37" s="488">
        <v>34095.7</v>
      </c>
    </row>
    <row r="38" spans="1:3" s="462" customFormat="1" ht="15">
      <c r="A38" s="11" t="s">
        <v>1040</v>
      </c>
      <c r="B38" s="487">
        <v>2224.9</v>
      </c>
      <c r="C38" s="488">
        <v>480</v>
      </c>
    </row>
    <row r="39" spans="1:3" s="462" customFormat="1" ht="15">
      <c r="A39" s="11" t="s">
        <v>1044</v>
      </c>
      <c r="B39" s="487">
        <v>0</v>
      </c>
      <c r="C39" s="488">
        <v>23200.8</v>
      </c>
    </row>
    <row r="40" spans="1:3" s="462" customFormat="1" ht="15">
      <c r="A40" s="11" t="s">
        <v>1045</v>
      </c>
      <c r="B40" s="487">
        <v>0</v>
      </c>
      <c r="C40" s="488">
        <v>13919.6</v>
      </c>
    </row>
    <row r="41" spans="1:3" s="462" customFormat="1" ht="15">
      <c r="A41" s="11" t="s">
        <v>1041</v>
      </c>
      <c r="B41" s="487">
        <v>1445.8</v>
      </c>
      <c r="C41" s="488">
        <v>0</v>
      </c>
    </row>
    <row r="42" spans="1:3" s="462" customFormat="1" ht="15">
      <c r="A42" s="11" t="s">
        <v>1042</v>
      </c>
      <c r="B42" s="487">
        <v>1666.5</v>
      </c>
      <c r="C42" s="488">
        <v>15865.8</v>
      </c>
    </row>
    <row r="43" spans="1:3" ht="15">
      <c r="A43" s="11" t="s">
        <v>145</v>
      </c>
      <c r="B43" s="487">
        <v>0</v>
      </c>
      <c r="C43" s="488">
        <v>0</v>
      </c>
    </row>
    <row r="44" spans="1:3" ht="15">
      <c r="A44" s="318" t="s">
        <v>66</v>
      </c>
      <c r="B44" s="487"/>
      <c r="C44" s="488"/>
    </row>
    <row r="45" spans="1:3" ht="15.75" thickBot="1">
      <c r="A45" s="28" t="s">
        <v>18</v>
      </c>
      <c r="B45" s="489">
        <f>SUM(B7:B44)</f>
        <v>1621187.7</v>
      </c>
      <c r="C45" s="490">
        <f>SUM(C8:C44)</f>
        <v>1005077.1</v>
      </c>
    </row>
    <row r="46" spans="1:3" ht="15.75" thickTop="1">
      <c r="A46" s="28"/>
      <c r="B46" s="80"/>
      <c r="C46" s="81"/>
    </row>
  </sheetData>
  <sheetProtection/>
  <mergeCells count="1">
    <mergeCell ref="A4:B4"/>
  </mergeCells>
  <hyperlinks>
    <hyperlink ref="D1" location="BG!A1" display="BG"/>
  </hyperlinks>
  <printOptions horizontalCentered="1"/>
  <pageMargins left="0.7086614173228347" right="0.7086614173228347" top="0.7480314960629921" bottom="0.7480314960629921" header="0.31496062992125984" footer="0.31496062992125984"/>
  <pageSetup orientation="portrait" paperSize="5" scale="80" r:id="rId2"/>
  <drawing r:id="rId1"/>
</worksheet>
</file>

<file path=xl/worksheets/sheet25.xml><?xml version="1.0" encoding="utf-8"?>
<worksheet xmlns="http://schemas.openxmlformats.org/spreadsheetml/2006/main" xmlns:r="http://schemas.openxmlformats.org/officeDocument/2006/relationships">
  <dimension ref="A1:L12"/>
  <sheetViews>
    <sheetView showGridLines="0" zoomScalePageLayoutView="0" workbookViewId="0" topLeftCell="A1">
      <selection activeCell="C3" sqref="C3"/>
    </sheetView>
  </sheetViews>
  <sheetFormatPr defaultColWidth="11.421875" defaultRowHeight="15"/>
  <cols>
    <col min="1" max="1" width="38.28125" style="0" customWidth="1"/>
    <col min="2" max="2" width="19.57421875" style="0" customWidth="1"/>
    <col min="3" max="3" width="17.8515625" style="0" customWidth="1"/>
    <col min="4" max="4" width="15.421875" style="0" customWidth="1"/>
    <col min="5" max="5" width="10.7109375" style="0" customWidth="1"/>
    <col min="6" max="6" width="33.57421875" style="0" customWidth="1"/>
    <col min="7" max="7" width="1.1484375" style="0" customWidth="1"/>
    <col min="9" max="9" width="1.1484375" style="0" customWidth="1"/>
    <col min="10" max="10" width="18.140625" style="0" customWidth="1"/>
    <col min="11" max="11" width="1.1484375" style="0" customWidth="1"/>
    <col min="12" max="12" width="13.140625" style="0" customWidth="1"/>
  </cols>
  <sheetData>
    <row r="1" spans="1:4" ht="15">
      <c r="A1" t="str">
        <f>Indice!C1</f>
        <v>NEGOFIN S.A.E.C.A.</v>
      </c>
      <c r="D1" s="149" t="s">
        <v>132</v>
      </c>
    </row>
    <row r="4" spans="1:12" ht="15">
      <c r="A4" s="812" t="s">
        <v>339</v>
      </c>
      <c r="B4" s="812"/>
      <c r="C4" s="812"/>
      <c r="D4" s="812"/>
      <c r="E4" s="257"/>
      <c r="F4" s="257"/>
      <c r="G4" s="257"/>
      <c r="H4" s="257"/>
      <c r="I4" s="257"/>
      <c r="J4" s="257"/>
      <c r="K4" s="257"/>
      <c r="L4" s="257"/>
    </row>
    <row r="5" spans="5:12" ht="15">
      <c r="E5" s="55"/>
      <c r="F5" s="55"/>
      <c r="G5" s="55"/>
      <c r="H5" s="55"/>
      <c r="I5" s="55"/>
      <c r="J5" s="55"/>
      <c r="K5" s="55"/>
      <c r="L5" s="55"/>
    </row>
    <row r="6" spans="1:12" s="301" customFormat="1" ht="15">
      <c r="A6" s="301" t="s">
        <v>855</v>
      </c>
      <c r="B6" s="406">
        <f>_xlfn.IFERROR(IF(Indice!B6="","2XX2",YEAR(Indice!B6)),"2XX2")</f>
        <v>2021</v>
      </c>
      <c r="C6" s="406">
        <f>_xlfn.IFERROR(YEAR(Indice!B6-365),"2XX1")</f>
        <v>2020</v>
      </c>
      <c r="E6" s="55"/>
      <c r="F6" s="55"/>
      <c r="G6" s="55"/>
      <c r="H6" s="55"/>
      <c r="I6" s="55"/>
      <c r="J6" s="55"/>
      <c r="K6" s="55"/>
      <c r="L6" s="55"/>
    </row>
    <row r="7" spans="1:12" s="301" customFormat="1" ht="15">
      <c r="A7" s="301" t="s">
        <v>856</v>
      </c>
      <c r="B7" s="471">
        <v>150000000</v>
      </c>
      <c r="C7" s="471">
        <v>150000000</v>
      </c>
      <c r="E7" s="55"/>
      <c r="F7" s="55"/>
      <c r="G7" s="55"/>
      <c r="H7" s="55"/>
      <c r="I7" s="55"/>
      <c r="J7" s="55"/>
      <c r="K7" s="55"/>
      <c r="L7" s="55"/>
    </row>
    <row r="8" spans="1:12" s="301" customFormat="1" ht="15">
      <c r="A8" s="301" t="s">
        <v>859</v>
      </c>
      <c r="B8" s="471">
        <v>120000000</v>
      </c>
      <c r="C8" s="471">
        <v>120000000</v>
      </c>
      <c r="E8" s="55"/>
      <c r="F8" s="55"/>
      <c r="G8" s="55"/>
      <c r="H8" s="55"/>
      <c r="I8" s="55"/>
      <c r="J8" s="55"/>
      <c r="K8" s="55"/>
      <c r="L8" s="55"/>
    </row>
    <row r="9" spans="1:12" s="462" customFormat="1" ht="15">
      <c r="A9" s="462" t="s">
        <v>1046</v>
      </c>
      <c r="B9" s="471">
        <v>884126</v>
      </c>
      <c r="C9" s="471">
        <v>884126</v>
      </c>
      <c r="E9" s="55"/>
      <c r="F9" s="55"/>
      <c r="G9" s="55"/>
      <c r="H9" s="55"/>
      <c r="I9" s="55"/>
      <c r="J9" s="55"/>
      <c r="K9" s="55"/>
      <c r="L9" s="55"/>
    </row>
    <row r="10" spans="1:12" s="301" customFormat="1" ht="15">
      <c r="A10" s="301" t="s">
        <v>858</v>
      </c>
      <c r="B10" s="471">
        <v>120000</v>
      </c>
      <c r="C10" s="471">
        <v>120000</v>
      </c>
      <c r="E10" s="55"/>
      <c r="F10" s="55"/>
      <c r="G10" s="55"/>
      <c r="H10" s="55"/>
      <c r="I10" s="55"/>
      <c r="J10" s="55"/>
      <c r="K10" s="55"/>
      <c r="L10" s="55"/>
    </row>
    <row r="11" spans="1:12" s="301" customFormat="1" ht="15">
      <c r="A11" s="337" t="s">
        <v>857</v>
      </c>
      <c r="B11" s="530">
        <v>1000</v>
      </c>
      <c r="C11" s="530">
        <v>1000</v>
      </c>
      <c r="E11" s="55"/>
      <c r="F11" s="55"/>
      <c r="G11" s="55"/>
      <c r="H11" s="55"/>
      <c r="I11" s="55"/>
      <c r="J11" s="55"/>
      <c r="K11" s="55"/>
      <c r="L11" s="55"/>
    </row>
    <row r="12" spans="1:3" ht="15">
      <c r="A12" t="s">
        <v>3</v>
      </c>
      <c r="B12" s="471">
        <f>+B8+B9</f>
        <v>120884126</v>
      </c>
      <c r="C12" s="471">
        <f>+C8+C9</f>
        <v>120884126</v>
      </c>
    </row>
  </sheetData>
  <sheetProtection/>
  <mergeCells count="1">
    <mergeCell ref="A4:D4"/>
  </mergeCells>
  <hyperlinks>
    <hyperlink ref="D1" location="BG!A1" display="BG"/>
  </hyperlinks>
  <printOptions/>
  <pageMargins left="0.7086614173228347" right="0.7086614173228347" top="0.7480314960629921" bottom="0.7480314960629921" header="0.31496062992125984" footer="0.31496062992125984"/>
  <pageSetup orientation="portrait" paperSize="9" scale="80" r:id="rId2"/>
  <drawing r:id="rId1"/>
</worksheet>
</file>

<file path=xl/worksheets/sheet26.xml><?xml version="1.0" encoding="utf-8"?>
<worksheet xmlns="http://schemas.openxmlformats.org/spreadsheetml/2006/main" xmlns:r="http://schemas.openxmlformats.org/officeDocument/2006/relationships">
  <dimension ref="A1:F8"/>
  <sheetViews>
    <sheetView zoomScalePageLayoutView="0" workbookViewId="0" topLeftCell="A1">
      <selection activeCell="D2" sqref="D2"/>
    </sheetView>
  </sheetViews>
  <sheetFormatPr defaultColWidth="11.421875" defaultRowHeight="15"/>
  <cols>
    <col min="1" max="1" width="34.421875" style="29" customWidth="1"/>
    <col min="2" max="3" width="19.00390625" style="29" customWidth="1"/>
    <col min="4" max="25" width="11.421875" style="29" customWidth="1"/>
  </cols>
  <sheetData>
    <row r="1" spans="1:6" ht="15">
      <c r="A1" s="29" t="str">
        <f>Indice!C1</f>
        <v>NEGOFIN S.A.E.C.A.</v>
      </c>
      <c r="F1" s="154" t="s">
        <v>132</v>
      </c>
    </row>
    <row r="4" spans="1:6" ht="15">
      <c r="A4" s="315" t="s">
        <v>340</v>
      </c>
      <c r="B4" s="315"/>
      <c r="C4" s="315"/>
      <c r="D4" s="315"/>
      <c r="E4" s="257"/>
      <c r="F4" s="258"/>
    </row>
    <row r="6" spans="2:3" ht="15">
      <c r="B6" s="801" t="s">
        <v>314</v>
      </c>
      <c r="C6" s="801"/>
    </row>
    <row r="7" spans="2:3" ht="15">
      <c r="B7" s="406">
        <f>_xlfn.IFERROR(IF(Indice!B6="","2XX2",YEAR(Indice!B6)),"2XX2")</f>
        <v>2021</v>
      </c>
      <c r="C7" s="406">
        <f>+_xlfn.IFERROR(YEAR(Indice!B6-365),"2XX1")</f>
        <v>2020</v>
      </c>
    </row>
    <row r="8" ht="15">
      <c r="A8" s="155" t="s">
        <v>70</v>
      </c>
    </row>
  </sheetData>
  <sheetProtection/>
  <mergeCells count="1">
    <mergeCell ref="B6:C6"/>
  </mergeCells>
  <hyperlinks>
    <hyperlink ref="F1" location="BG!A1" display="BG"/>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O22"/>
  <sheetViews>
    <sheetView zoomScalePageLayoutView="0" workbookViewId="0" topLeftCell="A13">
      <selection activeCell="C12" sqref="C12"/>
    </sheetView>
  </sheetViews>
  <sheetFormatPr defaultColWidth="11.421875" defaultRowHeight="15"/>
  <cols>
    <col min="1" max="1" width="24.8515625" style="129" customWidth="1"/>
    <col min="2" max="2" width="18.57421875" style="129" customWidth="1"/>
    <col min="3" max="3" width="16.7109375" style="129" customWidth="1"/>
    <col min="4" max="15" width="11.421875" style="129" customWidth="1"/>
  </cols>
  <sheetData>
    <row r="1" spans="1:6" ht="15">
      <c r="A1" s="129" t="str">
        <f>Indice!C1</f>
        <v>NEGOFIN S.A.E.C.A.</v>
      </c>
      <c r="F1" s="150" t="s">
        <v>132</v>
      </c>
    </row>
    <row r="3" spans="10:11" ht="15">
      <c r="J3" s="29"/>
      <c r="K3" s="29"/>
    </row>
    <row r="4" spans="1:13" ht="15">
      <c r="A4" s="805" t="s">
        <v>341</v>
      </c>
      <c r="B4" s="805"/>
      <c r="C4" s="805"/>
      <c r="D4" s="805"/>
      <c r="E4" s="805"/>
      <c r="F4" s="805"/>
      <c r="G4" s="153"/>
      <c r="H4" s="153"/>
      <c r="I4" s="153"/>
      <c r="J4" s="29"/>
      <c r="K4" s="29"/>
      <c r="L4" s="153"/>
      <c r="M4" s="153"/>
    </row>
    <row r="5" spans="10:11" ht="15">
      <c r="J5" s="29"/>
      <c r="K5" s="29"/>
    </row>
    <row r="6" spans="2:3" ht="15">
      <c r="B6" s="801" t="s">
        <v>314</v>
      </c>
      <c r="C6" s="801"/>
    </row>
    <row r="7" spans="2:3" ht="15">
      <c r="B7" s="406">
        <f>_xlfn.IFERROR(IF(Indice!B6="","2XX2",YEAR(Indice!B6)),"2XX2")</f>
        <v>2021</v>
      </c>
      <c r="C7" s="406">
        <f>_xlfn.IFERROR(YEAR(Indice!B6-365),"2XX1")</f>
        <v>2020</v>
      </c>
    </row>
    <row r="8" spans="1:3" ht="15">
      <c r="A8" s="341" t="s">
        <v>149</v>
      </c>
      <c r="B8" s="531">
        <v>1334216.8</v>
      </c>
      <c r="C8" s="531">
        <v>1334216.8</v>
      </c>
    </row>
    <row r="9" spans="1:15" s="301" customFormat="1" ht="15">
      <c r="A9" s="134"/>
      <c r="B9" s="129"/>
      <c r="C9" s="129"/>
      <c r="D9" s="129"/>
      <c r="E9" s="129"/>
      <c r="F9" s="129"/>
      <c r="G9" s="129"/>
      <c r="H9" s="129"/>
      <c r="I9" s="129"/>
      <c r="J9" s="129"/>
      <c r="K9" s="129"/>
      <c r="L9" s="129"/>
      <c r="M9" s="129"/>
      <c r="N9" s="129"/>
      <c r="O9" s="129"/>
    </row>
    <row r="10" spans="1:15" s="301" customFormat="1" ht="15">
      <c r="A10" s="134"/>
      <c r="B10" s="129"/>
      <c r="C10" s="129"/>
      <c r="D10" s="129"/>
      <c r="E10" s="129"/>
      <c r="F10" s="129"/>
      <c r="G10" s="129"/>
      <c r="H10" s="129"/>
      <c r="I10" s="129"/>
      <c r="J10" s="129"/>
      <c r="K10" s="129"/>
      <c r="L10" s="129"/>
      <c r="M10" s="129"/>
      <c r="N10" s="129"/>
      <c r="O10" s="129"/>
    </row>
    <row r="11" spans="1:15" s="301" customFormat="1" ht="15">
      <c r="A11" s="134"/>
      <c r="B11" s="129"/>
      <c r="C11" s="129"/>
      <c r="D11" s="129"/>
      <c r="E11" s="129"/>
      <c r="F11" s="129"/>
      <c r="G11" s="129"/>
      <c r="H11" s="129"/>
      <c r="I11" s="129"/>
      <c r="J11" s="129"/>
      <c r="K11" s="129"/>
      <c r="L11" s="129"/>
      <c r="M11" s="129"/>
      <c r="N11" s="129"/>
      <c r="O11" s="129"/>
    </row>
    <row r="12" spans="1:3" ht="15">
      <c r="A12" s="341" t="s">
        <v>150</v>
      </c>
      <c r="B12" s="531">
        <v>12704334.2</v>
      </c>
      <c r="C12" s="531">
        <v>11145066.2</v>
      </c>
    </row>
    <row r="13" spans="1:15" s="301" customFormat="1" ht="15">
      <c r="A13" s="134"/>
      <c r="B13" s="129"/>
      <c r="C13" s="129"/>
      <c r="D13" s="129"/>
      <c r="E13" s="129"/>
      <c r="F13" s="129"/>
      <c r="G13" s="129"/>
      <c r="H13" s="129"/>
      <c r="I13" s="129"/>
      <c r="J13" s="129"/>
      <c r="K13" s="129"/>
      <c r="L13" s="129"/>
      <c r="M13" s="129"/>
      <c r="N13" s="129"/>
      <c r="O13" s="129"/>
    </row>
    <row r="14" spans="1:15" s="301" customFormat="1" ht="15">
      <c r="A14" s="134"/>
      <c r="B14" s="129"/>
      <c r="C14" s="129"/>
      <c r="D14" s="129"/>
      <c r="E14" s="129"/>
      <c r="F14" s="129"/>
      <c r="G14" s="129"/>
      <c r="H14" s="129"/>
      <c r="I14" s="129"/>
      <c r="J14" s="129"/>
      <c r="K14" s="129"/>
      <c r="L14" s="129"/>
      <c r="M14" s="129"/>
      <c r="N14" s="129"/>
      <c r="O14" s="129"/>
    </row>
    <row r="15" spans="1:15" s="301" customFormat="1" ht="15">
      <c r="A15" s="134"/>
      <c r="B15" s="129"/>
      <c r="C15" s="129"/>
      <c r="D15" s="129"/>
      <c r="E15" s="129"/>
      <c r="F15" s="129"/>
      <c r="G15" s="129"/>
      <c r="H15" s="129"/>
      <c r="I15" s="129"/>
      <c r="J15" s="129"/>
      <c r="K15" s="129"/>
      <c r="L15" s="129"/>
      <c r="M15" s="129"/>
      <c r="N15" s="129"/>
      <c r="O15" s="129"/>
    </row>
    <row r="16" spans="1:3" ht="15">
      <c r="A16" s="341" t="s">
        <v>151</v>
      </c>
      <c r="B16" s="531"/>
      <c r="C16" s="531"/>
    </row>
    <row r="17" spans="1:15" s="301" customFormat="1" ht="15">
      <c r="A17" s="134"/>
      <c r="B17" s="129"/>
      <c r="C17" s="129"/>
      <c r="D17" s="129"/>
      <c r="E17" s="129"/>
      <c r="F17" s="129"/>
      <c r="G17" s="129"/>
      <c r="H17" s="129"/>
      <c r="I17" s="129"/>
      <c r="J17" s="129"/>
      <c r="K17" s="129"/>
      <c r="L17" s="129"/>
      <c r="M17" s="129"/>
      <c r="N17" s="129"/>
      <c r="O17" s="129"/>
    </row>
    <row r="18" spans="1:15" s="301" customFormat="1" ht="15">
      <c r="A18" s="134"/>
      <c r="B18" s="129"/>
      <c r="C18" s="129"/>
      <c r="D18" s="129"/>
      <c r="E18" s="129"/>
      <c r="F18" s="129"/>
      <c r="G18" s="129"/>
      <c r="H18" s="129"/>
      <c r="I18" s="129"/>
      <c r="J18" s="129"/>
      <c r="K18" s="129"/>
      <c r="L18" s="129"/>
      <c r="M18" s="129"/>
      <c r="N18" s="129"/>
      <c r="O18" s="129"/>
    </row>
    <row r="19" spans="1:15" s="301" customFormat="1" ht="15">
      <c r="A19" s="134"/>
      <c r="B19" s="531"/>
      <c r="C19" s="531"/>
      <c r="D19" s="129"/>
      <c r="E19" s="129"/>
      <c r="F19" s="129"/>
      <c r="G19" s="129"/>
      <c r="H19" s="129"/>
      <c r="I19" s="129"/>
      <c r="J19" s="129"/>
      <c r="K19" s="129"/>
      <c r="L19" s="129"/>
      <c r="M19" s="129"/>
      <c r="N19" s="129"/>
      <c r="O19" s="129"/>
    </row>
    <row r="20" spans="1:3" ht="15">
      <c r="A20" s="341" t="s">
        <v>152</v>
      </c>
      <c r="B20" s="531">
        <v>3852480</v>
      </c>
      <c r="C20" s="531">
        <f>+SUM($C$21:C26)</f>
        <v>0</v>
      </c>
    </row>
    <row r="21" ht="15">
      <c r="A21" s="340" t="s">
        <v>860</v>
      </c>
    </row>
    <row r="22" ht="15">
      <c r="A22" s="129" t="s">
        <v>861</v>
      </c>
    </row>
  </sheetData>
  <sheetProtection/>
  <mergeCells count="2">
    <mergeCell ref="A4:F4"/>
    <mergeCell ref="B6:C6"/>
  </mergeCells>
  <hyperlinks>
    <hyperlink ref="F1" location="BG!A1" display="BG"/>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F14"/>
  <sheetViews>
    <sheetView zoomScalePageLayoutView="0" workbookViewId="0" topLeftCell="A4">
      <selection activeCell="C9" sqref="C9"/>
    </sheetView>
  </sheetViews>
  <sheetFormatPr defaultColWidth="11.421875" defaultRowHeight="15"/>
  <cols>
    <col min="1" max="1" width="40.7109375" style="29" customWidth="1"/>
    <col min="2" max="3" width="19.00390625" style="29" customWidth="1"/>
    <col min="4" max="32" width="11.421875" style="29" customWidth="1"/>
  </cols>
  <sheetData>
    <row r="1" spans="1:6" ht="15">
      <c r="A1" s="29" t="str">
        <f>Indice!C1</f>
        <v>NEGOFIN S.A.E.C.A.</v>
      </c>
      <c r="F1" s="154" t="s">
        <v>132</v>
      </c>
    </row>
    <row r="4" spans="1:6" ht="15">
      <c r="A4" s="315" t="s">
        <v>342</v>
      </c>
      <c r="B4" s="315"/>
      <c r="C4" s="315"/>
      <c r="D4" s="315"/>
      <c r="E4" s="315"/>
      <c r="F4" s="315"/>
    </row>
    <row r="6" spans="2:3" ht="15">
      <c r="B6" s="801" t="s">
        <v>314</v>
      </c>
      <c r="C6" s="801"/>
    </row>
    <row r="7" spans="1:3" ht="15">
      <c r="A7" s="155"/>
      <c r="B7" s="406">
        <f>_xlfn.IFERROR(IF(Indice!B6="","2XX2",YEAR(Indice!B6)),"2XX2")</f>
        <v>2021</v>
      </c>
      <c r="C7" s="406">
        <f>+_xlfn.IFERROR(YEAR(Indice!B6-365),"2XX1")</f>
        <v>2020</v>
      </c>
    </row>
    <row r="8" spans="1:3" ht="15">
      <c r="A8" s="29" t="s">
        <v>153</v>
      </c>
      <c r="B8" s="533">
        <v>29626092.2</v>
      </c>
      <c r="C8" s="533">
        <v>34137335</v>
      </c>
    </row>
    <row r="9" spans="1:3" ht="15">
      <c r="A9" s="29" t="s">
        <v>155</v>
      </c>
      <c r="B9" s="533">
        <v>14668760.955</v>
      </c>
      <c r="C9" s="533">
        <v>8486430.934</v>
      </c>
    </row>
    <row r="10" spans="1:3" ht="15">
      <c r="A10" s="29" t="s">
        <v>318</v>
      </c>
      <c r="B10" s="534">
        <f>SUM($B$8:B9)</f>
        <v>44294853.155</v>
      </c>
      <c r="C10" s="534">
        <f>SUM($C$8:C9)</f>
        <v>42623765.934</v>
      </c>
    </row>
    <row r="14" spans="2:3" ht="15">
      <c r="B14" s="532">
        <f>73888394870.6-59219633915.6</f>
        <v>14668760955.000008</v>
      </c>
      <c r="C14" s="532">
        <f>61973663929-53487232995</f>
        <v>8486430934</v>
      </c>
    </row>
  </sheetData>
  <sheetProtection/>
  <mergeCells count="1">
    <mergeCell ref="B6:C6"/>
  </mergeCells>
  <hyperlinks>
    <hyperlink ref="F1" location="BG!A1" display="BG"/>
  </hyperlink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F8"/>
  <sheetViews>
    <sheetView zoomScalePageLayoutView="0" workbookViewId="0" topLeftCell="A1">
      <selection activeCell="D1" sqref="D1"/>
    </sheetView>
  </sheetViews>
  <sheetFormatPr defaultColWidth="11.421875" defaultRowHeight="15"/>
  <cols>
    <col min="1" max="1" width="40.7109375" style="29" customWidth="1"/>
    <col min="2" max="3" width="19.00390625" style="29" customWidth="1"/>
    <col min="4" max="6" width="11.421875" style="29" customWidth="1"/>
    <col min="7" max="34" width="11.421875" style="129" customWidth="1"/>
  </cols>
  <sheetData>
    <row r="1" spans="1:6" ht="15">
      <c r="A1" s="29" t="str">
        <f>Indice!C1</f>
        <v>NEGOFIN S.A.E.C.A.</v>
      </c>
      <c r="F1" s="154" t="s">
        <v>132</v>
      </c>
    </row>
    <row r="4" spans="1:6" ht="15">
      <c r="A4" s="315" t="s">
        <v>343</v>
      </c>
      <c r="B4" s="315"/>
      <c r="C4" s="315"/>
      <c r="D4" s="315"/>
      <c r="E4" s="257"/>
      <c r="F4" s="258"/>
    </row>
    <row r="6" spans="2:3" ht="15">
      <c r="B6" s="801" t="s">
        <v>314</v>
      </c>
      <c r="C6" s="801"/>
    </row>
    <row r="7" spans="1:3" ht="15">
      <c r="A7" s="155"/>
      <c r="B7" s="406">
        <f>_xlfn.IFERROR(IF(Indice!B6="","2XX2",YEAR(Indice!B6)),"2XX2")</f>
        <v>2021</v>
      </c>
      <c r="C7" s="406">
        <f>+_xlfn.IFERROR(YEAR(Indice!B6-365),"2XX1")</f>
        <v>2020</v>
      </c>
    </row>
    <row r="8" ht="15">
      <c r="A8" s="29" t="s">
        <v>83</v>
      </c>
    </row>
  </sheetData>
  <sheetProtection/>
  <mergeCells count="1">
    <mergeCell ref="B6:C6"/>
  </mergeCells>
  <hyperlinks>
    <hyperlink ref="F1" location="BG!A1" display="BG"/>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F47"/>
  <sheetViews>
    <sheetView showGridLines="0" zoomScaleSheetLayoutView="70" zoomScalePageLayoutView="0" workbookViewId="0" topLeftCell="A1">
      <selection activeCell="D31" sqref="D31"/>
    </sheetView>
  </sheetViews>
  <sheetFormatPr defaultColWidth="11.421875" defaultRowHeight="15"/>
  <cols>
    <col min="1" max="1" width="66.00390625" style="38" customWidth="1"/>
    <col min="2" max="2" width="12.7109375" style="205" customWidth="1"/>
    <col min="3" max="3" width="25.421875" style="357" customWidth="1"/>
    <col min="4" max="4" width="24.7109375" style="357" customWidth="1"/>
    <col min="5" max="5" width="11.421875" style="2" customWidth="1"/>
    <col min="6" max="6" width="12.00390625" style="2" bestFit="1" customWidth="1"/>
    <col min="7" max="16384" width="11.421875" style="2" customWidth="1"/>
  </cols>
  <sheetData>
    <row r="1" spans="1:4" ht="15">
      <c r="A1" s="38" t="str">
        <f>Indice!C1</f>
        <v>NEGOFIN S.A.E.C.A.</v>
      </c>
      <c r="B1" s="206" t="s">
        <v>389</v>
      </c>
      <c r="D1" s="357" t="str">
        <f>'ER'!A4</f>
        <v> </v>
      </c>
    </row>
    <row r="4" ht="12.75">
      <c r="A4" s="38" t="s">
        <v>45</v>
      </c>
    </row>
    <row r="6" spans="1:3" ht="12.75">
      <c r="A6" s="75"/>
      <c r="B6" s="213"/>
      <c r="C6" s="358"/>
    </row>
    <row r="7" spans="1:4" ht="12.75">
      <c r="A7" s="721" t="s">
        <v>302</v>
      </c>
      <c r="B7" s="721"/>
      <c r="C7" s="721"/>
      <c r="D7" s="721"/>
    </row>
    <row r="8" spans="1:4" ht="12.75">
      <c r="A8" s="721" t="str">
        <f>_xlfn.IFERROR(IF(Indice!B6="","Al dia... de mes… de año 2XX2…","Al "&amp;DAY(Indice!B6)&amp;" de "&amp;VLOOKUP(MONTH(Indice!B6),Indice!S:T,2,0)&amp;" de "&amp;YEAR(Indice!B6)),"Al dia... de mes… de año 2XX2…")</f>
        <v>Al 31 de Marzo de 2021</v>
      </c>
      <c r="B8" s="721"/>
      <c r="C8" s="721"/>
      <c r="D8" s="721"/>
    </row>
    <row r="9" spans="1:4" ht="12.75">
      <c r="A9" s="735" t="s">
        <v>303</v>
      </c>
      <c r="B9" s="735"/>
      <c r="C9" s="735"/>
      <c r="D9" s="735"/>
    </row>
    <row r="10" spans="1:4" ht="12.75">
      <c r="A10" s="735" t="s">
        <v>260</v>
      </c>
      <c r="B10" s="735"/>
      <c r="C10" s="735"/>
      <c r="D10" s="735"/>
    </row>
    <row r="11" spans="1:3" ht="12.75">
      <c r="A11" s="106"/>
      <c r="B11" s="224"/>
      <c r="C11" s="356"/>
    </row>
    <row r="12" spans="1:4" ht="15">
      <c r="A12" s="110"/>
      <c r="B12" s="208" t="s">
        <v>221</v>
      </c>
      <c r="C12" s="331">
        <f>_xlfn.IFERROR(IF(Indice!B6="","2XX2",YEAR(Indice!B6)),"2XX2")</f>
        <v>2021</v>
      </c>
      <c r="D12" s="331">
        <f>_xlfn.IFERROR(YEAR(Indice!B6-365),"2XX1")</f>
        <v>2020</v>
      </c>
    </row>
    <row r="13" spans="1:4" ht="15">
      <c r="A13" t="s">
        <v>63</v>
      </c>
      <c r="B13" s="223">
        <v>25</v>
      </c>
      <c r="C13" s="355">
        <f>'Nota 25'!B26</f>
        <v>62267275.7</v>
      </c>
      <c r="D13" s="355">
        <f>'Nota 25'!C26</f>
        <v>56758390.2</v>
      </c>
    </row>
    <row r="14" spans="1:6" ht="15">
      <c r="A14" t="s">
        <v>156</v>
      </c>
      <c r="B14" s="223">
        <v>26</v>
      </c>
      <c r="C14" s="355">
        <f>'Nota 26'!B21</f>
        <v>22608825.7</v>
      </c>
      <c r="D14" s="355">
        <f>'Nota 26'!C21</f>
        <v>24346273.3</v>
      </c>
      <c r="F14" s="19"/>
    </row>
    <row r="15" spans="1:4" ht="12.75">
      <c r="A15" s="75" t="s">
        <v>72</v>
      </c>
      <c r="B15" s="213"/>
      <c r="C15" s="356">
        <f>C13-C14</f>
        <v>39658450</v>
      </c>
      <c r="D15" s="356">
        <f>D13-D14</f>
        <v>32412116.900000002</v>
      </c>
    </row>
    <row r="16" spans="1:4" ht="15">
      <c r="A16" t="s">
        <v>261</v>
      </c>
      <c r="B16" s="223">
        <v>27</v>
      </c>
      <c r="C16" s="355">
        <f>'Nota 27'!B35</f>
        <v>3290.7</v>
      </c>
      <c r="D16" s="355">
        <f>'Nota 27'!E35</f>
        <v>48381.2</v>
      </c>
    </row>
    <row r="17" spans="1:4" ht="15">
      <c r="A17" s="207" t="s">
        <v>263</v>
      </c>
      <c r="B17" s="223">
        <v>27</v>
      </c>
      <c r="C17" s="355">
        <f>'Nota 27'!C35</f>
        <v>24518221.7</v>
      </c>
      <c r="D17" s="355">
        <f>'Nota 27'!F35</f>
        <v>23112002.700000003</v>
      </c>
    </row>
    <row r="18" spans="1:4" ht="15">
      <c r="A18" s="207" t="s">
        <v>265</v>
      </c>
      <c r="B18" s="223">
        <v>28</v>
      </c>
      <c r="C18" s="356">
        <f>'Nota 28'!B16</f>
        <v>764927.9</v>
      </c>
      <c r="D18" s="356">
        <f>+'Nota 28'!C16</f>
        <v>613881.7</v>
      </c>
    </row>
    <row r="19" spans="1:6" ht="12.75">
      <c r="A19" s="75" t="s">
        <v>158</v>
      </c>
      <c r="B19" s="213"/>
      <c r="C19" s="356">
        <f>+C15-C16-C17+C18</f>
        <v>15901865.499999998</v>
      </c>
      <c r="D19" s="356">
        <f>+D15-D16-D17+D18</f>
        <v>9865614.7</v>
      </c>
      <c r="E19" s="548"/>
      <c r="F19" s="548"/>
    </row>
    <row r="20" spans="1:6" ht="15">
      <c r="A20" s="207" t="s">
        <v>420</v>
      </c>
      <c r="B20" s="223">
        <v>29</v>
      </c>
      <c r="C20" s="356">
        <f>'Nota 29'!B16</f>
        <v>5006017.399999999</v>
      </c>
      <c r="D20" s="356">
        <f>'Nota 29'!C16</f>
        <v>4601388.3</v>
      </c>
      <c r="E20" s="548"/>
      <c r="F20" s="548"/>
    </row>
    <row r="21" spans="1:6" ht="15">
      <c r="A21" s="207" t="s">
        <v>419</v>
      </c>
      <c r="B21" s="223">
        <v>29</v>
      </c>
      <c r="C21" s="356">
        <f>'Nota 29'!F15</f>
        <v>4585808.7</v>
      </c>
      <c r="D21" s="356">
        <f>'Nota 29'!G15</f>
        <v>4998666.6</v>
      </c>
      <c r="E21" s="548"/>
      <c r="F21" s="548"/>
    </row>
    <row r="22" spans="1:4" ht="12.75">
      <c r="A22" s="122" t="s">
        <v>62</v>
      </c>
      <c r="C22" s="356">
        <f>+C19+C20-C21</f>
        <v>16322074.2</v>
      </c>
      <c r="D22" s="356">
        <f>+D19+D20-D21</f>
        <v>9468336.4</v>
      </c>
    </row>
    <row r="23" spans="1:4" ht="15">
      <c r="A23" s="207" t="s">
        <v>162</v>
      </c>
      <c r="B23" s="223">
        <v>30</v>
      </c>
      <c r="C23" s="356">
        <f>'Nota 30'!B16</f>
        <v>0</v>
      </c>
      <c r="D23" s="356">
        <f>'Nota 30'!C16</f>
        <v>0</v>
      </c>
    </row>
    <row r="24" spans="1:4" ht="25.5">
      <c r="A24" s="123" t="s">
        <v>421</v>
      </c>
      <c r="B24" s="213"/>
      <c r="C24" s="359">
        <f>C22+C23</f>
        <v>16322074.2</v>
      </c>
      <c r="D24" s="359">
        <f>D22+D23</f>
        <v>9468336.4</v>
      </c>
    </row>
    <row r="25" spans="1:4" ht="15">
      <c r="A25" s="207" t="s">
        <v>163</v>
      </c>
      <c r="B25" s="223">
        <v>31</v>
      </c>
      <c r="C25" s="356">
        <f>'Nota 31'!B16</f>
        <v>0</v>
      </c>
      <c r="D25" s="356">
        <f>'Nota 31'!C16</f>
        <v>0</v>
      </c>
    </row>
    <row r="26" spans="1:4" ht="12.75">
      <c r="A26" s="123" t="s">
        <v>76</v>
      </c>
      <c r="B26" s="213"/>
      <c r="C26" s="359"/>
      <c r="D26" s="359"/>
    </row>
    <row r="27" spans="1:4" ht="15">
      <c r="A27" s="38" t="s">
        <v>46</v>
      </c>
      <c r="B27" s="206">
        <v>32</v>
      </c>
      <c r="C27" s="356">
        <f>'Nota 32'!B9</f>
        <v>1653314.3</v>
      </c>
      <c r="D27" s="356">
        <f>'Nota 32'!C9</f>
        <v>981908.4</v>
      </c>
    </row>
    <row r="28" spans="1:4" ht="12.75">
      <c r="A28" s="75" t="s">
        <v>422</v>
      </c>
      <c r="B28" s="213"/>
      <c r="C28" s="359">
        <f>C26+C27</f>
        <v>1653314.3</v>
      </c>
      <c r="D28" s="359">
        <f>D26+D27</f>
        <v>981908.4</v>
      </c>
    </row>
    <row r="29" spans="1:4" ht="15">
      <c r="A29" s="207" t="s">
        <v>73</v>
      </c>
      <c r="B29" s="223">
        <v>33</v>
      </c>
      <c r="C29" s="359">
        <f>'Nota 32'!B9</f>
        <v>1653314.3</v>
      </c>
      <c r="D29" s="359">
        <f>'Nota 32'!C9</f>
        <v>981908.4</v>
      </c>
    </row>
    <row r="30" spans="1:4" ht="15">
      <c r="A30" s="207" t="s">
        <v>74</v>
      </c>
      <c r="B30" s="223">
        <v>34</v>
      </c>
      <c r="C30" s="356">
        <f>'Nota 34'!B12</f>
        <v>0</v>
      </c>
      <c r="D30" s="356">
        <f>'Nota 34'!C12</f>
        <v>0</v>
      </c>
    </row>
    <row r="31" spans="1:4" ht="15">
      <c r="A31" s="105" t="s">
        <v>274</v>
      </c>
      <c r="B31" s="342"/>
      <c r="C31" s="359">
        <f>+C24-C27</f>
        <v>14668759.899999999</v>
      </c>
      <c r="D31" s="359">
        <f>+D24-D27</f>
        <v>8486428</v>
      </c>
    </row>
    <row r="32" spans="1:4" ht="15">
      <c r="A32" s="105" t="s">
        <v>75</v>
      </c>
      <c r="B32" s="223">
        <v>35</v>
      </c>
      <c r="C32" s="356">
        <f>'Nota 35'!B10</f>
        <v>0</v>
      </c>
      <c r="D32" s="356">
        <f>'Nota 35'!C10</f>
        <v>0</v>
      </c>
    </row>
    <row r="34" spans="1:4" ht="12.75">
      <c r="A34" s="75"/>
      <c r="B34" s="213"/>
      <c r="C34" s="360">
        <f>73888394.8-59219633.9</f>
        <v>14668760.899999999</v>
      </c>
      <c r="D34" s="360">
        <f>61973663.9-53487242.9</f>
        <v>8486421</v>
      </c>
    </row>
    <row r="35" ht="12.75">
      <c r="A35" s="38" t="s">
        <v>414</v>
      </c>
    </row>
    <row r="41" spans="1:4" ht="12.75">
      <c r="A41" s="108"/>
      <c r="B41" s="225"/>
      <c r="C41" s="734"/>
      <c r="D41" s="734"/>
    </row>
    <row r="42" spans="1:4" ht="12.75">
      <c r="A42" s="107"/>
      <c r="B42" s="226"/>
      <c r="D42" s="361"/>
    </row>
    <row r="47" spans="1:4" ht="12.75">
      <c r="A47" s="438"/>
      <c r="C47" s="734"/>
      <c r="D47" s="734"/>
    </row>
  </sheetData>
  <sheetProtection/>
  <mergeCells count="6">
    <mergeCell ref="C47:D47"/>
    <mergeCell ref="A7:D7"/>
    <mergeCell ref="A8:D8"/>
    <mergeCell ref="A9:D9"/>
    <mergeCell ref="A10:D10"/>
    <mergeCell ref="C41:D41"/>
  </mergeCells>
  <hyperlinks>
    <hyperlink ref="B13" location="'Nota 25'!A1" display="'Nota 25'!A1"/>
    <hyperlink ref="B14" location="'Nota 26'!A1" display="'Nota 26'!A1"/>
    <hyperlink ref="B16" location="'Nota 27'!A1" display="'Nota 27'!A1"/>
    <hyperlink ref="B17" location="'Nota 27'!A1" display="'Nota 27'!A1"/>
    <hyperlink ref="B18" location="'Nota 28'!A1" display="'Nota 28'!A1"/>
    <hyperlink ref="B21" location="'Nota 29'!A1" display="'Nota 29'!A1"/>
    <hyperlink ref="B20" location="'Nota 29'!A1" display="'Nota 29'!A1"/>
    <hyperlink ref="B23" location="'Nota 30'!A1" display="'Nota 30'!A1"/>
    <hyperlink ref="B25" location="'Nota 31'!A1" display="'Nota 31'!A1"/>
    <hyperlink ref="B27" location="'Nota 32'!A1" display="'Nota 32'!A1"/>
    <hyperlink ref="B29" location="'Nota 33'!A1" display="'Nota 33'!A1"/>
    <hyperlink ref="B30" location="'Nota 34'!A1" display="'Nota 34'!A1"/>
    <hyperlink ref="B32" location="'Nota 35'!A1" display="'Nota 35'!A1"/>
    <hyperlink ref="B1" location="Indice!A1" display="Indice"/>
  </hyperlinks>
  <printOptions horizontalCentered="1"/>
  <pageMargins left="0.31496062992125984" right="0.7086614173228347" top="0.7480314960629921" bottom="0.7480314960629921" header="0.31496062992125984" footer="0.31496062992125984"/>
  <pageSetup orientation="portrait" paperSize="9" scale="70" r:id="rId2"/>
  <drawing r:id="rId1"/>
</worksheet>
</file>

<file path=xl/worksheets/sheet30.xml><?xml version="1.0" encoding="utf-8"?>
<worksheet xmlns="http://schemas.openxmlformats.org/spreadsheetml/2006/main" xmlns:r="http://schemas.openxmlformats.org/officeDocument/2006/relationships">
  <dimension ref="A1:AG27"/>
  <sheetViews>
    <sheetView showGridLines="0" zoomScalePageLayoutView="0" workbookViewId="0" topLeftCell="A4">
      <selection activeCell="B23" sqref="B23:C24"/>
    </sheetView>
  </sheetViews>
  <sheetFormatPr defaultColWidth="11.421875" defaultRowHeight="15"/>
  <cols>
    <col min="1" max="1" width="45.57421875" style="129" customWidth="1"/>
    <col min="2" max="2" width="18.140625" style="129" customWidth="1"/>
    <col min="3" max="3" width="17.140625" style="129" customWidth="1"/>
    <col min="4" max="33" width="11.421875" style="129" customWidth="1"/>
  </cols>
  <sheetData>
    <row r="1" spans="1:5" ht="15">
      <c r="A1" s="129" t="str">
        <f>Indice!C1</f>
        <v>NEGOFIN S.A.E.C.A.</v>
      </c>
      <c r="E1" s="150" t="s">
        <v>148</v>
      </c>
    </row>
    <row r="5" spans="1:33" ht="15">
      <c r="A5" s="315" t="s">
        <v>344</v>
      </c>
      <c r="B5" s="315"/>
      <c r="C5" s="315"/>
      <c r="D5" s="315"/>
      <c r="E5" s="315"/>
      <c r="F5" s="315"/>
      <c r="G5" s="29"/>
      <c r="H5" s="29"/>
      <c r="I5" s="29"/>
      <c r="J5" s="29"/>
      <c r="K5" s="29"/>
      <c r="L5" s="29"/>
      <c r="M5" s="29"/>
      <c r="N5" s="29"/>
      <c r="O5" s="29"/>
      <c r="P5" s="29"/>
      <c r="Q5" s="29"/>
      <c r="R5" s="29"/>
      <c r="S5" s="29"/>
      <c r="T5" s="29"/>
      <c r="U5" s="29"/>
      <c r="V5" s="29"/>
      <c r="W5" s="29"/>
      <c r="X5" s="29"/>
      <c r="Y5" s="29"/>
      <c r="Z5" s="29"/>
      <c r="AA5" s="29"/>
      <c r="AB5" s="29"/>
      <c r="AC5" s="29"/>
      <c r="AD5" s="29"/>
      <c r="AE5" s="29"/>
      <c r="AF5" s="29"/>
      <c r="AG5"/>
    </row>
    <row r="8" spans="2:3" ht="15">
      <c r="B8" s="801" t="s">
        <v>314</v>
      </c>
      <c r="C8" s="801"/>
    </row>
    <row r="9" spans="2:33" ht="15">
      <c r="B9" s="406">
        <f>_xlfn.IFERROR(IF(Indice!B6="","2XX2",YEAR(Indice!B6)),"2XX2")</f>
        <v>2021</v>
      </c>
      <c r="C9" s="406">
        <f>+_xlfn.IFERROR(YEAR(Indice!B6-365),"2XX1")</f>
        <v>2020</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row>
    <row r="10" spans="1:32" s="342" customFormat="1" ht="15">
      <c r="A10" s="155" t="s">
        <v>63</v>
      </c>
      <c r="B10" s="264"/>
      <c r="C10" s="264"/>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row>
    <row r="11" spans="1:33" ht="15">
      <c r="A11" s="155" t="s">
        <v>865</v>
      </c>
      <c r="B11" s="55"/>
      <c r="C11" s="55"/>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row>
    <row r="12" spans="1:32" s="342" customFormat="1" ht="15">
      <c r="A12" s="353" t="s">
        <v>867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row>
    <row r="13" spans="1:32" s="342" customFormat="1" ht="15">
      <c r="A13" s="29" t="s">
        <v>266</v>
      </c>
      <c r="B13" s="533">
        <v>62267275.7</v>
      </c>
      <c r="C13" s="533">
        <v>56758390.2</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row>
    <row r="14" spans="1:32" s="342" customFormat="1" ht="15">
      <c r="A14" s="342" t="s">
        <v>267</v>
      </c>
      <c r="B14" s="533">
        <v>0</v>
      </c>
      <c r="C14" s="533">
        <v>0</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row>
    <row r="15" spans="1:32" s="342" customFormat="1" ht="15">
      <c r="A15" s="353" t="s">
        <v>868</v>
      </c>
      <c r="B15" s="533"/>
      <c r="C15" s="533"/>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row>
    <row r="16" spans="1:32" s="342" customFormat="1" ht="15">
      <c r="A16" s="29" t="s">
        <v>266</v>
      </c>
      <c r="B16" s="533">
        <v>0</v>
      </c>
      <c r="C16" s="533">
        <v>0</v>
      </c>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row>
    <row r="17" spans="1:32" s="342" customFormat="1" ht="15">
      <c r="A17" s="342" t="s">
        <v>267</v>
      </c>
      <c r="B17" s="533">
        <v>0</v>
      </c>
      <c r="C17" s="533">
        <v>0</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row>
    <row r="18" spans="1:32" s="342" customFormat="1" ht="15">
      <c r="A18" s="155" t="s">
        <v>866</v>
      </c>
      <c r="B18" s="533"/>
      <c r="C18" s="533"/>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row>
    <row r="19" spans="1:32" s="342" customFormat="1" ht="15">
      <c r="A19" s="353" t="s">
        <v>867</v>
      </c>
      <c r="B19" s="533"/>
      <c r="C19" s="533"/>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row>
    <row r="20" spans="1:32" s="342" customFormat="1" ht="15">
      <c r="A20" s="29" t="s">
        <v>266</v>
      </c>
      <c r="B20" s="533">
        <v>0</v>
      </c>
      <c r="C20" s="533">
        <v>0</v>
      </c>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row>
    <row r="21" spans="1:32" s="342" customFormat="1" ht="15">
      <c r="A21" s="342" t="s">
        <v>267</v>
      </c>
      <c r="B21" s="533">
        <v>0</v>
      </c>
      <c r="C21" s="533">
        <v>0</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row>
    <row r="22" spans="1:32" s="342" customFormat="1" ht="15">
      <c r="A22" s="353" t="s">
        <v>868</v>
      </c>
      <c r="B22" s="533"/>
      <c r="C22" s="533"/>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row>
    <row r="23" spans="1:32" s="342" customFormat="1" ht="15">
      <c r="A23" s="29" t="s">
        <v>266</v>
      </c>
      <c r="B23" s="533">
        <v>0</v>
      </c>
      <c r="C23" s="533">
        <v>0</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row>
    <row r="24" spans="1:32" s="342" customFormat="1" ht="15">
      <c r="A24" s="342" t="s">
        <v>267</v>
      </c>
      <c r="B24" s="533">
        <v>0</v>
      </c>
      <c r="C24" s="533">
        <v>0</v>
      </c>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row>
    <row r="25" spans="1:32" s="342" customFormat="1" ht="15">
      <c r="A25" s="354" t="s">
        <v>869</v>
      </c>
      <c r="B25" s="533"/>
      <c r="C25" s="533"/>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row>
    <row r="26" spans="1:33" ht="15">
      <c r="A26" s="155" t="s">
        <v>3</v>
      </c>
      <c r="B26" s="534">
        <f>SUM($B$11:B24)</f>
        <v>62267275.7</v>
      </c>
      <c r="C26" s="534">
        <f>SUM($C$11:C24)</f>
        <v>56758390.2</v>
      </c>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row>
    <row r="27" spans="1:33" ht="1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row>
  </sheetData>
  <sheetProtection/>
  <mergeCells count="1">
    <mergeCell ref="B8:C8"/>
  </mergeCells>
  <hyperlinks>
    <hyperlink ref="E1" location="ER!A1" display="ER"/>
  </hyperlinks>
  <printOptions/>
  <pageMargins left="0.7" right="0.7" top="0.75" bottom="0.75" header="0.3" footer="0.3"/>
  <pageSetup horizontalDpi="600" verticalDpi="600" orientation="portrait" r:id="rId2"/>
  <drawing r:id="rId1"/>
</worksheet>
</file>

<file path=xl/worksheets/sheet31.xml><?xml version="1.0" encoding="utf-8"?>
<worksheet xmlns="http://schemas.openxmlformats.org/spreadsheetml/2006/main" xmlns:r="http://schemas.openxmlformats.org/officeDocument/2006/relationships">
  <dimension ref="A1:AE22"/>
  <sheetViews>
    <sheetView showGridLines="0" zoomScalePageLayoutView="0" workbookViewId="0" topLeftCell="A1">
      <selection activeCell="B17" sqref="B17:C18"/>
    </sheetView>
  </sheetViews>
  <sheetFormatPr defaultColWidth="11.421875" defaultRowHeight="15"/>
  <cols>
    <col min="1" max="1" width="38.00390625" style="129" customWidth="1"/>
    <col min="2" max="2" width="18.140625" style="129" customWidth="1"/>
    <col min="3" max="3" width="17.140625" style="129" customWidth="1"/>
    <col min="4" max="31" width="11.421875" style="129" customWidth="1"/>
  </cols>
  <sheetData>
    <row r="1" spans="1:5" ht="15">
      <c r="A1" s="129" t="str">
        <f>Indice!C1</f>
        <v>NEGOFIN S.A.E.C.A.</v>
      </c>
      <c r="E1" s="150" t="s">
        <v>148</v>
      </c>
    </row>
    <row r="5" spans="1:31" ht="15">
      <c r="A5" s="805" t="s">
        <v>345</v>
      </c>
      <c r="B5" s="805"/>
      <c r="C5" s="805"/>
      <c r="D5" s="805"/>
      <c r="E5" s="805"/>
      <c r="F5" s="805"/>
      <c r="G5" s="29"/>
      <c r="H5" s="29"/>
      <c r="I5" s="29"/>
      <c r="J5" s="29"/>
      <c r="K5" s="29"/>
      <c r="L5" s="29"/>
      <c r="M5" s="29"/>
      <c r="N5" s="29"/>
      <c r="O5" s="29"/>
      <c r="P5" s="29"/>
      <c r="Q5" s="29"/>
      <c r="R5" s="29"/>
      <c r="S5" s="29"/>
      <c r="T5" s="29"/>
      <c r="U5" s="29"/>
      <c r="V5" s="29"/>
      <c r="W5" s="29"/>
      <c r="X5" s="29"/>
      <c r="Y5" s="29"/>
      <c r="Z5" s="29"/>
      <c r="AA5" s="29"/>
      <c r="AB5" s="29"/>
      <c r="AC5" s="29"/>
      <c r="AD5" s="29"/>
      <c r="AE5" s="29"/>
    </row>
    <row r="7" spans="2:3" ht="15">
      <c r="B7" s="813"/>
      <c r="C7" s="813"/>
    </row>
    <row r="8" spans="1:31" s="207" customFormat="1" ht="15">
      <c r="A8" s="129"/>
      <c r="B8" s="814" t="s">
        <v>262</v>
      </c>
      <c r="C8" s="814"/>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row>
    <row r="9" spans="1:31" ht="15">
      <c r="A9" s="155" t="s">
        <v>156</v>
      </c>
      <c r="B9" s="406">
        <f>_xlfn.IFERROR(IF(Indice!B6="","2XX2",YEAR(Indice!B6)),"2XX2")</f>
        <v>2021</v>
      </c>
      <c r="C9" s="406">
        <f>+_xlfn.IFERROR(YEAR(Indice!B6-365),"2XX1")</f>
        <v>2020</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row>
    <row r="10" spans="1:31" s="342" customFormat="1" ht="15">
      <c r="A10" s="155" t="s">
        <v>870</v>
      </c>
      <c r="B10" s="542"/>
      <c r="C10" s="542"/>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row>
    <row r="11" spans="1:31" ht="15">
      <c r="A11" s="29" t="s">
        <v>268</v>
      </c>
      <c r="B11" s="533"/>
      <c r="C11" s="533"/>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row>
    <row r="12" spans="1:31" ht="15">
      <c r="A12" s="231" t="s">
        <v>269</v>
      </c>
      <c r="B12" s="533">
        <f>2431234.4+20177591.3</f>
        <v>22608825.7</v>
      </c>
      <c r="C12" s="533">
        <f>1890660.3+22455613</f>
        <v>24346273.3</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row>
    <row r="13" spans="1:31" s="207" customFormat="1" ht="15">
      <c r="A13" s="231" t="s">
        <v>270</v>
      </c>
      <c r="B13" s="533">
        <v>0</v>
      </c>
      <c r="C13" s="533">
        <v>0</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row>
    <row r="14" spans="1:31" s="207" customFormat="1" ht="15">
      <c r="A14" s="231" t="s">
        <v>271</v>
      </c>
      <c r="B14" s="533">
        <v>0</v>
      </c>
      <c r="C14" s="533">
        <v>0</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row>
    <row r="15" spans="1:31" s="342" customFormat="1" ht="15">
      <c r="A15" s="155" t="s">
        <v>871</v>
      </c>
      <c r="B15" s="542"/>
      <c r="C15" s="542"/>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row>
    <row r="16" spans="1:31" s="342" customFormat="1" ht="15">
      <c r="A16" s="29" t="s">
        <v>268</v>
      </c>
      <c r="B16" s="533"/>
      <c r="C16" s="533"/>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row>
    <row r="17" spans="1:31" s="342" customFormat="1" ht="15">
      <c r="A17" s="541" t="s">
        <v>269</v>
      </c>
      <c r="B17" s="533">
        <v>0</v>
      </c>
      <c r="C17" s="533">
        <v>0</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row>
    <row r="18" spans="1:31" s="342" customFormat="1" ht="15">
      <c r="A18" s="231" t="s">
        <v>270</v>
      </c>
      <c r="B18" s="533">
        <v>0</v>
      </c>
      <c r="C18" s="533">
        <v>0</v>
      </c>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row>
    <row r="19" spans="1:31" s="342" customFormat="1" ht="15">
      <c r="A19" s="231" t="s">
        <v>271</v>
      </c>
      <c r="B19" s="533"/>
      <c r="C19" s="533"/>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row>
    <row r="20" spans="1:31" s="342" customFormat="1" ht="15">
      <c r="A20" s="354" t="s">
        <v>869</v>
      </c>
      <c r="B20" s="533"/>
      <c r="C20" s="533"/>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row>
    <row r="21" spans="1:31" ht="15">
      <c r="A21" s="29" t="s">
        <v>272</v>
      </c>
      <c r="B21" s="543">
        <f>SUM($B$10:B20)</f>
        <v>22608825.7</v>
      </c>
      <c r="C21" s="543">
        <f>SUM($C$10:C20)</f>
        <v>24346273.3</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row>
    <row r="22" spans="1:31" ht="15">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row>
  </sheetData>
  <sheetProtection/>
  <mergeCells count="3">
    <mergeCell ref="A5:F5"/>
    <mergeCell ref="B7:C7"/>
    <mergeCell ref="B8:C8"/>
  </mergeCells>
  <hyperlinks>
    <hyperlink ref="E1" location="ER!A1" display="ER"/>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dimension ref="A1:AG43"/>
  <sheetViews>
    <sheetView showGridLines="0" zoomScalePageLayoutView="0" workbookViewId="0" topLeftCell="A31">
      <selection activeCell="E38" sqref="E38"/>
    </sheetView>
  </sheetViews>
  <sheetFormatPr defaultColWidth="11.421875" defaultRowHeight="15"/>
  <cols>
    <col min="1" max="1" width="38.00390625" style="129" customWidth="1"/>
    <col min="2" max="7" width="23.00390625" style="129" customWidth="1"/>
    <col min="8" max="33" width="11.421875" style="129" customWidth="1"/>
  </cols>
  <sheetData>
    <row r="1" spans="1:7" ht="15">
      <c r="A1" s="129" t="str">
        <f>Indice!C1</f>
        <v>NEGOFIN S.A.E.C.A.</v>
      </c>
      <c r="G1" s="150" t="s">
        <v>148</v>
      </c>
    </row>
    <row r="5" spans="1:33" ht="15">
      <c r="A5" s="315" t="s">
        <v>346</v>
      </c>
      <c r="B5" s="315"/>
      <c r="C5" s="315"/>
      <c r="D5" s="315"/>
      <c r="E5" s="315"/>
      <c r="F5" s="315"/>
      <c r="G5" s="315"/>
      <c r="H5" s="315"/>
      <c r="I5" s="29"/>
      <c r="J5" s="29"/>
      <c r="K5" s="29"/>
      <c r="L5" s="29"/>
      <c r="M5" s="29"/>
      <c r="N5" s="29"/>
      <c r="O5" s="29"/>
      <c r="P5" s="29"/>
      <c r="Q5" s="29"/>
      <c r="R5" s="29"/>
      <c r="S5" s="29"/>
      <c r="T5" s="29"/>
      <c r="U5" s="29"/>
      <c r="V5" s="29"/>
      <c r="W5" s="29"/>
      <c r="X5" s="29"/>
      <c r="Y5" s="29"/>
      <c r="Z5" s="29"/>
      <c r="AA5" s="29"/>
      <c r="AB5" s="29"/>
      <c r="AC5" s="29"/>
      <c r="AD5" s="29"/>
      <c r="AE5" s="29"/>
      <c r="AF5" s="29"/>
      <c r="AG5" s="29"/>
    </row>
    <row r="6" spans="1:8" ht="15">
      <c r="A6" s="815" t="s">
        <v>196</v>
      </c>
      <c r="B6" s="815"/>
      <c r="C6" s="815"/>
      <c r="D6" s="815"/>
      <c r="E6" s="815"/>
      <c r="F6" s="815"/>
      <c r="G6" s="815"/>
      <c r="H6" s="815"/>
    </row>
    <row r="7" spans="1:33" s="183" customFormat="1" ht="1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row>
    <row r="8" spans="1:33" s="183" customFormat="1" ht="15">
      <c r="A8" s="182" t="s">
        <v>197</v>
      </c>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row>
    <row r="9" spans="1:33" s="183" customFormat="1" ht="15">
      <c r="A9" s="182"/>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row>
    <row r="10" spans="1:33" s="183" customFormat="1" ht="15.75" thickBot="1">
      <c r="A10" s="363" t="s">
        <v>262</v>
      </c>
      <c r="B10" s="362"/>
      <c r="D10" s="363"/>
      <c r="E10" s="363"/>
      <c r="F10" s="364"/>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row>
    <row r="11" spans="1:33" s="183" customFormat="1" ht="15.75" thickBot="1">
      <c r="A11" s="816"/>
      <c r="B11" s="426"/>
      <c r="C11" s="427">
        <f>_xlfn.IFERROR(IF(Indice!B6="","2XX2",YEAR(Indice!B6)),"2XX2")</f>
        <v>2021</v>
      </c>
      <c r="D11" s="429"/>
      <c r="E11" s="430"/>
      <c r="F11" s="427">
        <f>+_xlfn.IFERROR(YEAR(Indice!B6-365),"2XX1")</f>
        <v>2020</v>
      </c>
      <c r="G11" s="428"/>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row>
    <row r="12" spans="1:33" s="183" customFormat="1" ht="15.75" thickBot="1">
      <c r="A12" s="817"/>
      <c r="B12" s="425" t="s">
        <v>198</v>
      </c>
      <c r="C12" s="425" t="s">
        <v>199</v>
      </c>
      <c r="D12" s="425" t="s">
        <v>3</v>
      </c>
      <c r="E12" s="425" t="s">
        <v>198</v>
      </c>
      <c r="F12" s="425" t="s">
        <v>199</v>
      </c>
      <c r="G12" s="425" t="s">
        <v>3</v>
      </c>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row>
    <row r="13" spans="1:33" s="183" customFormat="1" ht="15">
      <c r="A13" s="228" t="s">
        <v>200</v>
      </c>
      <c r="B13" s="536">
        <f>3020.1+270.6</f>
        <v>3290.7</v>
      </c>
      <c r="C13" s="536">
        <v>9256.5</v>
      </c>
      <c r="D13" s="536">
        <f aca="true" t="shared" si="0" ref="D13:D26">+C13+B13</f>
        <v>12547.2</v>
      </c>
      <c r="E13" s="536">
        <f>4096.1+44285.1</f>
        <v>48381.2</v>
      </c>
      <c r="F13" s="536">
        <v>2770.1</v>
      </c>
      <c r="G13" s="536">
        <f>+F13+E13</f>
        <v>51151.299999999996</v>
      </c>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row>
    <row r="14" spans="1:33" s="183" customFormat="1" ht="15">
      <c r="A14" s="229" t="s">
        <v>201</v>
      </c>
      <c r="B14" s="537">
        <v>0</v>
      </c>
      <c r="C14" s="537">
        <v>59174.1</v>
      </c>
      <c r="D14" s="537">
        <f t="shared" si="0"/>
        <v>59174.1</v>
      </c>
      <c r="E14" s="537">
        <v>0</v>
      </c>
      <c r="F14" s="537">
        <v>55531.3</v>
      </c>
      <c r="G14" s="537">
        <f>+F14+E14</f>
        <v>55531.3</v>
      </c>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row>
    <row r="15" spans="1:33" s="183" customFormat="1" ht="15">
      <c r="A15" s="229" t="s">
        <v>202</v>
      </c>
      <c r="B15" s="537"/>
      <c r="C15" s="537">
        <v>25032.5</v>
      </c>
      <c r="D15" s="537">
        <f t="shared" si="0"/>
        <v>25032.5</v>
      </c>
      <c r="E15" s="537">
        <v>0</v>
      </c>
      <c r="F15" s="537">
        <v>24313.7</v>
      </c>
      <c r="G15" s="537">
        <f aca="true" t="shared" si="1" ref="G15:G34">+F15+E15</f>
        <v>24313.7</v>
      </c>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row>
    <row r="16" spans="1:33" s="183" customFormat="1" ht="15">
      <c r="A16" s="540" t="s">
        <v>203</v>
      </c>
      <c r="B16" s="537"/>
      <c r="C16" s="537">
        <v>0</v>
      </c>
      <c r="D16" s="537">
        <f t="shared" si="0"/>
        <v>0</v>
      </c>
      <c r="E16" s="537">
        <v>0</v>
      </c>
      <c r="F16" s="537">
        <v>0</v>
      </c>
      <c r="G16" s="537">
        <f t="shared" si="1"/>
        <v>0</v>
      </c>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row>
    <row r="17" spans="1:33" s="183" customFormat="1" ht="15">
      <c r="A17" s="229" t="s">
        <v>204</v>
      </c>
      <c r="B17" s="537"/>
      <c r="C17" s="537">
        <f>191729.7+767459.6</f>
        <v>959189.3</v>
      </c>
      <c r="D17" s="537">
        <f t="shared" si="0"/>
        <v>959189.3</v>
      </c>
      <c r="E17" s="537">
        <v>0</v>
      </c>
      <c r="F17" s="537">
        <f>146448.7+806062.8</f>
        <v>952511.5</v>
      </c>
      <c r="G17" s="537">
        <f t="shared" si="1"/>
        <v>952511.5</v>
      </c>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row>
    <row r="18" spans="1:33" s="183" customFormat="1" ht="15">
      <c r="A18" s="229" t="s">
        <v>205</v>
      </c>
      <c r="B18" s="537"/>
      <c r="C18" s="537">
        <v>0</v>
      </c>
      <c r="D18" s="537">
        <f t="shared" si="0"/>
        <v>0</v>
      </c>
      <c r="E18" s="537">
        <v>0</v>
      </c>
      <c r="F18" s="537">
        <v>0</v>
      </c>
      <c r="G18" s="537">
        <f t="shared" si="1"/>
        <v>0</v>
      </c>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row>
    <row r="19" spans="1:33" s="183" customFormat="1" ht="15">
      <c r="A19" s="229" t="s">
        <v>206</v>
      </c>
      <c r="B19" s="537"/>
      <c r="C19" s="537">
        <f>203667.5+50473.4</f>
        <v>254140.9</v>
      </c>
      <c r="D19" s="537">
        <f t="shared" si="0"/>
        <v>254140.9</v>
      </c>
      <c r="E19" s="537">
        <v>0</v>
      </c>
      <c r="F19" s="537">
        <f>183376.9</f>
        <v>183376.9</v>
      </c>
      <c r="G19" s="537">
        <f t="shared" si="1"/>
        <v>183376.9</v>
      </c>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row>
    <row r="20" spans="1:33" s="183" customFormat="1" ht="15">
      <c r="A20" s="229" t="s">
        <v>207</v>
      </c>
      <c r="B20" s="537"/>
      <c r="C20" s="537">
        <v>98526.9</v>
      </c>
      <c r="D20" s="537">
        <f t="shared" si="0"/>
        <v>98526.9</v>
      </c>
      <c r="E20" s="537">
        <v>0</v>
      </c>
      <c r="F20" s="537">
        <v>114274.2</v>
      </c>
      <c r="G20" s="537">
        <f t="shared" si="1"/>
        <v>114274.2</v>
      </c>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row>
    <row r="21" spans="1:33" s="183" customFormat="1" ht="15">
      <c r="A21" s="229" t="s">
        <v>208</v>
      </c>
      <c r="B21" s="537"/>
      <c r="C21" s="537">
        <f>13601133-4152264.7-718331.7-191729.7-18086-767459.6-3998178.5</f>
        <v>3755082.8000000026</v>
      </c>
      <c r="D21" s="537">
        <f t="shared" si="0"/>
        <v>3755082.8000000026</v>
      </c>
      <c r="E21" s="537">
        <v>0</v>
      </c>
      <c r="F21" s="537">
        <f>11268933.4-146448.7-4147526.8-690675.1-14265-2705825.9-806062.8</f>
        <v>2758129.1000000015</v>
      </c>
      <c r="G21" s="537">
        <f t="shared" si="1"/>
        <v>2758129.1000000015</v>
      </c>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row>
    <row r="22" spans="1:33" s="183" customFormat="1" ht="15">
      <c r="A22" s="229" t="s">
        <v>209</v>
      </c>
      <c r="B22" s="537"/>
      <c r="C22" s="537">
        <f>2656.2+5235.8+2134+4340.5+194.9+322.7+3202.2</f>
        <v>18086.3</v>
      </c>
      <c r="D22" s="537">
        <f t="shared" si="0"/>
        <v>18086.3</v>
      </c>
      <c r="E22" s="537"/>
      <c r="F22" s="537">
        <f>2840.3+5113.6+1910.1+1518.7+84+366.8+2431.7</f>
        <v>14265.2</v>
      </c>
      <c r="G22" s="537">
        <f t="shared" si="1"/>
        <v>14265.2</v>
      </c>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row>
    <row r="23" spans="1:33" s="183" customFormat="1" ht="15">
      <c r="A23" s="229" t="s">
        <v>210</v>
      </c>
      <c r="B23" s="537">
        <v>0</v>
      </c>
      <c r="C23" s="537">
        <f>240206.2-25032.5+38040.3+50169.2+4098939.3-98526.9-50473.4-203667.5-3020.1-270.6-43649.1-1653314.3-261.3-154033.9-23004.8-702.7+111515.9+2231169-11454</f>
        <v>4502628.799999999</v>
      </c>
      <c r="D23" s="537">
        <f t="shared" si="0"/>
        <v>4502628.799999999</v>
      </c>
      <c r="E23" s="537">
        <v>0</v>
      </c>
      <c r="F23" s="537">
        <f>238532.6-24313.7+52255+65484.7+3083416.5-114274-183376.9-4096.1-47055.3-981908.4-457973.7-88446.2-1208.2+303050.2+155369.3-1208.2+1308-115682.6</f>
        <v>1879873.0000000005</v>
      </c>
      <c r="G23" s="537">
        <f t="shared" si="1"/>
        <v>1879873.0000000005</v>
      </c>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row>
    <row r="24" spans="1:33" s="183" customFormat="1" ht="24">
      <c r="A24" s="229" t="s">
        <v>211</v>
      </c>
      <c r="B24" s="537"/>
      <c r="C24" s="537">
        <v>3998178.5</v>
      </c>
      <c r="D24" s="537">
        <f t="shared" si="0"/>
        <v>3998178.5</v>
      </c>
      <c r="E24" s="537"/>
      <c r="F24" s="537">
        <v>2705725.9</v>
      </c>
      <c r="G24" s="537">
        <f t="shared" si="1"/>
        <v>2705725.9</v>
      </c>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row>
    <row r="25" spans="1:33" s="183" customFormat="1" ht="15">
      <c r="A25" s="229" t="s">
        <v>212</v>
      </c>
      <c r="B25" s="537"/>
      <c r="C25" s="537">
        <f>4152264.7</f>
        <v>4152264.7</v>
      </c>
      <c r="D25" s="537">
        <f t="shared" si="0"/>
        <v>4152264.7</v>
      </c>
      <c r="E25" s="537"/>
      <c r="F25" s="537">
        <v>4147526.8</v>
      </c>
      <c r="G25" s="537">
        <f t="shared" si="1"/>
        <v>4147526.8</v>
      </c>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row>
    <row r="26" spans="1:33" s="183" customFormat="1" ht="15">
      <c r="A26" s="229" t="s">
        <v>213</v>
      </c>
      <c r="B26" s="537"/>
      <c r="C26" s="537">
        <v>718331.7</v>
      </c>
      <c r="D26" s="537">
        <f t="shared" si="0"/>
        <v>718331.7</v>
      </c>
      <c r="E26" s="537"/>
      <c r="F26" s="537">
        <v>690675.1</v>
      </c>
      <c r="G26" s="537">
        <f t="shared" si="1"/>
        <v>690675.1</v>
      </c>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row>
    <row r="27" spans="1:33" s="183" customFormat="1" ht="15">
      <c r="A27" s="229" t="s">
        <v>214</v>
      </c>
      <c r="B27" s="537"/>
      <c r="C27" s="537">
        <v>0</v>
      </c>
      <c r="D27" s="537">
        <f aca="true" t="shared" si="2" ref="D27:D34">+C27+B27</f>
        <v>0</v>
      </c>
      <c r="E27" s="537"/>
      <c r="F27" s="537">
        <v>0</v>
      </c>
      <c r="G27" s="537">
        <f t="shared" si="1"/>
        <v>0</v>
      </c>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row>
    <row r="28" spans="1:33" s="183" customFormat="1" ht="15">
      <c r="A28" s="229" t="s">
        <v>215</v>
      </c>
      <c r="B28" s="537"/>
      <c r="C28" s="537">
        <v>702.7</v>
      </c>
      <c r="D28" s="537">
        <f t="shared" si="2"/>
        <v>702.7</v>
      </c>
      <c r="E28" s="537"/>
      <c r="F28" s="537">
        <v>1208.2</v>
      </c>
      <c r="G28" s="537">
        <f t="shared" si="1"/>
        <v>1208.2</v>
      </c>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row>
    <row r="29" spans="1:33" s="183" customFormat="1" ht="15">
      <c r="A29" s="229" t="s">
        <v>216</v>
      </c>
      <c r="B29" s="537"/>
      <c r="C29" s="537">
        <v>261.3</v>
      </c>
      <c r="D29" s="537">
        <f t="shared" si="2"/>
        <v>261.3</v>
      </c>
      <c r="E29" s="537"/>
      <c r="F29" s="537">
        <v>0</v>
      </c>
      <c r="G29" s="537">
        <f t="shared" si="1"/>
        <v>0</v>
      </c>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row>
    <row r="30" spans="1:33" s="183" customFormat="1" ht="15">
      <c r="A30" s="229" t="s">
        <v>217</v>
      </c>
      <c r="B30" s="537"/>
      <c r="C30" s="537">
        <v>0</v>
      </c>
      <c r="D30" s="537">
        <f t="shared" si="2"/>
        <v>0</v>
      </c>
      <c r="E30" s="537"/>
      <c r="F30" s="537">
        <v>0</v>
      </c>
      <c r="G30" s="537">
        <f t="shared" si="1"/>
        <v>0</v>
      </c>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row>
    <row r="31" spans="1:33" s="183" customFormat="1" ht="15">
      <c r="A31" s="229" t="s">
        <v>878</v>
      </c>
      <c r="B31" s="537"/>
      <c r="C31" s="537">
        <v>154033.9</v>
      </c>
      <c r="D31" s="537">
        <f t="shared" si="2"/>
        <v>154033.9</v>
      </c>
      <c r="E31" s="537"/>
      <c r="F31" s="537">
        <v>457973.7</v>
      </c>
      <c r="G31" s="537">
        <f t="shared" si="1"/>
        <v>457973.7</v>
      </c>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row>
    <row r="32" spans="1:33" s="183" customFormat="1" ht="15">
      <c r="A32" s="229" t="s">
        <v>218</v>
      </c>
      <c r="B32" s="537"/>
      <c r="C32" s="537">
        <v>23004.8</v>
      </c>
      <c r="D32" s="537">
        <f t="shared" si="2"/>
        <v>23004.8</v>
      </c>
      <c r="E32" s="537"/>
      <c r="F32" s="537">
        <v>88446.2</v>
      </c>
      <c r="G32" s="537">
        <f t="shared" si="1"/>
        <v>88446.2</v>
      </c>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row>
    <row r="33" spans="1:33" s="183" customFormat="1" ht="15">
      <c r="A33" s="229" t="s">
        <v>7</v>
      </c>
      <c r="B33" s="537"/>
      <c r="C33" s="537">
        <v>5790326</v>
      </c>
      <c r="D33" s="537">
        <f t="shared" si="2"/>
        <v>5790326</v>
      </c>
      <c r="E33" s="537"/>
      <c r="F33" s="537">
        <v>9035401.8</v>
      </c>
      <c r="G33" s="537">
        <f t="shared" si="1"/>
        <v>9035401.8</v>
      </c>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row>
    <row r="34" spans="1:33" s="183" customFormat="1" ht="15">
      <c r="A34" s="365" t="s">
        <v>66</v>
      </c>
      <c r="B34" s="538"/>
      <c r="C34" s="538"/>
      <c r="D34" s="537">
        <f t="shared" si="2"/>
        <v>0</v>
      </c>
      <c r="E34" s="538"/>
      <c r="F34" s="538"/>
      <c r="G34" s="537">
        <f t="shared" si="1"/>
        <v>0</v>
      </c>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row>
    <row r="35" spans="1:33" s="183" customFormat="1" ht="15.75" thickBot="1">
      <c r="A35" s="230" t="s">
        <v>3</v>
      </c>
      <c r="B35" s="539">
        <f>+SUM($B$13:B34)</f>
        <v>3290.7</v>
      </c>
      <c r="C35" s="539">
        <f>+SUM($C$13:C34)</f>
        <v>24518221.7</v>
      </c>
      <c r="D35" s="539">
        <f>+SUM($D$13:D34)</f>
        <v>24521512.4</v>
      </c>
      <c r="E35" s="539">
        <f>+SUM($E$13:E34)</f>
        <v>48381.2</v>
      </c>
      <c r="F35" s="539">
        <f>+SUM($F$13:F34)</f>
        <v>23112002.700000003</v>
      </c>
      <c r="G35" s="539">
        <f>+SUM($G$13:G34)</f>
        <v>23160383.9</v>
      </c>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row>
    <row r="36" spans="1:33" s="183" customFormat="1" ht="15">
      <c r="A36" s="182"/>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row>
    <row r="37" spans="1:33" s="183" customFormat="1" ht="15">
      <c r="A37" s="182"/>
      <c r="B37" s="182"/>
      <c r="C37" s="182"/>
      <c r="D37" s="373"/>
      <c r="E37" s="182"/>
      <c r="F37" s="182"/>
      <c r="G37" s="373"/>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row>
    <row r="38" spans="1:33" s="183" customFormat="1" ht="15">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row>
    <row r="39" spans="1:33" s="183" customFormat="1" ht="15">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row>
    <row r="40" spans="1:33" s="183" customFormat="1" ht="15">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row>
    <row r="41" spans="1:33" s="183" customFormat="1" ht="15">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row>
    <row r="42" spans="1:33" s="152" customFormat="1" ht="15">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row>
    <row r="43" spans="1:33" s="152" customFormat="1" ht="15">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row>
  </sheetData>
  <sheetProtection/>
  <mergeCells count="2">
    <mergeCell ref="A6:H6"/>
    <mergeCell ref="A11:A12"/>
  </mergeCells>
  <hyperlinks>
    <hyperlink ref="G1" location="ER!A1" display="ER"/>
  </hyperlinks>
  <printOptions/>
  <pageMargins left="0.7" right="0.7" top="0.75" bottom="0.75" header="0.3" footer="0.3"/>
  <pageSetup horizontalDpi="600" verticalDpi="600" orientation="portrait" r:id="rId2"/>
  <drawing r:id="rId1"/>
</worksheet>
</file>

<file path=xl/worksheets/sheet33.xml><?xml version="1.0" encoding="utf-8"?>
<worksheet xmlns="http://schemas.openxmlformats.org/spreadsheetml/2006/main" xmlns:r="http://schemas.openxmlformats.org/officeDocument/2006/relationships">
  <dimension ref="A1:X25"/>
  <sheetViews>
    <sheetView showGridLines="0" zoomScalePageLayoutView="0" workbookViewId="0" topLeftCell="A4">
      <selection activeCell="H17" sqref="H17"/>
    </sheetView>
  </sheetViews>
  <sheetFormatPr defaultColWidth="11.421875" defaultRowHeight="15"/>
  <cols>
    <col min="1" max="1" width="38.00390625" style="129" customWidth="1"/>
    <col min="2" max="2" width="14.7109375" style="129" customWidth="1"/>
    <col min="3" max="3" width="15.7109375" style="129" customWidth="1"/>
    <col min="4" max="4" width="4.8515625" style="129" customWidth="1"/>
    <col min="5" max="5" width="14.57421875" style="129" bestFit="1" customWidth="1"/>
    <col min="6" max="6" width="13.28125" style="129" customWidth="1"/>
    <col min="7" max="7" width="14.57421875" style="129" customWidth="1"/>
    <col min="8" max="20" width="11.421875" style="129" customWidth="1"/>
  </cols>
  <sheetData>
    <row r="1" spans="1:5" ht="15">
      <c r="A1" s="129" t="str">
        <f>Indice!C1</f>
        <v>NEGOFIN S.A.E.C.A.</v>
      </c>
      <c r="E1" s="150" t="s">
        <v>148</v>
      </c>
    </row>
    <row r="4" spans="1:24" ht="15">
      <c r="A4" s="818" t="s">
        <v>347</v>
      </c>
      <c r="B4" s="818"/>
      <c r="C4" s="818"/>
      <c r="D4" s="818"/>
      <c r="E4" s="818"/>
      <c r="F4" s="159"/>
      <c r="U4" s="129"/>
      <c r="V4" s="129"/>
      <c r="W4" s="129"/>
      <c r="X4" s="129"/>
    </row>
    <row r="5" spans="1:24" ht="15">
      <c r="A5" s="156"/>
      <c r="B5" s="158"/>
      <c r="C5" s="157"/>
      <c r="D5" s="157"/>
      <c r="E5" s="157"/>
      <c r="F5" s="159"/>
      <c r="U5" s="129"/>
      <c r="V5" s="129"/>
      <c r="W5" s="129"/>
      <c r="X5" s="129"/>
    </row>
    <row r="6" spans="1:24" s="207" customFormat="1" ht="15">
      <c r="A6" s="366" t="s">
        <v>262</v>
      </c>
      <c r="B6" s="819"/>
      <c r="C6" s="819"/>
      <c r="D6" s="157"/>
      <c r="E6" s="157"/>
      <c r="F6" s="159"/>
      <c r="G6" s="129"/>
      <c r="H6" s="129"/>
      <c r="I6" s="129"/>
      <c r="J6" s="129"/>
      <c r="K6" s="129"/>
      <c r="L6" s="129"/>
      <c r="M6" s="129"/>
      <c r="N6" s="129"/>
      <c r="O6" s="129"/>
      <c r="P6" s="129"/>
      <c r="Q6" s="129"/>
      <c r="R6" s="129"/>
      <c r="S6" s="129"/>
      <c r="T6" s="129"/>
      <c r="U6" s="129"/>
      <c r="V6" s="129"/>
      <c r="W6" s="129"/>
      <c r="X6" s="129"/>
    </row>
    <row r="7" spans="1:24" ht="15">
      <c r="A7" s="156"/>
      <c r="D7" s="157"/>
      <c r="E7" s="157"/>
      <c r="F7" s="159"/>
      <c r="U7" s="129"/>
      <c r="V7" s="129"/>
      <c r="W7" s="129"/>
      <c r="X7" s="129"/>
    </row>
    <row r="8" spans="1:24" ht="15">
      <c r="A8" s="160" t="s">
        <v>157</v>
      </c>
      <c r="B8" s="406">
        <f>_xlfn.IFERROR(IF(Indice!B6="","2XX2",YEAR(Indice!B6)),"2XX2")</f>
        <v>2021</v>
      </c>
      <c r="C8" s="406">
        <f>+_xlfn.IFERROR(YEAR(Indice!B6-365),"2XX1")</f>
        <v>2020</v>
      </c>
      <c r="D8" s="157"/>
      <c r="E8" s="160" t="s">
        <v>264</v>
      </c>
      <c r="F8" s="406">
        <f>_xlfn.IFERROR(IF(Indice!B6="","2XX2",YEAR(Indice!B6)),"2XX2")</f>
        <v>2021</v>
      </c>
      <c r="G8" s="406">
        <f>+_xlfn.IFERROR(YEAR(Indice!B6-365),"2XX1")</f>
        <v>2020</v>
      </c>
      <c r="U8" s="129"/>
      <c r="V8" s="129"/>
      <c r="W8" s="129"/>
      <c r="X8" s="129"/>
    </row>
    <row r="9" spans="1:24" ht="15">
      <c r="A9" s="156" t="s">
        <v>154</v>
      </c>
      <c r="B9" s="156"/>
      <c r="C9" s="156"/>
      <c r="D9" s="157"/>
      <c r="E9" s="156" t="s">
        <v>154</v>
      </c>
      <c r="F9" s="156"/>
      <c r="G9" s="156"/>
      <c r="U9" s="129"/>
      <c r="V9" s="129"/>
      <c r="W9" s="129"/>
      <c r="X9" s="129"/>
    </row>
    <row r="10" spans="1:24" ht="15">
      <c r="A10" s="156" t="s">
        <v>1056</v>
      </c>
      <c r="B10" s="545">
        <v>3499.8</v>
      </c>
      <c r="C10" s="545">
        <v>13409.1</v>
      </c>
      <c r="D10" s="157"/>
      <c r="E10" s="156"/>
      <c r="F10" s="545">
        <v>0</v>
      </c>
      <c r="G10" s="545">
        <v>0</v>
      </c>
      <c r="U10" s="129"/>
      <c r="V10" s="129"/>
      <c r="W10" s="129"/>
      <c r="X10" s="129"/>
    </row>
    <row r="11" spans="1:24" ht="15">
      <c r="A11" s="156" t="s">
        <v>1057</v>
      </c>
      <c r="B11" s="545">
        <v>52220.4</v>
      </c>
      <c r="C11" s="545">
        <v>93171.7</v>
      </c>
      <c r="D11" s="157"/>
      <c r="E11" s="156"/>
      <c r="F11" s="545">
        <v>0</v>
      </c>
      <c r="G11" s="545">
        <v>0</v>
      </c>
      <c r="U11" s="129"/>
      <c r="V11" s="129"/>
      <c r="W11" s="129"/>
      <c r="X11" s="129"/>
    </row>
    <row r="12" spans="1:24" ht="15">
      <c r="A12" s="156" t="s">
        <v>1058</v>
      </c>
      <c r="B12" s="545">
        <f>1657+5219+140.8+42275.7</f>
        <v>49292.5</v>
      </c>
      <c r="C12" s="545">
        <f>424.3+24825.2</f>
        <v>25249.5</v>
      </c>
      <c r="D12" s="157"/>
      <c r="E12" s="156"/>
      <c r="F12" s="545">
        <v>0</v>
      </c>
      <c r="G12" s="545">
        <v>0</v>
      </c>
      <c r="U12" s="129"/>
      <c r="V12" s="129"/>
      <c r="W12" s="129"/>
      <c r="X12" s="129"/>
    </row>
    <row r="13" spans="1:24" ht="15">
      <c r="A13" s="156" t="s">
        <v>1059</v>
      </c>
      <c r="B13" s="545">
        <v>2407.7</v>
      </c>
      <c r="C13" s="545">
        <v>583.2</v>
      </c>
      <c r="D13" s="157"/>
      <c r="E13" s="156"/>
      <c r="F13" s="545">
        <v>0</v>
      </c>
      <c r="G13" s="545">
        <v>0</v>
      </c>
      <c r="U13" s="129"/>
      <c r="V13" s="129"/>
      <c r="W13" s="129"/>
      <c r="X13" s="129"/>
    </row>
    <row r="14" spans="1:24" ht="15">
      <c r="A14" s="156" t="s">
        <v>1060</v>
      </c>
      <c r="B14" s="546">
        <v>8370.1</v>
      </c>
      <c r="C14" s="545">
        <v>9455.7</v>
      </c>
      <c r="D14" s="157"/>
      <c r="E14" s="156"/>
      <c r="F14" s="545">
        <v>0</v>
      </c>
      <c r="G14" s="545">
        <v>0</v>
      </c>
      <c r="U14" s="129"/>
      <c r="V14" s="129"/>
      <c r="W14" s="129"/>
      <c r="X14" s="129"/>
    </row>
    <row r="15" spans="1:24" ht="15">
      <c r="A15" s="156" t="s">
        <v>1061</v>
      </c>
      <c r="B15" s="546">
        <v>649137.4</v>
      </c>
      <c r="C15" s="545">
        <v>472012.5</v>
      </c>
      <c r="D15" s="157"/>
      <c r="E15" s="156"/>
      <c r="F15" s="545">
        <v>0</v>
      </c>
      <c r="G15" s="545">
        <v>0</v>
      </c>
      <c r="U15" s="129"/>
      <c r="V15" s="129"/>
      <c r="W15" s="129"/>
      <c r="X15" s="129"/>
    </row>
    <row r="16" spans="1:24" ht="15">
      <c r="A16" s="160" t="s">
        <v>3</v>
      </c>
      <c r="B16" s="544">
        <f>SUM($B$9:B15)</f>
        <v>764927.9</v>
      </c>
      <c r="C16" s="544">
        <f>SUM($C$9:C15)</f>
        <v>613881.7</v>
      </c>
      <c r="D16" s="367"/>
      <c r="E16" s="431" t="s">
        <v>3</v>
      </c>
      <c r="F16" s="544">
        <f>SUM($F$9:F15)</f>
        <v>0</v>
      </c>
      <c r="G16" s="544">
        <f>SUM($G$9:G15)</f>
        <v>0</v>
      </c>
      <c r="U16" s="129"/>
      <c r="V16" s="129"/>
      <c r="W16" s="129"/>
      <c r="X16" s="129"/>
    </row>
    <row r="17" spans="4:24" s="207" customFormat="1" ht="15">
      <c r="D17" s="157"/>
      <c r="E17" s="157"/>
      <c r="F17" s="159"/>
      <c r="G17" s="129"/>
      <c r="H17" s="129"/>
      <c r="I17" s="129"/>
      <c r="J17" s="129"/>
      <c r="K17" s="129"/>
      <c r="L17" s="129"/>
      <c r="M17" s="129"/>
      <c r="N17" s="129"/>
      <c r="O17" s="129"/>
      <c r="P17" s="129"/>
      <c r="Q17" s="129"/>
      <c r="R17" s="129"/>
      <c r="S17" s="129"/>
      <c r="T17" s="129"/>
      <c r="U17" s="129"/>
      <c r="V17" s="129"/>
      <c r="W17" s="129"/>
      <c r="X17" s="129"/>
    </row>
    <row r="18" spans="2:24" s="207" customFormat="1" ht="15">
      <c r="B18" s="547"/>
      <c r="C18" s="547"/>
      <c r="D18" s="157"/>
      <c r="E18" s="157"/>
      <c r="F18" s="159"/>
      <c r="G18" s="129"/>
      <c r="H18" s="129"/>
      <c r="I18" s="129"/>
      <c r="J18" s="129"/>
      <c r="K18" s="129"/>
      <c r="L18" s="129"/>
      <c r="M18" s="129"/>
      <c r="N18" s="129"/>
      <c r="O18" s="129"/>
      <c r="P18" s="129"/>
      <c r="Q18" s="129"/>
      <c r="R18" s="129"/>
      <c r="S18" s="129"/>
      <c r="T18" s="129"/>
      <c r="U18" s="129"/>
      <c r="V18" s="129"/>
      <c r="W18" s="129"/>
      <c r="X18" s="129"/>
    </row>
    <row r="19" spans="2:24" s="207" customFormat="1" ht="15">
      <c r="B19" s="465"/>
      <c r="C19" s="465"/>
      <c r="D19" s="157"/>
      <c r="E19" s="157"/>
      <c r="F19" s="159"/>
      <c r="G19" s="129"/>
      <c r="H19" s="129"/>
      <c r="I19" s="129"/>
      <c r="J19" s="129"/>
      <c r="K19" s="129"/>
      <c r="L19" s="129"/>
      <c r="M19" s="129"/>
      <c r="N19" s="129"/>
      <c r="O19" s="129"/>
      <c r="P19" s="129"/>
      <c r="Q19" s="129"/>
      <c r="R19" s="129"/>
      <c r="S19" s="129"/>
      <c r="T19" s="129"/>
      <c r="U19" s="129"/>
      <c r="V19" s="129"/>
      <c r="W19" s="129"/>
      <c r="X19" s="129"/>
    </row>
    <row r="20" spans="4:24" s="207" customFormat="1" ht="15">
      <c r="D20" s="157"/>
      <c r="E20" s="157"/>
      <c r="F20" s="159"/>
      <c r="G20" s="129"/>
      <c r="H20" s="129"/>
      <c r="I20" s="129"/>
      <c r="J20" s="129"/>
      <c r="K20" s="129"/>
      <c r="L20" s="129"/>
      <c r="M20" s="129"/>
      <c r="N20" s="129"/>
      <c r="O20" s="129"/>
      <c r="P20" s="129"/>
      <c r="Q20" s="129"/>
      <c r="R20" s="129"/>
      <c r="S20" s="129"/>
      <c r="T20" s="129"/>
      <c r="U20" s="129"/>
      <c r="V20" s="129"/>
      <c r="W20" s="129"/>
      <c r="X20" s="129"/>
    </row>
    <row r="21" spans="4:24" s="207" customFormat="1" ht="15">
      <c r="D21" s="157"/>
      <c r="E21" s="157"/>
      <c r="F21" s="159"/>
      <c r="G21" s="129"/>
      <c r="H21" s="129"/>
      <c r="I21" s="129"/>
      <c r="J21" s="129"/>
      <c r="K21" s="129"/>
      <c r="L21" s="129"/>
      <c r="M21" s="129"/>
      <c r="N21" s="129"/>
      <c r="O21" s="129"/>
      <c r="P21" s="129"/>
      <c r="Q21" s="129"/>
      <c r="R21" s="129"/>
      <c r="S21" s="129"/>
      <c r="T21" s="129"/>
      <c r="U21" s="129"/>
      <c r="V21" s="129"/>
      <c r="W21" s="129"/>
      <c r="X21" s="129"/>
    </row>
    <row r="22" spans="4:24" s="207" customFormat="1" ht="15">
      <c r="D22" s="157"/>
      <c r="E22" s="157"/>
      <c r="F22" s="159"/>
      <c r="G22" s="129"/>
      <c r="H22" s="129"/>
      <c r="I22" s="129"/>
      <c r="J22" s="129"/>
      <c r="K22" s="129"/>
      <c r="L22" s="129"/>
      <c r="M22" s="129"/>
      <c r="N22" s="129"/>
      <c r="O22" s="129"/>
      <c r="P22" s="129"/>
      <c r="Q22" s="129"/>
      <c r="R22" s="129"/>
      <c r="S22" s="129"/>
      <c r="T22" s="129"/>
      <c r="U22" s="129"/>
      <c r="V22" s="129"/>
      <c r="W22" s="129"/>
      <c r="X22" s="129"/>
    </row>
    <row r="23" spans="4:24" s="207" customFormat="1" ht="15">
      <c r="D23" s="157"/>
      <c r="E23" s="157"/>
      <c r="F23" s="159"/>
      <c r="G23" s="129"/>
      <c r="H23" s="129"/>
      <c r="I23" s="129"/>
      <c r="J23" s="129"/>
      <c r="K23" s="129"/>
      <c r="L23" s="129"/>
      <c r="M23" s="129"/>
      <c r="N23" s="129"/>
      <c r="O23" s="129"/>
      <c r="P23" s="129"/>
      <c r="Q23" s="129"/>
      <c r="R23" s="129"/>
      <c r="S23" s="129"/>
      <c r="T23" s="129"/>
      <c r="U23" s="129"/>
      <c r="V23" s="129"/>
      <c r="W23" s="129"/>
      <c r="X23" s="129"/>
    </row>
    <row r="24" spans="4:24" s="207" customFormat="1" ht="15">
      <c r="D24" s="157"/>
      <c r="E24" s="157"/>
      <c r="F24" s="159"/>
      <c r="G24" s="129"/>
      <c r="H24" s="129"/>
      <c r="I24" s="129"/>
      <c r="J24" s="129"/>
      <c r="K24" s="129"/>
      <c r="L24" s="129"/>
      <c r="M24" s="129"/>
      <c r="N24" s="129"/>
      <c r="O24" s="129"/>
      <c r="P24" s="129"/>
      <c r="Q24" s="129"/>
      <c r="R24" s="129"/>
      <c r="S24" s="129"/>
      <c r="T24" s="129"/>
      <c r="U24" s="129"/>
      <c r="V24" s="129"/>
      <c r="W24" s="129"/>
      <c r="X24" s="129"/>
    </row>
    <row r="25" spans="4:24" s="207" customFormat="1" ht="15">
      <c r="D25" s="157"/>
      <c r="E25" s="157"/>
      <c r="F25" s="159"/>
      <c r="G25" s="129"/>
      <c r="H25" s="129"/>
      <c r="I25" s="129"/>
      <c r="J25" s="129"/>
      <c r="K25" s="129"/>
      <c r="L25" s="129"/>
      <c r="M25" s="129"/>
      <c r="N25" s="129"/>
      <c r="O25" s="129"/>
      <c r="P25" s="129"/>
      <c r="Q25" s="129"/>
      <c r="R25" s="129"/>
      <c r="S25" s="129"/>
      <c r="T25" s="129"/>
      <c r="U25" s="129"/>
      <c r="V25" s="129"/>
      <c r="W25" s="129"/>
      <c r="X25" s="129"/>
    </row>
  </sheetData>
  <sheetProtection/>
  <mergeCells count="2">
    <mergeCell ref="A4:E4"/>
    <mergeCell ref="B6:C6"/>
  </mergeCells>
  <hyperlinks>
    <hyperlink ref="E1" location="ER!A1" display="ER"/>
  </hyperlink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dimension ref="A1:AE24"/>
  <sheetViews>
    <sheetView showGridLines="0" zoomScalePageLayoutView="0" workbookViewId="0" topLeftCell="A1">
      <selection activeCell="A19" sqref="A19:C24"/>
    </sheetView>
  </sheetViews>
  <sheetFormatPr defaultColWidth="11.421875" defaultRowHeight="15"/>
  <cols>
    <col min="1" max="1" width="35.8515625" style="129" customWidth="1"/>
    <col min="2" max="2" width="18.421875" style="129" customWidth="1"/>
    <col min="3" max="3" width="16.7109375" style="129" customWidth="1"/>
    <col min="4" max="4" width="11.421875" style="129" customWidth="1"/>
    <col min="5" max="5" width="30.421875" style="129" bestFit="1" customWidth="1"/>
    <col min="6" max="6" width="17.28125" style="129" customWidth="1"/>
    <col min="7" max="7" width="16.00390625" style="129" customWidth="1"/>
    <col min="8" max="15" width="11.421875" style="129" customWidth="1"/>
  </cols>
  <sheetData>
    <row r="1" spans="1:5" ht="15">
      <c r="A1" s="129" t="str">
        <f>Indice!C1</f>
        <v>NEGOFIN S.A.E.C.A.</v>
      </c>
      <c r="E1" s="150" t="s">
        <v>148</v>
      </c>
    </row>
    <row r="5" spans="1:30" ht="15">
      <c r="A5" s="315" t="s">
        <v>348</v>
      </c>
      <c r="B5" s="315"/>
      <c r="C5" s="315"/>
      <c r="D5" s="315"/>
      <c r="E5" s="315"/>
      <c r="F5" s="315"/>
      <c r="G5" s="315"/>
      <c r="H5" s="29"/>
      <c r="I5" s="29"/>
      <c r="J5" s="29"/>
      <c r="K5" s="29"/>
      <c r="L5" s="29"/>
      <c r="M5" s="29"/>
      <c r="N5" s="29"/>
      <c r="O5" s="29"/>
      <c r="P5" s="29"/>
      <c r="Q5" s="29"/>
      <c r="R5" s="29"/>
      <c r="S5" s="29"/>
      <c r="T5" s="29"/>
      <c r="U5" s="29"/>
      <c r="V5" s="29"/>
      <c r="W5" s="29"/>
      <c r="X5" s="29"/>
      <c r="Y5" s="29"/>
      <c r="Z5" s="29"/>
      <c r="AA5" s="29"/>
      <c r="AB5" s="29"/>
      <c r="AC5" s="29"/>
      <c r="AD5" s="29"/>
    </row>
    <row r="6" ht="15">
      <c r="A6" s="343" t="s">
        <v>262</v>
      </c>
    </row>
    <row r="7" ht="15">
      <c r="C7" s="343"/>
    </row>
    <row r="8" spans="1:31" ht="15">
      <c r="A8" s="155" t="s">
        <v>159</v>
      </c>
      <c r="B8" s="406">
        <f>_xlfn.IFERROR(IF(Indice!B6="","2XX2",YEAR(Indice!B6)),"2XX2")</f>
        <v>2021</v>
      </c>
      <c r="C8" s="406">
        <f>+_xlfn.IFERROR(YEAR(Indice!B6-365),"2XX1")</f>
        <v>2020</v>
      </c>
      <c r="D8" s="29"/>
      <c r="E8" s="155" t="s">
        <v>161</v>
      </c>
      <c r="F8" s="406">
        <f>_xlfn.IFERROR(IF(Indice!B6="","2XX2",YEAR(Indice!B6)),"2XX2")</f>
        <v>2021</v>
      </c>
      <c r="G8" s="406">
        <f>+_xlfn.IFERROR(YEAR(Indice!B6-365),"2XX1")</f>
        <v>2020</v>
      </c>
      <c r="H8" s="29"/>
      <c r="I8" s="29"/>
      <c r="J8" s="29"/>
      <c r="K8" s="29"/>
      <c r="L8" s="29"/>
      <c r="M8" s="29"/>
      <c r="N8" s="29"/>
      <c r="O8" s="29"/>
      <c r="P8" s="29"/>
      <c r="Q8" s="29"/>
      <c r="R8" s="29"/>
      <c r="S8" s="29"/>
      <c r="T8" s="29"/>
      <c r="U8" s="29"/>
      <c r="V8" s="29"/>
      <c r="W8" s="29"/>
      <c r="X8" s="29"/>
      <c r="Y8" s="29"/>
      <c r="Z8" s="29"/>
      <c r="AA8" s="29"/>
      <c r="AB8" s="29"/>
      <c r="AC8" s="29"/>
      <c r="AD8" s="29"/>
      <c r="AE8" s="29"/>
    </row>
    <row r="9" spans="1:31" ht="15">
      <c r="A9" s="29" t="s">
        <v>872</v>
      </c>
      <c r="B9" s="29"/>
      <c r="C9" s="29"/>
      <c r="D9" s="29"/>
      <c r="E9" s="29" t="s">
        <v>872</v>
      </c>
      <c r="F9" s="29"/>
      <c r="G9" s="29"/>
      <c r="H9" s="29"/>
      <c r="I9" s="29"/>
      <c r="J9" s="29"/>
      <c r="K9" s="29"/>
      <c r="L9" s="29"/>
      <c r="M9" s="29"/>
      <c r="N9" s="29"/>
      <c r="O9" s="29"/>
      <c r="P9" s="29"/>
      <c r="Q9" s="29"/>
      <c r="R9" s="29"/>
      <c r="S9" s="29"/>
      <c r="T9" s="29"/>
      <c r="U9" s="29"/>
      <c r="V9" s="29"/>
      <c r="W9" s="29"/>
      <c r="X9" s="29"/>
      <c r="Y9" s="29"/>
      <c r="Z9" s="29"/>
      <c r="AA9" s="29"/>
      <c r="AB9" s="29"/>
      <c r="AC9" s="29"/>
      <c r="AD9" s="29"/>
      <c r="AE9" s="29"/>
    </row>
    <row r="10" spans="1:31" s="207" customFormat="1" ht="15">
      <c r="A10" s="207" t="s">
        <v>1055</v>
      </c>
      <c r="B10" s="533">
        <v>2892031.2</v>
      </c>
      <c r="C10" s="533">
        <v>2440690.2</v>
      </c>
      <c r="D10" s="29"/>
      <c r="E10" s="29" t="s">
        <v>1052</v>
      </c>
      <c r="F10" s="533">
        <v>1790924.3</v>
      </c>
      <c r="G10" s="533">
        <v>2852227.5</v>
      </c>
      <c r="H10" s="29"/>
      <c r="I10" s="29"/>
      <c r="J10" s="29"/>
      <c r="K10" s="29"/>
      <c r="L10" s="29"/>
      <c r="M10" s="29"/>
      <c r="N10" s="29"/>
      <c r="O10" s="29"/>
      <c r="P10" s="29"/>
      <c r="Q10" s="29"/>
      <c r="R10" s="29"/>
      <c r="S10" s="29"/>
      <c r="T10" s="29"/>
      <c r="U10" s="29"/>
      <c r="V10" s="29"/>
      <c r="W10" s="29"/>
      <c r="X10" s="29"/>
      <c r="Y10" s="29"/>
      <c r="Z10" s="29"/>
      <c r="AA10" s="29"/>
      <c r="AB10" s="29"/>
      <c r="AC10" s="29"/>
      <c r="AD10" s="29"/>
      <c r="AE10" s="29"/>
    </row>
    <row r="11" spans="1:31" s="462" customFormat="1" ht="15">
      <c r="A11" s="462" t="s">
        <v>1062</v>
      </c>
      <c r="B11" s="533">
        <v>1930423</v>
      </c>
      <c r="C11" s="533">
        <v>2101524.3</v>
      </c>
      <c r="D11" s="29"/>
      <c r="E11" s="29" t="s">
        <v>1053</v>
      </c>
      <c r="F11" s="533">
        <v>2783430.4</v>
      </c>
      <c r="G11" s="533">
        <v>2030756.8</v>
      </c>
      <c r="H11" s="29"/>
      <c r="I11" s="29"/>
      <c r="J11" s="29"/>
      <c r="K11" s="29"/>
      <c r="L11" s="29"/>
      <c r="M11" s="29"/>
      <c r="N11" s="29"/>
      <c r="O11" s="29"/>
      <c r="P11" s="29"/>
      <c r="Q11" s="29"/>
      <c r="R11" s="29"/>
      <c r="S11" s="29"/>
      <c r="T11" s="29"/>
      <c r="U11" s="29"/>
      <c r="V11" s="29"/>
      <c r="W11" s="29"/>
      <c r="X11" s="29"/>
      <c r="Y11" s="29"/>
      <c r="Z11" s="29"/>
      <c r="AA11" s="29"/>
      <c r="AB11" s="29"/>
      <c r="AC11" s="29"/>
      <c r="AD11" s="29"/>
      <c r="AE11" s="29"/>
    </row>
    <row r="12" spans="1:31" s="207" customFormat="1" ht="15">
      <c r="A12" s="462" t="s">
        <v>1063</v>
      </c>
      <c r="B12" s="533">
        <v>5023.6</v>
      </c>
      <c r="C12" s="533">
        <v>0</v>
      </c>
      <c r="D12" s="29"/>
      <c r="E12" s="129" t="s">
        <v>1054</v>
      </c>
      <c r="F12" s="533">
        <v>11454</v>
      </c>
      <c r="G12" s="533">
        <v>115682.3</v>
      </c>
      <c r="H12" s="29"/>
      <c r="I12" s="29"/>
      <c r="J12" s="29"/>
      <c r="K12" s="29"/>
      <c r="L12" s="29"/>
      <c r="M12" s="29"/>
      <c r="N12" s="29"/>
      <c r="O12" s="29"/>
      <c r="P12" s="29"/>
      <c r="Q12" s="29"/>
      <c r="R12" s="29"/>
      <c r="S12" s="29"/>
      <c r="T12" s="29"/>
      <c r="U12" s="29"/>
      <c r="V12" s="29"/>
      <c r="W12" s="29"/>
      <c r="X12" s="29"/>
      <c r="Y12" s="29"/>
      <c r="Z12" s="29"/>
      <c r="AA12" s="29"/>
      <c r="AB12" s="29"/>
      <c r="AC12" s="29"/>
      <c r="AD12" s="29"/>
      <c r="AE12" s="29"/>
    </row>
    <row r="13" spans="1:31" ht="15">
      <c r="A13" s="29" t="s">
        <v>1049</v>
      </c>
      <c r="B13" s="533">
        <v>140965.3</v>
      </c>
      <c r="C13" s="533">
        <v>0</v>
      </c>
      <c r="D13" s="29"/>
      <c r="H13" s="29"/>
      <c r="I13" s="29"/>
      <c r="J13" s="29"/>
      <c r="K13" s="29"/>
      <c r="L13" s="29"/>
      <c r="M13" s="29"/>
      <c r="N13" s="29"/>
      <c r="O13" s="29"/>
      <c r="P13" s="29"/>
      <c r="Q13" s="29"/>
      <c r="R13" s="29"/>
      <c r="S13" s="29"/>
      <c r="T13" s="29"/>
      <c r="U13" s="29"/>
      <c r="V13" s="29"/>
      <c r="W13" s="29"/>
      <c r="X13" s="29"/>
      <c r="Y13" s="29"/>
      <c r="Z13" s="29"/>
      <c r="AA13" s="29"/>
      <c r="AB13" s="29"/>
      <c r="AC13" s="29"/>
      <c r="AD13" s="29"/>
      <c r="AE13" s="29"/>
    </row>
    <row r="14" spans="1:31" ht="15">
      <c r="A14" s="29" t="s">
        <v>1050</v>
      </c>
      <c r="B14" s="533">
        <v>6506</v>
      </c>
      <c r="C14" s="533">
        <v>18406.7</v>
      </c>
      <c r="D14" s="29"/>
      <c r="E14" s="29"/>
      <c r="F14" s="533"/>
      <c r="G14" s="533"/>
      <c r="H14" s="29"/>
      <c r="I14" s="29"/>
      <c r="J14" s="29"/>
      <c r="K14" s="29"/>
      <c r="L14" s="29"/>
      <c r="M14" s="29"/>
      <c r="N14" s="29"/>
      <c r="O14" s="29"/>
      <c r="P14" s="29"/>
      <c r="Q14" s="29"/>
      <c r="R14" s="29"/>
      <c r="S14" s="29"/>
      <c r="T14" s="29"/>
      <c r="U14" s="29"/>
      <c r="V14" s="29"/>
      <c r="W14" s="29"/>
      <c r="X14" s="29"/>
      <c r="Y14" s="29"/>
      <c r="Z14" s="29"/>
      <c r="AA14" s="29"/>
      <c r="AB14" s="29"/>
      <c r="AC14" s="29"/>
      <c r="AD14" s="29"/>
      <c r="AE14" s="29"/>
    </row>
    <row r="15" spans="1:31" ht="15">
      <c r="A15" s="129" t="s">
        <v>1051</v>
      </c>
      <c r="B15" s="533">
        <v>31068.3</v>
      </c>
      <c r="C15" s="533">
        <v>40767.1</v>
      </c>
      <c r="D15" s="29"/>
      <c r="E15" s="155" t="s">
        <v>273</v>
      </c>
      <c r="F15" s="544">
        <f>SUM($F9:F14)</f>
        <v>4585808.7</v>
      </c>
      <c r="G15" s="544">
        <f>SUM($G9:G14)</f>
        <v>4998666.6</v>
      </c>
      <c r="H15" s="29"/>
      <c r="I15" s="29"/>
      <c r="J15" s="29"/>
      <c r="K15" s="29"/>
      <c r="L15" s="29"/>
      <c r="M15" s="29"/>
      <c r="N15" s="29"/>
      <c r="O15" s="29"/>
      <c r="P15" s="29"/>
      <c r="Q15" s="29"/>
      <c r="R15" s="29"/>
      <c r="S15" s="29"/>
      <c r="T15" s="29"/>
      <c r="U15" s="29"/>
      <c r="V15" s="29"/>
      <c r="W15" s="29"/>
      <c r="X15" s="29"/>
      <c r="Y15" s="29"/>
      <c r="Z15" s="29"/>
      <c r="AA15" s="29"/>
      <c r="AB15" s="29"/>
      <c r="AC15" s="29"/>
      <c r="AD15" s="29"/>
      <c r="AE15" s="29"/>
    </row>
    <row r="16" spans="1:31" ht="15">
      <c r="A16" s="155" t="s">
        <v>160</v>
      </c>
      <c r="B16" s="544">
        <f>SUM($B9:B15)</f>
        <v>5006017.399999999</v>
      </c>
      <c r="C16" s="544">
        <f>SUM($C9:C15)</f>
        <v>4601388.3</v>
      </c>
      <c r="D16" s="29"/>
      <c r="H16" s="29"/>
      <c r="I16" s="29"/>
      <c r="J16" s="29"/>
      <c r="K16" s="29"/>
      <c r="L16" s="29"/>
      <c r="M16" s="29"/>
      <c r="N16" s="29"/>
      <c r="O16" s="29"/>
      <c r="P16" s="29"/>
      <c r="Q16" s="29"/>
      <c r="R16" s="29"/>
      <c r="S16" s="29"/>
      <c r="T16" s="29"/>
      <c r="U16" s="29"/>
      <c r="V16" s="29"/>
      <c r="W16" s="29"/>
      <c r="X16" s="29"/>
      <c r="Y16" s="29"/>
      <c r="Z16" s="29"/>
      <c r="AA16" s="29"/>
      <c r="AB16" s="29"/>
      <c r="AC16" s="29"/>
      <c r="AD16" s="29"/>
      <c r="AE16" s="29"/>
    </row>
    <row r="17" spans="1:3" ht="15">
      <c r="A17" s="29"/>
      <c r="B17" s="162"/>
      <c r="C17" s="162"/>
    </row>
    <row r="18" spans="4:31" ht="15">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row>
    <row r="19" spans="4:31" ht="15">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row>
    <row r="20" spans="1:31" s="207" customFormat="1" ht="15">
      <c r="A20" s="129"/>
      <c r="B20" s="486"/>
      <c r="C20" s="1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row>
    <row r="21" spans="4:31" s="207" customFormat="1" ht="15">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row>
    <row r="22" spans="1:31" ht="15">
      <c r="A22" s="207"/>
      <c r="B22" s="465"/>
      <c r="C22" s="20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row>
    <row r="23" spans="4:31" ht="15">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row>
    <row r="24" spans="4:31" ht="15">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row>
  </sheetData>
  <sheetProtection/>
  <hyperlinks>
    <hyperlink ref="E1" location="ER!A1" display="ER"/>
  </hyperlinks>
  <printOptions/>
  <pageMargins left="0.7" right="0.7" top="0.75" bottom="0.75" header="0.3" footer="0.3"/>
  <pageSetup orientation="portrait" paperSize="9"/>
  <drawing r:id="rId1"/>
</worksheet>
</file>

<file path=xl/worksheets/sheet35.xml><?xml version="1.0" encoding="utf-8"?>
<worksheet xmlns="http://schemas.openxmlformats.org/spreadsheetml/2006/main" xmlns:r="http://schemas.openxmlformats.org/officeDocument/2006/relationships">
  <dimension ref="A1:AB17"/>
  <sheetViews>
    <sheetView zoomScalePageLayoutView="0" workbookViewId="0" topLeftCell="A1">
      <selection activeCell="A7" sqref="A7"/>
    </sheetView>
  </sheetViews>
  <sheetFormatPr defaultColWidth="11.421875" defaultRowHeight="15"/>
  <cols>
    <col min="1" max="1" width="38.00390625" style="129" customWidth="1"/>
    <col min="2" max="2" width="16.57421875" style="129" customWidth="1"/>
    <col min="3" max="3" width="18.421875" style="129" customWidth="1"/>
    <col min="4" max="25" width="11.421875" style="129" customWidth="1"/>
  </cols>
  <sheetData>
    <row r="1" spans="1:5" ht="15">
      <c r="A1" s="129" t="str">
        <f>Indice!C1</f>
        <v>NEGOFIN S.A.E.C.A.</v>
      </c>
      <c r="E1" s="150" t="s">
        <v>148</v>
      </c>
    </row>
    <row r="4" spans="1:28" s="342" customFormat="1" ht="15.75" customHeight="1">
      <c r="A4" s="347" t="s">
        <v>219</v>
      </c>
      <c r="B4" s="432"/>
      <c r="C4" s="432"/>
      <c r="D4" s="432"/>
      <c r="E4" s="432"/>
      <c r="F4" s="156"/>
      <c r="G4" s="159"/>
      <c r="H4" s="157"/>
      <c r="I4" s="129"/>
      <c r="J4" s="129"/>
      <c r="K4" s="129"/>
      <c r="L4" s="129"/>
      <c r="M4" s="129"/>
      <c r="N4" s="129"/>
      <c r="O4" s="129"/>
      <c r="P4" s="129"/>
      <c r="Q4" s="129"/>
      <c r="R4" s="129"/>
      <c r="S4" s="129"/>
      <c r="T4" s="129"/>
      <c r="U4" s="129"/>
      <c r="V4" s="129"/>
      <c r="W4" s="129"/>
      <c r="X4" s="129"/>
      <c r="Y4" s="129"/>
      <c r="Z4" s="129"/>
      <c r="AA4" s="129"/>
      <c r="AB4" s="129"/>
    </row>
    <row r="5" spans="1:28" s="207" customFormat="1" ht="15.75" customHeight="1">
      <c r="A5" s="433" t="s">
        <v>262</v>
      </c>
      <c r="B5" s="433"/>
      <c r="C5" s="232"/>
      <c r="D5" s="232"/>
      <c r="E5" s="232"/>
      <c r="F5" s="156"/>
      <c r="G5" s="159"/>
      <c r="H5" s="157"/>
      <c r="I5" s="129"/>
      <c r="J5" s="129"/>
      <c r="K5" s="129"/>
      <c r="L5" s="129"/>
      <c r="M5" s="129"/>
      <c r="N5" s="129"/>
      <c r="O5" s="129"/>
      <c r="P5" s="129"/>
      <c r="Q5" s="129"/>
      <c r="R5" s="129"/>
      <c r="S5" s="129"/>
      <c r="T5" s="129"/>
      <c r="U5" s="129"/>
      <c r="V5" s="129"/>
      <c r="W5" s="129"/>
      <c r="X5" s="129"/>
      <c r="Y5" s="129"/>
      <c r="Z5" s="129"/>
      <c r="AA5" s="129"/>
      <c r="AB5" s="129"/>
    </row>
    <row r="6" spans="1:28" ht="15">
      <c r="A6" s="156" t="s">
        <v>1245</v>
      </c>
      <c r="B6" s="819"/>
      <c r="C6" s="819"/>
      <c r="D6" s="157"/>
      <c r="E6" s="157"/>
      <c r="F6" s="156"/>
      <c r="G6" s="159"/>
      <c r="H6" s="157"/>
      <c r="Z6" s="129"/>
      <c r="AA6" s="129"/>
      <c r="AB6" s="129"/>
    </row>
    <row r="7" spans="1:28" ht="15">
      <c r="A7" s="156"/>
      <c r="D7" s="157"/>
      <c r="E7" s="157"/>
      <c r="F7" s="156"/>
      <c r="G7" s="159"/>
      <c r="H7" s="157"/>
      <c r="Z7" s="129"/>
      <c r="AA7" s="129"/>
      <c r="AB7" s="129"/>
    </row>
    <row r="8" spans="1:28" ht="15">
      <c r="A8" s="160" t="s">
        <v>162</v>
      </c>
      <c r="B8" s="406">
        <f>_xlfn.IFERROR(IF(Indice!B6="","2XX2",YEAR(Indice!B6)),"2XX2")</f>
        <v>2021</v>
      </c>
      <c r="C8" s="406">
        <f>+_xlfn.IFERROR(YEAR(Indice!B6-365),"2XX1")</f>
        <v>2020</v>
      </c>
      <c r="D8" s="157"/>
      <c r="E8" s="157"/>
      <c r="F8" s="156"/>
      <c r="G8" s="159"/>
      <c r="H8" s="157"/>
      <c r="Z8" s="129"/>
      <c r="AA8" s="129"/>
      <c r="AB8" s="129"/>
    </row>
    <row r="9" spans="1:28" ht="15">
      <c r="A9" s="156" t="s">
        <v>154</v>
      </c>
      <c r="B9" s="156"/>
      <c r="C9" s="156"/>
      <c r="D9" s="157"/>
      <c r="E9" s="157"/>
      <c r="F9" s="156"/>
      <c r="G9" s="159"/>
      <c r="H9" s="157"/>
      <c r="Z9" s="129"/>
      <c r="AA9" s="129"/>
      <c r="AB9" s="129"/>
    </row>
    <row r="10" spans="1:28" ht="15">
      <c r="A10" s="156"/>
      <c r="B10" s="156"/>
      <c r="C10" s="156"/>
      <c r="D10" s="157"/>
      <c r="E10" s="157"/>
      <c r="F10" s="156"/>
      <c r="G10" s="159"/>
      <c r="H10" s="157"/>
      <c r="Z10" s="129"/>
      <c r="AA10" s="129"/>
      <c r="AB10" s="129"/>
    </row>
    <row r="11" spans="1:28" ht="15">
      <c r="A11" s="156"/>
      <c r="B11" s="156"/>
      <c r="C11" s="156"/>
      <c r="D11" s="157"/>
      <c r="E11" s="157"/>
      <c r="F11" s="156"/>
      <c r="G11" s="159"/>
      <c r="H11" s="157"/>
      <c r="Z11" s="129"/>
      <c r="AA11" s="129"/>
      <c r="AB11" s="129"/>
    </row>
    <row r="12" spans="1:28" ht="15">
      <c r="A12" s="156"/>
      <c r="B12" s="156"/>
      <c r="C12" s="156"/>
      <c r="D12" s="157"/>
      <c r="E12" s="157"/>
      <c r="F12" s="156"/>
      <c r="G12" s="159"/>
      <c r="H12" s="157"/>
      <c r="Z12" s="129"/>
      <c r="AA12" s="129"/>
      <c r="AB12" s="129"/>
    </row>
    <row r="13" spans="1:28" ht="15">
      <c r="A13" s="156"/>
      <c r="B13" s="156"/>
      <c r="C13" s="156"/>
      <c r="D13" s="157"/>
      <c r="E13" s="157"/>
      <c r="F13" s="156"/>
      <c r="G13" s="159"/>
      <c r="H13" s="157"/>
      <c r="Z13" s="129"/>
      <c r="AA13" s="129"/>
      <c r="AB13" s="129"/>
    </row>
    <row r="14" spans="1:28" ht="15">
      <c r="A14" s="156"/>
      <c r="B14" s="158"/>
      <c r="C14" s="156"/>
      <c r="D14" s="157"/>
      <c r="E14" s="157"/>
      <c r="F14" s="156"/>
      <c r="G14" s="159"/>
      <c r="H14" s="157"/>
      <c r="Z14" s="129"/>
      <c r="AA14" s="129"/>
      <c r="AB14" s="129"/>
    </row>
    <row r="15" spans="1:28" ht="15">
      <c r="A15" s="156"/>
      <c r="B15" s="158"/>
      <c r="C15" s="156"/>
      <c r="D15" s="157"/>
      <c r="E15" s="157"/>
      <c r="F15" s="156"/>
      <c r="G15" s="159"/>
      <c r="H15" s="157"/>
      <c r="Z15" s="129"/>
      <c r="AA15" s="129"/>
      <c r="AB15" s="129"/>
    </row>
    <row r="16" spans="1:28" ht="15">
      <c r="A16" s="160" t="s">
        <v>3</v>
      </c>
      <c r="B16" s="161">
        <f>SUM($B9:B15)</f>
        <v>0</v>
      </c>
      <c r="C16" s="161">
        <f>SUM($C9:C15)</f>
        <v>0</v>
      </c>
      <c r="D16" s="157"/>
      <c r="E16" s="157"/>
      <c r="F16" s="156"/>
      <c r="G16" s="159"/>
      <c r="H16" s="157"/>
      <c r="Z16" s="129"/>
      <c r="AA16" s="129"/>
      <c r="AB16" s="129"/>
    </row>
    <row r="17" spans="1:28" ht="15">
      <c r="A17" s="156"/>
      <c r="B17" s="158"/>
      <c r="C17" s="157"/>
      <c r="D17" s="157"/>
      <c r="E17" s="157"/>
      <c r="F17" s="156"/>
      <c r="G17" s="159"/>
      <c r="H17" s="157"/>
      <c r="Z17" s="129"/>
      <c r="AA17" s="129"/>
      <c r="AB17" s="129"/>
    </row>
  </sheetData>
  <sheetProtection/>
  <mergeCells count="1">
    <mergeCell ref="B6:C6"/>
  </mergeCells>
  <hyperlinks>
    <hyperlink ref="E1" location="ER!A1" display="ER"/>
  </hyperlinks>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dimension ref="A1:V17"/>
  <sheetViews>
    <sheetView zoomScalePageLayoutView="0" workbookViewId="0" topLeftCell="A1">
      <selection activeCell="F4" sqref="F4"/>
    </sheetView>
  </sheetViews>
  <sheetFormatPr defaultColWidth="11.421875" defaultRowHeight="15"/>
  <cols>
    <col min="1" max="1" width="38.00390625" style="129" customWidth="1"/>
    <col min="2" max="2" width="18.421875" style="129" customWidth="1"/>
    <col min="3" max="3" width="17.7109375" style="129" customWidth="1"/>
    <col min="4" max="22" width="11.421875" style="129" customWidth="1"/>
  </cols>
  <sheetData>
    <row r="1" spans="1:5" ht="15">
      <c r="A1" s="129" t="str">
        <f>Indice!C1</f>
        <v>NEGOFIN S.A.E.C.A.</v>
      </c>
      <c r="E1" s="150" t="s">
        <v>148</v>
      </c>
    </row>
    <row r="4" spans="1:8" ht="15">
      <c r="A4" s="347" t="s">
        <v>350</v>
      </c>
      <c r="B4" s="347"/>
      <c r="C4" s="347"/>
      <c r="D4" s="347"/>
      <c r="E4" s="347"/>
      <c r="F4" s="156"/>
      <c r="G4" s="159"/>
      <c r="H4" s="157"/>
    </row>
    <row r="5" spans="1:8" ht="15">
      <c r="A5" s="820" t="s">
        <v>262</v>
      </c>
      <c r="B5" s="820"/>
      <c r="C5" s="157"/>
      <c r="D5" s="157"/>
      <c r="E5" s="157"/>
      <c r="F5" s="156"/>
      <c r="G5" s="159"/>
      <c r="H5" s="157"/>
    </row>
    <row r="6" spans="1:22" s="207" customFormat="1" ht="15">
      <c r="A6" s="156" t="s">
        <v>1245</v>
      </c>
      <c r="B6" s="819"/>
      <c r="C6" s="819"/>
      <c r="D6" s="157"/>
      <c r="E6" s="157"/>
      <c r="F6" s="156"/>
      <c r="G6" s="159"/>
      <c r="H6" s="157"/>
      <c r="I6" s="129"/>
      <c r="J6" s="129"/>
      <c r="K6" s="129"/>
      <c r="L6" s="129"/>
      <c r="M6" s="129"/>
      <c r="N6" s="129"/>
      <c r="O6" s="129"/>
      <c r="P6" s="129"/>
      <c r="Q6" s="129"/>
      <c r="R6" s="129"/>
      <c r="S6" s="129"/>
      <c r="T6" s="129"/>
      <c r="U6" s="129"/>
      <c r="V6" s="129"/>
    </row>
    <row r="7" spans="1:8" ht="15">
      <c r="A7" s="156"/>
      <c r="D7" s="157"/>
      <c r="E7" s="157"/>
      <c r="F7" s="156"/>
      <c r="G7" s="159"/>
      <c r="H7" s="157"/>
    </row>
    <row r="8" spans="1:8" ht="15">
      <c r="A8" s="160" t="s">
        <v>163</v>
      </c>
      <c r="B8" s="406">
        <f>_xlfn.IFERROR(IF(Indice!B6="","2XX2",YEAR(Indice!B6)),"2XX2")</f>
        <v>2021</v>
      </c>
      <c r="C8" s="406">
        <f>+_xlfn.IFERROR(YEAR(Indice!B6-365),"2XX1")</f>
        <v>2020</v>
      </c>
      <c r="D8" s="157"/>
      <c r="E8" s="157"/>
      <c r="F8" s="156"/>
      <c r="G8" s="159"/>
      <c r="H8" s="157"/>
    </row>
    <row r="9" spans="1:8" ht="15">
      <c r="A9" s="156" t="s">
        <v>154</v>
      </c>
      <c r="B9" s="156"/>
      <c r="C9" s="156"/>
      <c r="D9" s="157"/>
      <c r="E9" s="157"/>
      <c r="F9" s="156"/>
      <c r="G9" s="159"/>
      <c r="H9" s="157"/>
    </row>
    <row r="10" spans="1:8" ht="15">
      <c r="A10" s="156"/>
      <c r="B10" s="156"/>
      <c r="C10" s="156"/>
      <c r="D10" s="157"/>
      <c r="E10" s="157"/>
      <c r="F10" s="156"/>
      <c r="G10" s="159"/>
      <c r="H10" s="157"/>
    </row>
    <row r="11" spans="1:8" ht="15">
      <c r="A11" s="156"/>
      <c r="B11" s="156"/>
      <c r="C11" s="156"/>
      <c r="D11" s="157"/>
      <c r="E11" s="157"/>
      <c r="F11" s="156"/>
      <c r="G11" s="159"/>
      <c r="H11" s="157"/>
    </row>
    <row r="12" spans="1:8" ht="15">
      <c r="A12" s="156"/>
      <c r="B12" s="156"/>
      <c r="C12" s="156"/>
      <c r="D12" s="157"/>
      <c r="E12" s="157"/>
      <c r="F12" s="156"/>
      <c r="G12" s="159"/>
      <c r="H12" s="157"/>
    </row>
    <row r="13" spans="1:8" ht="15">
      <c r="A13" s="156"/>
      <c r="B13" s="156"/>
      <c r="C13" s="156"/>
      <c r="D13" s="157"/>
      <c r="E13" s="157"/>
      <c r="F13" s="156"/>
      <c r="G13" s="159"/>
      <c r="H13" s="157"/>
    </row>
    <row r="14" spans="1:8" ht="15">
      <c r="A14" s="156"/>
      <c r="B14" s="158"/>
      <c r="C14" s="156"/>
      <c r="D14" s="157"/>
      <c r="E14" s="157"/>
      <c r="F14" s="156"/>
      <c r="G14" s="159"/>
      <c r="H14" s="157"/>
    </row>
    <row r="15" spans="1:8" ht="15">
      <c r="A15" s="156"/>
      <c r="B15" s="158"/>
      <c r="C15" s="156"/>
      <c r="D15" s="157"/>
      <c r="E15" s="157"/>
      <c r="F15" s="156"/>
      <c r="G15" s="159"/>
      <c r="H15" s="157"/>
    </row>
    <row r="16" spans="1:8" ht="15">
      <c r="A16" s="160" t="s">
        <v>3</v>
      </c>
      <c r="B16" s="161">
        <f>SUM($B9:B15)</f>
        <v>0</v>
      </c>
      <c r="C16" s="161">
        <f>SUM($C9:C15)</f>
        <v>0</v>
      </c>
      <c r="D16" s="157"/>
      <c r="E16" s="157"/>
      <c r="F16" s="156"/>
      <c r="G16" s="159"/>
      <c r="H16" s="157"/>
    </row>
    <row r="17" spans="1:8" ht="15">
      <c r="A17" s="156"/>
      <c r="B17" s="158"/>
      <c r="C17" s="157"/>
      <c r="D17" s="157"/>
      <c r="E17" s="157"/>
      <c r="F17" s="156"/>
      <c r="G17" s="159"/>
      <c r="H17" s="157"/>
    </row>
  </sheetData>
  <sheetProtection/>
  <mergeCells count="2">
    <mergeCell ref="A5:B5"/>
    <mergeCell ref="B6:C6"/>
  </mergeCells>
  <hyperlinks>
    <hyperlink ref="E1" location="ER!A1" display="ER"/>
  </hyperlinks>
  <printOptions/>
  <pageMargins left="0.7" right="0.7" top="0.75" bottom="0.75" header="0.3" footer="0.3"/>
  <pageSetup orientation="portrait" paperSize="9"/>
  <drawing r:id="rId1"/>
</worksheet>
</file>

<file path=xl/worksheets/sheet37.xml><?xml version="1.0" encoding="utf-8"?>
<worksheet xmlns="http://schemas.openxmlformats.org/spreadsheetml/2006/main" xmlns:r="http://schemas.openxmlformats.org/officeDocument/2006/relationships">
  <dimension ref="A1:G10"/>
  <sheetViews>
    <sheetView zoomScalePageLayoutView="0" workbookViewId="0" topLeftCell="A1">
      <selection activeCell="F3" sqref="F3"/>
    </sheetView>
  </sheetViews>
  <sheetFormatPr defaultColWidth="11.421875" defaultRowHeight="15"/>
  <cols>
    <col min="1" max="1" width="37.421875" style="129" customWidth="1"/>
    <col min="2" max="3" width="17.28125" style="129" customWidth="1"/>
    <col min="4" max="26" width="11.421875" style="129" customWidth="1"/>
  </cols>
  <sheetData>
    <row r="1" spans="1:5" ht="15">
      <c r="A1" s="129" t="str">
        <f>Indice!C1</f>
        <v>NEGOFIN S.A.E.C.A.</v>
      </c>
      <c r="E1" s="150" t="s">
        <v>148</v>
      </c>
    </row>
    <row r="4" spans="1:7" ht="15">
      <c r="A4" s="351" t="s">
        <v>352</v>
      </c>
      <c r="B4" s="351"/>
      <c r="C4" s="351"/>
      <c r="D4" s="351"/>
      <c r="E4" s="351"/>
      <c r="F4" s="156"/>
      <c r="G4" s="159"/>
    </row>
    <row r="5" spans="1:7" ht="15">
      <c r="A5" s="368" t="s">
        <v>244</v>
      </c>
      <c r="B5" s="158"/>
      <c r="C5" s="157"/>
      <c r="D5" s="157"/>
      <c r="E5" s="157"/>
      <c r="F5" s="156"/>
      <c r="G5" s="159"/>
    </row>
    <row r="6" spans="1:7" ht="15">
      <c r="A6" s="156"/>
      <c r="B6" s="819"/>
      <c r="C6" s="819"/>
      <c r="D6" s="157"/>
      <c r="E6" s="157"/>
      <c r="F6" s="156"/>
      <c r="G6" s="159"/>
    </row>
    <row r="7" spans="2:7" ht="15">
      <c r="B7" s="406">
        <f>_xlfn.IFERROR(IF(Indice!B6="","2XX2",YEAR(Indice!B6)),"2XX2")</f>
        <v>2021</v>
      </c>
      <c r="C7" s="406">
        <f>+_xlfn.IFERROR(YEAR(Indice!B6-365),"2XX1")</f>
        <v>2020</v>
      </c>
      <c r="D7" s="157"/>
      <c r="E7" s="157"/>
      <c r="F7" s="156"/>
      <c r="G7" s="159"/>
    </row>
    <row r="8" spans="1:7" ht="15">
      <c r="A8" s="160" t="s">
        <v>46</v>
      </c>
      <c r="B8" s="545">
        <v>1653314.3</v>
      </c>
      <c r="C8" s="545">
        <v>981908.4</v>
      </c>
      <c r="D8" s="157"/>
      <c r="E8" s="157"/>
      <c r="F8" s="156"/>
      <c r="G8" s="159"/>
    </row>
    <row r="9" spans="1:7" ht="15">
      <c r="A9" s="160" t="s">
        <v>3</v>
      </c>
      <c r="B9" s="544">
        <f>SUM($B8:B8)</f>
        <v>1653314.3</v>
      </c>
      <c r="C9" s="544">
        <f>SUM($C8:C8)</f>
        <v>981908.4</v>
      </c>
      <c r="D9" s="157"/>
      <c r="E9" s="157"/>
      <c r="F9" s="156"/>
      <c r="G9" s="159"/>
    </row>
    <row r="10" spans="1:7" ht="15">
      <c r="A10" s="156"/>
      <c r="B10" s="158"/>
      <c r="C10" s="157"/>
      <c r="D10" s="157"/>
      <c r="E10" s="157"/>
      <c r="F10" s="156"/>
      <c r="G10" s="159"/>
    </row>
  </sheetData>
  <sheetProtection/>
  <mergeCells count="1">
    <mergeCell ref="B6:C6"/>
  </mergeCells>
  <hyperlinks>
    <hyperlink ref="E1" location="ER!A1" display="ER"/>
  </hyperlinks>
  <printOptions/>
  <pageMargins left="0.7" right="0.7" top="0.75" bottom="0.75" header="0.3" footer="0.3"/>
  <pageSetup orientation="portrait" paperSize="9"/>
  <drawing r:id="rId1"/>
</worksheet>
</file>

<file path=xl/worksheets/sheet38.xml><?xml version="1.0" encoding="utf-8"?>
<worksheet xmlns="http://schemas.openxmlformats.org/spreadsheetml/2006/main" xmlns:r="http://schemas.openxmlformats.org/officeDocument/2006/relationships">
  <dimension ref="A1:H16"/>
  <sheetViews>
    <sheetView zoomScalePageLayoutView="0" workbookViewId="0" topLeftCell="A1">
      <selection activeCell="A7" sqref="A7"/>
    </sheetView>
  </sheetViews>
  <sheetFormatPr defaultColWidth="11.421875" defaultRowHeight="15"/>
  <cols>
    <col min="1" max="1" width="27.140625" style="129" customWidth="1"/>
    <col min="2" max="2" width="18.421875" style="129" customWidth="1"/>
    <col min="3" max="3" width="17.8515625" style="129" customWidth="1"/>
    <col min="4" max="22" width="11.421875" style="129" customWidth="1"/>
  </cols>
  <sheetData>
    <row r="1" spans="1:5" ht="15">
      <c r="A1" s="129" t="str">
        <f>Indice!C1</f>
        <v>NEGOFIN S.A.E.C.A.</v>
      </c>
      <c r="E1" s="150" t="s">
        <v>148</v>
      </c>
    </row>
    <row r="4" spans="1:8" ht="15">
      <c r="A4" s="347" t="s">
        <v>351</v>
      </c>
      <c r="B4" s="347"/>
      <c r="C4" s="347"/>
      <c r="D4" s="347"/>
      <c r="E4" s="347"/>
      <c r="F4" s="156"/>
      <c r="G4" s="159"/>
      <c r="H4" s="157"/>
    </row>
    <row r="5" spans="1:8" ht="15">
      <c r="A5" s="821" t="s">
        <v>244</v>
      </c>
      <c r="B5" s="821"/>
      <c r="C5" s="157"/>
      <c r="D5" s="157"/>
      <c r="E5" s="157"/>
      <c r="F5" s="156"/>
      <c r="G5" s="159"/>
      <c r="H5" s="157"/>
    </row>
    <row r="6" spans="1:8" ht="15">
      <c r="A6" s="156" t="s">
        <v>1245</v>
      </c>
      <c r="D6" s="157"/>
      <c r="E6" s="157"/>
      <c r="F6" s="156"/>
      <c r="G6" s="159"/>
      <c r="H6" s="157"/>
    </row>
    <row r="7" spans="2:8" ht="15">
      <c r="B7" s="406">
        <f>_xlfn.IFERROR(IF(Indice!B6="","2XX2",YEAR(Indice!B6)),"2XX2")</f>
        <v>2021</v>
      </c>
      <c r="C7" s="406">
        <f>+_xlfn.IFERROR(YEAR(Indice!B6-365),"2XX1")</f>
        <v>2020</v>
      </c>
      <c r="D7" s="157"/>
      <c r="E7" s="157"/>
      <c r="F7" s="156"/>
      <c r="G7" s="159"/>
      <c r="H7" s="157"/>
    </row>
    <row r="8" spans="1:8" ht="15">
      <c r="A8" s="160" t="s">
        <v>873</v>
      </c>
      <c r="D8" s="157"/>
      <c r="E8" s="157"/>
      <c r="F8" s="156"/>
      <c r="G8" s="159"/>
      <c r="H8" s="157"/>
    </row>
    <row r="9" spans="1:8" ht="15">
      <c r="A9" s="369" t="s">
        <v>874</v>
      </c>
      <c r="B9" s="156"/>
      <c r="C9" s="156"/>
      <c r="D9" s="157"/>
      <c r="E9" s="157"/>
      <c r="F9" s="156"/>
      <c r="G9" s="159"/>
      <c r="H9" s="157"/>
    </row>
    <row r="10" spans="1:8" ht="15">
      <c r="A10" s="156"/>
      <c r="B10" s="156"/>
      <c r="C10" s="156"/>
      <c r="D10" s="157"/>
      <c r="E10" s="157"/>
      <c r="F10" s="156"/>
      <c r="G10" s="159"/>
      <c r="H10" s="157"/>
    </row>
    <row r="11" spans="1:8" ht="15">
      <c r="A11" s="156"/>
      <c r="B11" s="156"/>
      <c r="C11" s="156"/>
      <c r="D11" s="157"/>
      <c r="E11" s="157"/>
      <c r="F11" s="156"/>
      <c r="G11" s="159"/>
      <c r="H11" s="157"/>
    </row>
    <row r="12" spans="1:8" ht="15">
      <c r="A12" s="156"/>
      <c r="B12" s="156"/>
      <c r="C12" s="156"/>
      <c r="D12" s="157"/>
      <c r="E12" s="157"/>
      <c r="F12" s="156"/>
      <c r="G12" s="159"/>
      <c r="H12" s="157"/>
    </row>
    <row r="13" spans="1:8" ht="15">
      <c r="A13" s="156"/>
      <c r="B13" s="158"/>
      <c r="C13" s="156"/>
      <c r="D13" s="157"/>
      <c r="E13" s="157"/>
      <c r="F13" s="156"/>
      <c r="G13" s="159"/>
      <c r="H13" s="157"/>
    </row>
    <row r="14" spans="1:8" ht="15">
      <c r="A14" s="156"/>
      <c r="B14" s="158"/>
      <c r="C14" s="156"/>
      <c r="D14" s="157"/>
      <c r="E14" s="157"/>
      <c r="F14" s="156"/>
      <c r="G14" s="159"/>
      <c r="H14" s="157"/>
    </row>
    <row r="15" spans="1:8" ht="15">
      <c r="A15" s="156" t="s">
        <v>3</v>
      </c>
      <c r="B15" s="161">
        <f>SUM($B8:B14)</f>
        <v>0</v>
      </c>
      <c r="C15" s="161">
        <f>SUM($C8:C14)</f>
        <v>0</v>
      </c>
      <c r="D15" s="157"/>
      <c r="E15" s="157"/>
      <c r="F15" s="156"/>
      <c r="G15" s="159"/>
      <c r="H15" s="157"/>
    </row>
    <row r="16" spans="1:8" ht="15">
      <c r="A16" s="156"/>
      <c r="B16" s="158"/>
      <c r="C16" s="157"/>
      <c r="D16" s="157"/>
      <c r="E16" s="157"/>
      <c r="F16" s="156"/>
      <c r="G16" s="159"/>
      <c r="H16" s="157"/>
    </row>
  </sheetData>
  <sheetProtection/>
  <mergeCells count="1">
    <mergeCell ref="A5:B5"/>
  </mergeCells>
  <hyperlinks>
    <hyperlink ref="E1" location="ER!A1" display="ER"/>
  </hyperlinks>
  <printOptions/>
  <pageMargins left="0.7" right="0.7" top="0.75" bottom="0.75" header="0.3" footer="0.3"/>
  <pageSetup orientation="portrait" paperSize="9"/>
  <drawing r:id="rId1"/>
</worksheet>
</file>

<file path=xl/worksheets/sheet39.xml><?xml version="1.0" encoding="utf-8"?>
<worksheet xmlns="http://schemas.openxmlformats.org/spreadsheetml/2006/main" xmlns:r="http://schemas.openxmlformats.org/officeDocument/2006/relationships">
  <dimension ref="A1:H13"/>
  <sheetViews>
    <sheetView zoomScalePageLayoutView="0" workbookViewId="0" topLeftCell="A1">
      <selection activeCell="E2" sqref="E2"/>
    </sheetView>
  </sheetViews>
  <sheetFormatPr defaultColWidth="11.421875" defaultRowHeight="15"/>
  <cols>
    <col min="1" max="1" width="51.28125" style="129" customWidth="1"/>
    <col min="2" max="2" width="18.140625" style="129" customWidth="1"/>
    <col min="3" max="3" width="17.57421875" style="129" customWidth="1"/>
    <col min="4" max="22" width="11.421875" style="129" customWidth="1"/>
  </cols>
  <sheetData>
    <row r="1" spans="1:5" ht="15">
      <c r="A1" s="129" t="str">
        <f>Indice!C1</f>
        <v>NEGOFIN S.A.E.C.A.</v>
      </c>
      <c r="E1" s="150" t="s">
        <v>148</v>
      </c>
    </row>
    <row r="4" spans="1:8" ht="15">
      <c r="A4" s="347" t="s">
        <v>353</v>
      </c>
      <c r="B4" s="347"/>
      <c r="C4" s="347"/>
      <c r="D4" s="347"/>
      <c r="E4" s="347"/>
      <c r="F4" s="156"/>
      <c r="G4" s="159"/>
      <c r="H4" s="157"/>
    </row>
    <row r="5" spans="1:8" ht="15">
      <c r="A5" s="821" t="s">
        <v>244</v>
      </c>
      <c r="B5" s="821"/>
      <c r="C5" s="157"/>
      <c r="D5" s="157"/>
      <c r="E5" s="157"/>
      <c r="F5" s="156"/>
      <c r="G5" s="159"/>
      <c r="H5" s="157"/>
    </row>
    <row r="6" spans="1:8" ht="15">
      <c r="A6" s="156" t="s">
        <v>1245</v>
      </c>
      <c r="D6" s="157"/>
      <c r="E6" s="157"/>
      <c r="F6" s="156"/>
      <c r="G6" s="159"/>
      <c r="H6" s="157"/>
    </row>
    <row r="7" spans="1:8" ht="25.5">
      <c r="A7" s="163" t="s">
        <v>74</v>
      </c>
      <c r="B7" s="406">
        <f>_xlfn.IFERROR(IF(Indice!B6="","2XX2",YEAR(Indice!B6)),"2XX2")</f>
        <v>2021</v>
      </c>
      <c r="C7" s="406">
        <f>+_xlfn.IFERROR(YEAR(Indice!B6-365),"2XX1")</f>
        <v>2020</v>
      </c>
      <c r="D7" s="157"/>
      <c r="E7" s="157"/>
      <c r="F7" s="156"/>
      <c r="G7" s="159"/>
      <c r="H7" s="157"/>
    </row>
    <row r="8" spans="4:8" ht="15">
      <c r="D8" s="157"/>
      <c r="E8" s="157"/>
      <c r="F8" s="156"/>
      <c r="G8" s="159"/>
      <c r="H8" s="157"/>
    </row>
    <row r="9" spans="1:8" ht="15">
      <c r="A9" s="156" t="s">
        <v>879</v>
      </c>
      <c r="B9" s="156"/>
      <c r="C9" s="156"/>
      <c r="D9" s="157"/>
      <c r="E9" s="157"/>
      <c r="F9" s="156"/>
      <c r="G9" s="159"/>
      <c r="H9" s="157"/>
    </row>
    <row r="10" spans="1:8" ht="15">
      <c r="A10" s="156" t="s">
        <v>62</v>
      </c>
      <c r="B10" s="156"/>
      <c r="C10" s="156"/>
      <c r="D10" s="157"/>
      <c r="E10" s="157"/>
      <c r="F10" s="156"/>
      <c r="G10" s="159"/>
      <c r="H10" s="157"/>
    </row>
    <row r="11" spans="1:8" ht="15">
      <c r="A11" s="263" t="s">
        <v>354</v>
      </c>
      <c r="B11" s="156"/>
      <c r="C11" s="156"/>
      <c r="D11" s="157"/>
      <c r="E11" s="157"/>
      <c r="F11" s="156"/>
      <c r="G11" s="159"/>
      <c r="H11" s="157"/>
    </row>
    <row r="12" spans="1:8" ht="15">
      <c r="A12" s="156" t="s">
        <v>3</v>
      </c>
      <c r="B12" s="161">
        <f>SUM($B8:B11)</f>
        <v>0</v>
      </c>
      <c r="C12" s="161">
        <f>SUM($C8:C11)</f>
        <v>0</v>
      </c>
      <c r="D12" s="157"/>
      <c r="E12" s="157"/>
      <c r="F12" s="156"/>
      <c r="G12" s="159"/>
      <c r="H12" s="157"/>
    </row>
    <row r="13" spans="1:8" ht="15">
      <c r="A13" s="156"/>
      <c r="B13" s="158"/>
      <c r="C13" s="157"/>
      <c r="D13" s="157"/>
      <c r="E13" s="157"/>
      <c r="F13" s="156"/>
      <c r="G13" s="159"/>
      <c r="H13" s="157"/>
    </row>
  </sheetData>
  <sheetProtection/>
  <mergeCells count="1">
    <mergeCell ref="A5:B5"/>
  </mergeCells>
  <hyperlinks>
    <hyperlink ref="E1" location="ER!A1" display="ER"/>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X40"/>
  <sheetViews>
    <sheetView showGridLines="0" zoomScale="90" zoomScaleNormal="90" zoomScalePageLayoutView="0" workbookViewId="0" topLeftCell="F1">
      <selection activeCell="W31" sqref="W31"/>
    </sheetView>
  </sheetViews>
  <sheetFormatPr defaultColWidth="11.421875" defaultRowHeight="15"/>
  <cols>
    <col min="1" max="1" width="40.7109375" style="2" customWidth="1"/>
    <col min="2" max="2" width="0.85546875" style="2" customWidth="1"/>
    <col min="3" max="3" width="19.57421875" style="70" customWidth="1"/>
    <col min="4" max="4" width="2.57421875" style="70" hidden="1" customWidth="1"/>
    <col min="5" max="5" width="0.9921875" style="92" customWidth="1"/>
    <col min="6" max="6" width="18.140625" style="70" customWidth="1"/>
    <col min="7" max="7" width="1.28515625" style="70" customWidth="1"/>
    <col min="8" max="8" width="18.140625" style="70" customWidth="1"/>
    <col min="9" max="9" width="0.85546875" style="92" customWidth="1"/>
    <col min="10" max="10" width="18.8515625" style="70" customWidth="1"/>
    <col min="11" max="11" width="0.9921875" style="92" customWidth="1"/>
    <col min="12" max="12" width="20.00390625" style="70" customWidth="1"/>
    <col min="13" max="13" width="0.71875" style="92" customWidth="1"/>
    <col min="14" max="14" width="18.421875" style="70" customWidth="1"/>
    <col min="15" max="15" width="0.71875" style="92" customWidth="1"/>
    <col min="16" max="16" width="20.421875" style="70" customWidth="1"/>
    <col min="17" max="17" width="1.1484375" style="92" customWidth="1"/>
    <col min="18" max="18" width="19.7109375" style="70" customWidth="1"/>
    <col min="19" max="19" width="1.1484375" style="61" customWidth="1"/>
    <col min="20" max="20" width="13.57421875" style="61" customWidth="1"/>
    <col min="21" max="21" width="17.421875" style="2" bestFit="1" customWidth="1"/>
    <col min="22" max="22" width="1.1484375" style="2" customWidth="1"/>
    <col min="23" max="23" width="16.421875" style="2" customWidth="1"/>
    <col min="24" max="16384" width="11.421875" style="2" customWidth="1"/>
  </cols>
  <sheetData>
    <row r="1" spans="1:10" ht="15">
      <c r="A1" s="2" t="str">
        <f>Indice!C1</f>
        <v>NEGOFIN S.A.E.C.A.</v>
      </c>
      <c r="J1" s="332" t="s">
        <v>389</v>
      </c>
    </row>
    <row r="3" spans="16:21" ht="15">
      <c r="P3" s="376"/>
      <c r="U3" s="60"/>
    </row>
    <row r="4" spans="2:21" ht="15">
      <c r="B4" s="376"/>
      <c r="C4" s="376"/>
      <c r="D4" s="376"/>
      <c r="E4" s="376"/>
      <c r="F4" s="376" t="s">
        <v>880</v>
      </c>
      <c r="G4" s="376"/>
      <c r="H4" s="376"/>
      <c r="I4" s="376"/>
      <c r="J4" s="376"/>
      <c r="K4" s="376"/>
      <c r="L4" s="376"/>
      <c r="M4" s="376"/>
      <c r="N4" s="376"/>
      <c r="O4" s="376"/>
      <c r="P4" s="376"/>
      <c r="Q4" s="376"/>
      <c r="R4" s="376"/>
      <c r="U4" s="60"/>
    </row>
    <row r="5" spans="1:21" ht="15">
      <c r="A5" s="376"/>
      <c r="B5" s="376"/>
      <c r="C5" s="376"/>
      <c r="D5" s="376"/>
      <c r="E5" s="376"/>
      <c r="F5" s="376"/>
      <c r="G5" s="376"/>
      <c r="H5" s="376"/>
      <c r="I5" s="376"/>
      <c r="J5" s="376" t="str">
        <f>_xlfn.IFERROR(IF(Indice!B6="","Al dia... de mes… de año 2XX2…","Al "&amp;DAY(Indice!B6)&amp;" de "&amp;VLOOKUP(MONTH(Indice!B6),Indice!S:T,2,0)&amp;" de "&amp;YEAR(Indice!B6)),"Al dia... de mes… de año 2XX2…")</f>
        <v>Al 31 de Marzo de 2021</v>
      </c>
      <c r="K5" s="376"/>
      <c r="L5" s="376"/>
      <c r="M5" s="376"/>
      <c r="N5" s="376"/>
      <c r="O5" s="376"/>
      <c r="P5" s="376"/>
      <c r="Q5" s="376"/>
      <c r="R5" s="376"/>
      <c r="U5" s="60"/>
    </row>
    <row r="6" spans="1:21" ht="14.25">
      <c r="A6" s="738" t="s">
        <v>304</v>
      </c>
      <c r="B6" s="738"/>
      <c r="C6" s="738"/>
      <c r="D6" s="738"/>
      <c r="E6" s="738"/>
      <c r="F6" s="738"/>
      <c r="G6" s="738"/>
      <c r="H6" s="738"/>
      <c r="I6" s="738"/>
      <c r="J6" s="738"/>
      <c r="K6" s="738"/>
      <c r="L6" s="738"/>
      <c r="M6" s="738"/>
      <c r="N6" s="738"/>
      <c r="O6" s="738"/>
      <c r="P6" s="738"/>
      <c r="Q6" s="738"/>
      <c r="R6" s="738"/>
      <c r="U6" s="60"/>
    </row>
    <row r="7" spans="1:21" ht="14.25">
      <c r="A7" s="738" t="s">
        <v>275</v>
      </c>
      <c r="B7" s="738"/>
      <c r="C7" s="738"/>
      <c r="D7" s="738"/>
      <c r="E7" s="738"/>
      <c r="F7" s="738"/>
      <c r="G7" s="738"/>
      <c r="H7" s="738"/>
      <c r="I7" s="738"/>
      <c r="J7" s="738"/>
      <c r="K7" s="738"/>
      <c r="L7" s="738"/>
      <c r="M7" s="738"/>
      <c r="N7" s="738"/>
      <c r="O7" s="738"/>
      <c r="P7" s="738"/>
      <c r="Q7" s="738"/>
      <c r="R7" s="738"/>
      <c r="U7" s="60"/>
    </row>
    <row r="8" spans="1:21" ht="14.25">
      <c r="A8" s="227"/>
      <c r="B8" s="227"/>
      <c r="C8" s="227"/>
      <c r="D8" s="227"/>
      <c r="E8" s="227"/>
      <c r="F8" s="227"/>
      <c r="G8" s="550"/>
      <c r="H8" s="550"/>
      <c r="I8" s="227"/>
      <c r="J8" s="227"/>
      <c r="K8" s="227"/>
      <c r="L8" s="227"/>
      <c r="M8" s="227"/>
      <c r="N8" s="227"/>
      <c r="O8" s="227"/>
      <c r="P8" s="227"/>
      <c r="Q8" s="227"/>
      <c r="R8" s="227"/>
      <c r="U8" s="60"/>
    </row>
    <row r="9" spans="1:21" ht="14.25">
      <c r="A9" s="227"/>
      <c r="B9" s="227"/>
      <c r="C9" s="227"/>
      <c r="D9" s="227"/>
      <c r="E9" s="227"/>
      <c r="F9" s="227"/>
      <c r="G9" s="550"/>
      <c r="H9" s="550"/>
      <c r="I9" s="227"/>
      <c r="J9" s="227"/>
      <c r="K9" s="227"/>
      <c r="L9" s="227"/>
      <c r="M9" s="227"/>
      <c r="N9" s="227"/>
      <c r="O9" s="227"/>
      <c r="P9" s="227"/>
      <c r="Q9" s="227"/>
      <c r="R9" s="227"/>
      <c r="U9" s="60"/>
    </row>
    <row r="10" spans="1:21" ht="25.5" customHeight="1">
      <c r="A10" s="71"/>
      <c r="B10" s="82"/>
      <c r="C10" s="740" t="s">
        <v>284</v>
      </c>
      <c r="D10" s="740"/>
      <c r="E10" s="740"/>
      <c r="F10" s="740"/>
      <c r="G10" s="551"/>
      <c r="H10" s="551"/>
      <c r="I10" s="93"/>
      <c r="J10" s="71"/>
      <c r="K10" s="93"/>
      <c r="L10" s="71"/>
      <c r="M10" s="93"/>
      <c r="N10" s="740" t="s">
        <v>425</v>
      </c>
      <c r="O10" s="740"/>
      <c r="P10" s="740"/>
      <c r="Q10" s="740"/>
      <c r="R10" s="740"/>
      <c r="U10" s="60"/>
    </row>
    <row r="11" spans="1:23" ht="15" customHeight="1">
      <c r="A11" s="739">
        <v>2020</v>
      </c>
      <c r="C11" s="736" t="s">
        <v>78</v>
      </c>
      <c r="D11" s="72" t="s">
        <v>47</v>
      </c>
      <c r="E11" s="94"/>
      <c r="F11" s="736" t="s">
        <v>79</v>
      </c>
      <c r="G11" s="565"/>
      <c r="H11" s="549" t="s">
        <v>1064</v>
      </c>
      <c r="I11" s="94"/>
      <c r="J11" s="736" t="s">
        <v>43</v>
      </c>
      <c r="K11" s="94"/>
      <c r="L11" s="736" t="s">
        <v>80</v>
      </c>
      <c r="M11" s="94"/>
      <c r="N11" s="736" t="s">
        <v>81</v>
      </c>
      <c r="O11" s="94"/>
      <c r="P11" s="736" t="s">
        <v>82</v>
      </c>
      <c r="Q11" s="569"/>
      <c r="R11" s="736" t="s">
        <v>44</v>
      </c>
      <c r="T11" s="736" t="s">
        <v>1066</v>
      </c>
      <c r="U11" s="736" t="s">
        <v>83</v>
      </c>
      <c r="V11" s="94"/>
      <c r="W11" s="736" t="s">
        <v>3</v>
      </c>
    </row>
    <row r="12" spans="1:23" ht="15.75" customHeight="1">
      <c r="A12" s="739"/>
      <c r="C12" s="737"/>
      <c r="D12" s="72" t="s">
        <v>48</v>
      </c>
      <c r="E12" s="94"/>
      <c r="F12" s="737"/>
      <c r="G12" s="566"/>
      <c r="H12" s="564" t="s">
        <v>1065</v>
      </c>
      <c r="I12" s="94"/>
      <c r="J12" s="737"/>
      <c r="K12" s="94"/>
      <c r="L12" s="737"/>
      <c r="M12" s="94"/>
      <c r="N12" s="737"/>
      <c r="O12" s="94"/>
      <c r="P12" s="737"/>
      <c r="Q12" s="569"/>
      <c r="R12" s="737" t="s">
        <v>3</v>
      </c>
      <c r="T12" s="737" t="s">
        <v>3</v>
      </c>
      <c r="U12" s="737"/>
      <c r="V12" s="94"/>
      <c r="W12" s="737"/>
    </row>
    <row r="13" spans="3:23" ht="7.5" customHeight="1">
      <c r="C13" s="554"/>
      <c r="D13" s="554"/>
      <c r="E13" s="555"/>
      <c r="F13" s="554"/>
      <c r="G13" s="567"/>
      <c r="H13" s="554"/>
      <c r="I13" s="555"/>
      <c r="J13" s="554"/>
      <c r="K13" s="555"/>
      <c r="L13" s="554"/>
      <c r="M13" s="555"/>
      <c r="N13" s="554"/>
      <c r="O13" s="555"/>
      <c r="P13" s="554"/>
      <c r="Q13" s="570"/>
      <c r="R13" s="554"/>
      <c r="S13" s="556"/>
      <c r="T13" s="554"/>
      <c r="U13" s="557"/>
      <c r="V13" s="548"/>
      <c r="W13" s="548"/>
    </row>
    <row r="14" spans="1:24" ht="12.75">
      <c r="A14" s="111" t="str">
        <f>_xlfn.IFERROR(IF(Indice!B6="","Saldo al .. de  de 20X0 ","Saldo al "&amp;DAY(Indice!B6)&amp;" de "&amp;VLOOKUP(MONTH(Indice!B6),Indice!S:T,2,0)&amp;" de "&amp;YEAR(Indice!B6-730)),"Saldo al .. de  de 20X0 ")</f>
        <v>Saldo al 31 de Marzo de 2019</v>
      </c>
      <c r="B14" s="30"/>
      <c r="C14" s="558">
        <v>120000000</v>
      </c>
      <c r="D14" s="554"/>
      <c r="E14" s="555"/>
      <c r="F14" s="558">
        <v>0</v>
      </c>
      <c r="G14" s="568"/>
      <c r="H14" s="558">
        <v>884126</v>
      </c>
      <c r="I14" s="555"/>
      <c r="J14" s="558">
        <v>1204266.282</v>
      </c>
      <c r="K14" s="555"/>
      <c r="L14" s="558">
        <v>0</v>
      </c>
      <c r="M14" s="555"/>
      <c r="N14" s="558">
        <v>9348364.423</v>
      </c>
      <c r="O14" s="555"/>
      <c r="P14" s="558">
        <v>0</v>
      </c>
      <c r="Q14" s="570"/>
      <c r="R14" s="558">
        <v>30641531.797</v>
      </c>
      <c r="S14" s="556"/>
      <c r="T14" s="558">
        <v>12698259.497</v>
      </c>
      <c r="U14" s="558">
        <v>0</v>
      </c>
      <c r="V14" s="556"/>
      <c r="W14" s="558">
        <f>SUM(C14:U14)</f>
        <v>174776547.999</v>
      </c>
      <c r="X14" s="61"/>
    </row>
    <row r="15" spans="1:24" ht="12.75">
      <c r="A15" s="2" t="s">
        <v>426</v>
      </c>
      <c r="C15" s="554"/>
      <c r="D15" s="554"/>
      <c r="E15" s="555"/>
      <c r="F15" s="554"/>
      <c r="G15" s="554"/>
      <c r="H15" s="554"/>
      <c r="I15" s="554"/>
      <c r="J15" s="554"/>
      <c r="K15" s="554">
        <v>0</v>
      </c>
      <c r="L15" s="554"/>
      <c r="M15" s="554"/>
      <c r="N15" s="554"/>
      <c r="O15" s="554"/>
      <c r="P15" s="554"/>
      <c r="Q15" s="567">
        <v>0</v>
      </c>
      <c r="R15" s="554">
        <v>0</v>
      </c>
      <c r="S15" s="554">
        <v>0</v>
      </c>
      <c r="T15" s="554">
        <v>0</v>
      </c>
      <c r="U15" s="554">
        <v>0</v>
      </c>
      <c r="V15" s="556"/>
      <c r="W15" s="558">
        <f aca="true" t="shared" si="0" ref="W15:W24">SUM(C15:U15)</f>
        <v>0</v>
      </c>
      <c r="X15" s="61"/>
    </row>
    <row r="16" spans="1:24" ht="12.75">
      <c r="A16" s="111" t="s">
        <v>77</v>
      </c>
      <c r="C16" s="558">
        <v>0</v>
      </c>
      <c r="D16" s="554"/>
      <c r="E16" s="555"/>
      <c r="F16" s="558">
        <v>0</v>
      </c>
      <c r="G16" s="558">
        <v>0</v>
      </c>
      <c r="H16" s="558">
        <v>0</v>
      </c>
      <c r="I16" s="558">
        <v>0</v>
      </c>
      <c r="J16" s="558">
        <v>0</v>
      </c>
      <c r="K16" s="555"/>
      <c r="L16" s="558"/>
      <c r="M16" s="555"/>
      <c r="N16" s="558">
        <v>0</v>
      </c>
      <c r="O16" s="554"/>
      <c r="P16" s="558"/>
      <c r="Q16" s="568">
        <v>0</v>
      </c>
      <c r="R16" s="558">
        <v>0</v>
      </c>
      <c r="S16" s="558">
        <v>0</v>
      </c>
      <c r="T16" s="558">
        <v>0</v>
      </c>
      <c r="U16" s="558">
        <v>0</v>
      </c>
      <c r="V16" s="556"/>
      <c r="W16" s="558">
        <f t="shared" si="0"/>
        <v>0</v>
      </c>
      <c r="X16" s="61"/>
    </row>
    <row r="17" spans="1:23" ht="25.5">
      <c r="A17" s="124" t="s">
        <v>281</v>
      </c>
      <c r="C17" s="554">
        <v>0</v>
      </c>
      <c r="D17" s="554"/>
      <c r="E17" s="555"/>
      <c r="F17" s="554"/>
      <c r="G17" s="567"/>
      <c r="H17" s="554"/>
      <c r="I17" s="555"/>
      <c r="J17" s="554">
        <v>0</v>
      </c>
      <c r="K17" s="555"/>
      <c r="L17" s="554">
        <v>0</v>
      </c>
      <c r="M17" s="555"/>
      <c r="N17" s="554">
        <v>0</v>
      </c>
      <c r="O17" s="555"/>
      <c r="P17" s="559"/>
      <c r="Q17" s="570"/>
      <c r="R17" s="554">
        <v>0</v>
      </c>
      <c r="S17" s="556"/>
      <c r="T17" s="554">
        <v>0</v>
      </c>
      <c r="U17" s="557"/>
      <c r="V17" s="548"/>
      <c r="W17" s="558">
        <f t="shared" si="0"/>
        <v>0</v>
      </c>
    </row>
    <row r="18" spans="1:23" ht="12.75">
      <c r="A18" s="111" t="s">
        <v>84</v>
      </c>
      <c r="C18" s="558">
        <v>0</v>
      </c>
      <c r="D18" s="554"/>
      <c r="E18" s="555"/>
      <c r="F18" s="558">
        <v>0</v>
      </c>
      <c r="G18" s="568"/>
      <c r="H18" s="558"/>
      <c r="I18" s="555"/>
      <c r="J18" s="558"/>
      <c r="K18" s="555"/>
      <c r="L18" s="558"/>
      <c r="M18" s="555"/>
      <c r="N18" s="558"/>
      <c r="O18" s="555"/>
      <c r="P18" s="558"/>
      <c r="Q18" s="555"/>
      <c r="R18" s="558"/>
      <c r="S18" s="556"/>
      <c r="T18" s="558"/>
      <c r="U18" s="558"/>
      <c r="V18" s="556"/>
      <c r="W18" s="558">
        <f t="shared" si="0"/>
        <v>0</v>
      </c>
    </row>
    <row r="19" spans="1:23" ht="38.25">
      <c r="A19" s="124" t="s">
        <v>282</v>
      </c>
      <c r="C19" s="554">
        <v>0</v>
      </c>
      <c r="D19" s="554"/>
      <c r="E19" s="555"/>
      <c r="F19" s="554">
        <v>0</v>
      </c>
      <c r="G19" s="567"/>
      <c r="H19" s="554"/>
      <c r="I19" s="555"/>
      <c r="J19" s="554">
        <v>0</v>
      </c>
      <c r="K19" s="555"/>
      <c r="L19" s="554"/>
      <c r="M19" s="555"/>
      <c r="N19" s="559"/>
      <c r="O19" s="555"/>
      <c r="P19" s="554"/>
      <c r="Q19" s="555"/>
      <c r="R19" s="559"/>
      <c r="S19" s="560"/>
      <c r="T19" s="559"/>
      <c r="U19" s="557"/>
      <c r="V19" s="548"/>
      <c r="W19" s="558">
        <f t="shared" si="0"/>
        <v>0</v>
      </c>
    </row>
    <row r="20" spans="1:23" ht="12.75">
      <c r="A20" s="111" t="s">
        <v>85</v>
      </c>
      <c r="C20" s="558">
        <v>0</v>
      </c>
      <c r="D20" s="554"/>
      <c r="E20" s="555"/>
      <c r="F20" s="558">
        <v>0</v>
      </c>
      <c r="G20" s="568"/>
      <c r="H20" s="558">
        <v>0</v>
      </c>
      <c r="I20" s="555"/>
      <c r="J20" s="558">
        <v>129950.6</v>
      </c>
      <c r="K20" s="555"/>
      <c r="L20" s="558"/>
      <c r="M20" s="555"/>
      <c r="N20" s="558"/>
      <c r="O20" s="555"/>
      <c r="P20" s="558"/>
      <c r="Q20" s="555"/>
      <c r="R20" s="558"/>
      <c r="S20" s="556"/>
      <c r="T20" s="558"/>
      <c r="U20" s="558"/>
      <c r="V20" s="556"/>
      <c r="W20" s="558">
        <f t="shared" si="0"/>
        <v>129950.6</v>
      </c>
    </row>
    <row r="21" spans="1:23" ht="12.75">
      <c r="A21" s="111" t="s">
        <v>1067</v>
      </c>
      <c r="C21" s="558"/>
      <c r="D21" s="554"/>
      <c r="E21" s="555"/>
      <c r="F21" s="558"/>
      <c r="G21" s="568"/>
      <c r="H21" s="558"/>
      <c r="I21" s="555"/>
      <c r="J21" s="558"/>
      <c r="K21" s="555"/>
      <c r="L21" s="558"/>
      <c r="M21" s="555"/>
      <c r="N21" s="558">
        <v>1796701.816</v>
      </c>
      <c r="O21" s="555"/>
      <c r="P21" s="558"/>
      <c r="Q21" s="555"/>
      <c r="R21" s="558"/>
      <c r="S21" s="556"/>
      <c r="T21" s="558"/>
      <c r="U21" s="558"/>
      <c r="V21" s="556"/>
      <c r="W21" s="558">
        <f t="shared" si="0"/>
        <v>1796701.816</v>
      </c>
    </row>
    <row r="22" spans="1:23" ht="12.75">
      <c r="A22" s="111" t="s">
        <v>86</v>
      </c>
      <c r="C22" s="558"/>
      <c r="D22" s="554"/>
      <c r="E22" s="555"/>
      <c r="F22" s="558"/>
      <c r="G22" s="568"/>
      <c r="H22" s="558"/>
      <c r="I22" s="555"/>
      <c r="J22" s="558"/>
      <c r="K22" s="555"/>
      <c r="L22" s="558">
        <v>0</v>
      </c>
      <c r="M22" s="555"/>
      <c r="N22" s="558"/>
      <c r="O22" s="555"/>
      <c r="P22" s="558"/>
      <c r="Q22" s="555"/>
      <c r="R22" s="558"/>
      <c r="S22" s="556"/>
      <c r="T22" s="558"/>
      <c r="U22" s="558"/>
      <c r="V22" s="556"/>
      <c r="W22" s="558">
        <f t="shared" si="0"/>
        <v>0</v>
      </c>
    </row>
    <row r="23" spans="1:23" ht="12.75">
      <c r="A23" s="111" t="s">
        <v>87</v>
      </c>
      <c r="C23" s="558"/>
      <c r="D23" s="554"/>
      <c r="E23" s="555"/>
      <c r="F23" s="558"/>
      <c r="G23" s="568"/>
      <c r="H23" s="558"/>
      <c r="I23" s="555"/>
      <c r="J23" s="558"/>
      <c r="K23" s="555"/>
      <c r="L23" s="558"/>
      <c r="M23" s="555"/>
      <c r="N23" s="558"/>
      <c r="O23" s="555"/>
      <c r="P23" s="558"/>
      <c r="Q23" s="555"/>
      <c r="R23" s="558">
        <v>3495802</v>
      </c>
      <c r="S23" s="556"/>
      <c r="T23" s="558">
        <v>-4211828</v>
      </c>
      <c r="U23" s="558">
        <v>0</v>
      </c>
      <c r="V23" s="556"/>
      <c r="W23" s="558">
        <f t="shared" si="0"/>
        <v>-716026</v>
      </c>
    </row>
    <row r="24" spans="3:23" ht="12.75">
      <c r="C24" s="554"/>
      <c r="D24" s="554"/>
      <c r="E24" s="555"/>
      <c r="F24" s="554"/>
      <c r="G24" s="567"/>
      <c r="H24" s="554"/>
      <c r="I24" s="555"/>
      <c r="J24" s="554"/>
      <c r="K24" s="555"/>
      <c r="L24" s="554"/>
      <c r="M24" s="555"/>
      <c r="N24" s="554"/>
      <c r="O24" s="555"/>
      <c r="P24" s="554"/>
      <c r="Q24" s="555"/>
      <c r="R24" s="554"/>
      <c r="S24" s="556"/>
      <c r="T24" s="554"/>
      <c r="U24" s="557"/>
      <c r="V24" s="548"/>
      <c r="W24" s="558">
        <f t="shared" si="0"/>
        <v>0</v>
      </c>
    </row>
    <row r="25" spans="1:23" ht="12.75">
      <c r="A25" s="111" t="str">
        <f>_xlfn.IFERROR(IF(Indice!B6="","Saldo al .. de  de 20X1 ","Saldo al "&amp;DAY(Indice!B6)&amp;" de "&amp;VLOOKUP(MONTH(Indice!B6),Indice!S:T,2,0)&amp;" de "&amp;YEAR(Indice!B6-365)),"Saldo al .. de  de 20X1 ")</f>
        <v>Saldo al 31 de Marzo de 2020</v>
      </c>
      <c r="B25" s="30"/>
      <c r="C25" s="561">
        <f aca="true" t="shared" si="1" ref="C25:I25">+C14+C15+C16-C17-C20</f>
        <v>120000000</v>
      </c>
      <c r="D25" s="561">
        <f t="shared" si="1"/>
        <v>0</v>
      </c>
      <c r="E25" s="561">
        <f t="shared" si="1"/>
        <v>0</v>
      </c>
      <c r="F25" s="561">
        <f t="shared" si="1"/>
        <v>0</v>
      </c>
      <c r="G25" s="561">
        <f t="shared" si="1"/>
        <v>0</v>
      </c>
      <c r="H25" s="561">
        <f t="shared" si="1"/>
        <v>884126</v>
      </c>
      <c r="I25" s="561">
        <f t="shared" si="1"/>
        <v>0</v>
      </c>
      <c r="J25" s="561">
        <f>+J14+J20</f>
        <v>1334216.882</v>
      </c>
      <c r="K25" s="561">
        <f aca="true" t="shared" si="2" ref="K25:S25">+K14+K15+K16-K17-K20</f>
        <v>0</v>
      </c>
      <c r="L25" s="561">
        <f t="shared" si="2"/>
        <v>0</v>
      </c>
      <c r="M25" s="561">
        <f t="shared" si="2"/>
        <v>0</v>
      </c>
      <c r="N25" s="561">
        <f>+N14+N21</f>
        <v>11145066.239</v>
      </c>
      <c r="O25" s="561">
        <f t="shared" si="2"/>
        <v>0</v>
      </c>
      <c r="P25" s="561">
        <f t="shared" si="2"/>
        <v>0</v>
      </c>
      <c r="Q25" s="561">
        <f t="shared" si="2"/>
        <v>0</v>
      </c>
      <c r="R25" s="561">
        <f>+R14+R23</f>
        <v>34137333.797</v>
      </c>
      <c r="S25" s="561">
        <f t="shared" si="2"/>
        <v>0</v>
      </c>
      <c r="T25" s="561">
        <f>+T14+T23</f>
        <v>8486431.497</v>
      </c>
      <c r="U25" s="561">
        <f>+U14+U15+U16-U17-U20</f>
        <v>0</v>
      </c>
      <c r="V25" s="560"/>
      <c r="W25" s="558">
        <f>SUM(W14:W24)</f>
        <v>175987174.41500002</v>
      </c>
    </row>
    <row r="26" spans="1:23" ht="41.25" customHeight="1">
      <c r="A26" s="124" t="s">
        <v>283</v>
      </c>
      <c r="C26" s="554"/>
      <c r="D26" s="554"/>
      <c r="E26" s="555"/>
      <c r="F26" s="554"/>
      <c r="G26" s="567"/>
      <c r="H26" s="554"/>
      <c r="I26" s="555"/>
      <c r="J26" s="554"/>
      <c r="K26" s="555"/>
      <c r="L26" s="554"/>
      <c r="M26" s="555"/>
      <c r="N26" s="554"/>
      <c r="O26" s="555"/>
      <c r="P26" s="559"/>
      <c r="Q26" s="555"/>
      <c r="R26" s="554"/>
      <c r="S26" s="556"/>
      <c r="T26" s="554"/>
      <c r="U26" s="562"/>
      <c r="V26" s="548"/>
      <c r="W26" s="558">
        <f aca="true" t="shared" si="3" ref="W26:W31">SUM(C26:U26)</f>
        <v>0</v>
      </c>
    </row>
    <row r="27" spans="1:23" ht="12.75">
      <c r="A27" s="111" t="s">
        <v>85</v>
      </c>
      <c r="B27" s="69"/>
      <c r="C27" s="558"/>
      <c r="D27" s="554"/>
      <c r="E27" s="555"/>
      <c r="F27" s="558"/>
      <c r="G27" s="568"/>
      <c r="H27" s="558"/>
      <c r="I27" s="555"/>
      <c r="J27" s="558"/>
      <c r="K27" s="555"/>
      <c r="L27" s="558"/>
      <c r="M27" s="555"/>
      <c r="N27" s="558"/>
      <c r="O27" s="555"/>
      <c r="P27" s="558"/>
      <c r="Q27" s="555"/>
      <c r="R27" s="558"/>
      <c r="S27" s="556"/>
      <c r="T27" s="558"/>
      <c r="U27" s="558"/>
      <c r="V27" s="556"/>
      <c r="W27" s="558">
        <f t="shared" si="3"/>
        <v>0</v>
      </c>
    </row>
    <row r="28" spans="1:23" ht="12.75">
      <c r="A28" s="69" t="s">
        <v>88</v>
      </c>
      <c r="B28" s="69"/>
      <c r="C28" s="554"/>
      <c r="D28" s="554"/>
      <c r="E28" s="555"/>
      <c r="F28" s="554"/>
      <c r="G28" s="567"/>
      <c r="H28" s="554"/>
      <c r="I28" s="555"/>
      <c r="J28" s="554"/>
      <c r="K28" s="555"/>
      <c r="L28" s="554"/>
      <c r="M28" s="555"/>
      <c r="N28" s="559"/>
      <c r="O28" s="555"/>
      <c r="P28" s="554"/>
      <c r="Q28" s="555"/>
      <c r="R28" s="554"/>
      <c r="S28" s="556"/>
      <c r="T28" s="554"/>
      <c r="U28" s="548"/>
      <c r="V28" s="554"/>
      <c r="W28" s="558">
        <f t="shared" si="3"/>
        <v>0</v>
      </c>
    </row>
    <row r="29" spans="1:23" ht="12.75">
      <c r="A29" s="111" t="s">
        <v>87</v>
      </c>
      <c r="C29" s="558"/>
      <c r="D29" s="554"/>
      <c r="E29" s="555"/>
      <c r="F29" s="558"/>
      <c r="G29" s="568"/>
      <c r="H29" s="558"/>
      <c r="I29" s="555"/>
      <c r="J29" s="558"/>
      <c r="K29" s="555"/>
      <c r="L29" s="558"/>
      <c r="M29" s="555"/>
      <c r="N29" s="558">
        <v>1559268</v>
      </c>
      <c r="O29" s="555"/>
      <c r="P29" s="558">
        <v>3852480</v>
      </c>
      <c r="Q29" s="555"/>
      <c r="R29" s="558">
        <v>-4511241</v>
      </c>
      <c r="S29" s="556"/>
      <c r="T29" s="558">
        <v>6182329</v>
      </c>
      <c r="U29" s="558"/>
      <c r="V29" s="556"/>
      <c r="W29" s="558">
        <f t="shared" si="3"/>
        <v>7082836</v>
      </c>
    </row>
    <row r="30" spans="3:23" ht="12.75">
      <c r="C30" s="554"/>
      <c r="D30" s="554"/>
      <c r="E30" s="555"/>
      <c r="F30" s="554"/>
      <c r="G30" s="567"/>
      <c r="H30" s="554"/>
      <c r="I30" s="555"/>
      <c r="J30" s="554"/>
      <c r="K30" s="555"/>
      <c r="L30" s="554"/>
      <c r="M30" s="555"/>
      <c r="N30" s="554"/>
      <c r="O30" s="555"/>
      <c r="P30" s="554"/>
      <c r="Q30" s="555"/>
      <c r="R30" s="554"/>
      <c r="S30" s="556"/>
      <c r="T30" s="554"/>
      <c r="U30" s="557"/>
      <c r="V30" s="548"/>
      <c r="W30" s="558">
        <f t="shared" si="3"/>
        <v>0</v>
      </c>
    </row>
    <row r="31" spans="1:23" ht="12.75">
      <c r="A31" s="111" t="str">
        <f>_xlfn.IFERROR(IF(Indice!B6="","Saldo al .. de  de 20X2 ","Saldo al "&amp;DAY(Indice!B6)&amp;" de "&amp;VLOOKUP(MONTH(Indice!B6),Indice!S:T,2,0)&amp;" de "&amp;YEAR(Indice!B6)),"Saldo al .. de  de 20X2 ")</f>
        <v>Saldo al 31 de Marzo de 2021</v>
      </c>
      <c r="B31" s="30"/>
      <c r="C31" s="561">
        <f aca="true" t="shared" si="4" ref="C31:H31">C25+C26+C27-C28+C29</f>
        <v>120000000</v>
      </c>
      <c r="D31" s="561">
        <f t="shared" si="4"/>
        <v>0</v>
      </c>
      <c r="E31" s="561">
        <f t="shared" si="4"/>
        <v>0</v>
      </c>
      <c r="F31" s="561">
        <f t="shared" si="4"/>
        <v>0</v>
      </c>
      <c r="G31" s="561">
        <f t="shared" si="4"/>
        <v>0</v>
      </c>
      <c r="H31" s="561">
        <f t="shared" si="4"/>
        <v>884126</v>
      </c>
      <c r="I31" s="563"/>
      <c r="J31" s="561">
        <f>J25+J26+J27+J28+J29</f>
        <v>1334216.882</v>
      </c>
      <c r="K31" s="563"/>
      <c r="L31" s="561">
        <f>L25+L26+L27+L28+L29</f>
        <v>0</v>
      </c>
      <c r="M31" s="563"/>
      <c r="N31" s="561">
        <f>N25+N26+N27+N28+N29</f>
        <v>12704334.239</v>
      </c>
      <c r="O31" s="563"/>
      <c r="P31" s="561">
        <f>P25+P26+P27+P28+P29</f>
        <v>3852480</v>
      </c>
      <c r="Q31" s="563"/>
      <c r="R31" s="561">
        <f>R25+R26+R27+R28+R29</f>
        <v>29626092.797</v>
      </c>
      <c r="S31" s="556"/>
      <c r="T31" s="561">
        <f>T25+T26+T27+T28+T29</f>
        <v>14668760.497</v>
      </c>
      <c r="U31" s="561">
        <f>U25+U26+U27+U28+U29</f>
        <v>0</v>
      </c>
      <c r="V31" s="560"/>
      <c r="W31" s="558">
        <f t="shared" si="3"/>
        <v>183070010.415</v>
      </c>
    </row>
    <row r="32" spans="1:21" ht="12.75">
      <c r="A32" s="30"/>
      <c r="B32" s="30"/>
      <c r="C32" s="66"/>
      <c r="D32" s="65"/>
      <c r="E32" s="95"/>
      <c r="F32" s="66"/>
      <c r="G32" s="66"/>
      <c r="H32" s="66"/>
      <c r="I32" s="95"/>
      <c r="J32" s="66"/>
      <c r="K32" s="95"/>
      <c r="L32" s="66"/>
      <c r="M32" s="95"/>
      <c r="N32" s="66"/>
      <c r="O32" s="95"/>
      <c r="P32" s="66"/>
      <c r="Q32" s="95"/>
      <c r="R32" s="66"/>
      <c r="U32" s="62"/>
    </row>
    <row r="33" spans="1:18" ht="12.75">
      <c r="A33" s="2" t="s">
        <v>414</v>
      </c>
      <c r="C33" s="63"/>
      <c r="D33" s="63"/>
      <c r="E33" s="96"/>
      <c r="F33" s="63"/>
      <c r="G33" s="63"/>
      <c r="H33" s="63"/>
      <c r="I33" s="96"/>
      <c r="J33" s="2"/>
      <c r="K33" s="35"/>
      <c r="M33" s="96"/>
      <c r="N33" s="63"/>
      <c r="O33" s="96"/>
      <c r="P33" s="63"/>
      <c r="Q33" s="96"/>
      <c r="R33" s="63"/>
    </row>
    <row r="34" spans="3:18" ht="12.75">
      <c r="C34" s="63"/>
      <c r="D34" s="63"/>
      <c r="E34" s="96"/>
      <c r="F34" s="63"/>
      <c r="G34" s="63"/>
      <c r="H34" s="63"/>
      <c r="I34" s="96"/>
      <c r="J34" s="2"/>
      <c r="K34" s="35"/>
      <c r="M34" s="96"/>
      <c r="N34" s="63"/>
      <c r="O34" s="96"/>
      <c r="P34" s="63"/>
      <c r="Q34" s="96"/>
      <c r="R34" s="63"/>
    </row>
    <row r="35" spans="3:18" ht="12.75">
      <c r="C35" s="63"/>
      <c r="D35" s="63"/>
      <c r="E35" s="96"/>
      <c r="F35" s="63"/>
      <c r="G35" s="63"/>
      <c r="H35" s="63"/>
      <c r="I35" s="96"/>
      <c r="J35" s="2"/>
      <c r="K35" s="35"/>
      <c r="M35" s="96"/>
      <c r="N35" s="63"/>
      <c r="O35" s="96"/>
      <c r="P35" s="63"/>
      <c r="Q35" s="96"/>
      <c r="R35" s="63"/>
    </row>
    <row r="36" spans="3:18" ht="12.75">
      <c r="C36" s="63"/>
      <c r="D36" s="63"/>
      <c r="E36" s="96"/>
      <c r="F36" s="63"/>
      <c r="G36" s="63"/>
      <c r="H36" s="63"/>
      <c r="I36" s="96"/>
      <c r="J36" s="2"/>
      <c r="K36" s="35"/>
      <c r="M36" s="96"/>
      <c r="N36" s="63"/>
      <c r="O36" s="96"/>
      <c r="P36" s="63"/>
      <c r="Q36" s="96"/>
      <c r="R36" s="63"/>
    </row>
    <row r="37" spans="3:18" ht="12.75">
      <c r="C37" s="63"/>
      <c r="D37" s="63"/>
      <c r="E37" s="96"/>
      <c r="F37" s="63"/>
      <c r="G37" s="63"/>
      <c r="H37" s="63"/>
      <c r="I37" s="96"/>
      <c r="J37" s="2"/>
      <c r="K37" s="35"/>
      <c r="M37" s="96"/>
      <c r="N37" s="63"/>
      <c r="O37" s="96"/>
      <c r="P37" s="63"/>
      <c r="Q37" s="96"/>
      <c r="R37" s="63"/>
    </row>
    <row r="39" spans="3:18" ht="12.75">
      <c r="C39" s="63"/>
      <c r="D39" s="63"/>
      <c r="E39" s="96"/>
      <c r="F39" s="63"/>
      <c r="G39" s="63"/>
      <c r="H39" s="63"/>
      <c r="I39" s="96"/>
      <c r="J39" s="2"/>
      <c r="K39" s="35"/>
      <c r="M39" s="96"/>
      <c r="N39" s="63"/>
      <c r="O39" s="96"/>
      <c r="P39" s="63"/>
      <c r="Q39" s="96"/>
      <c r="R39" s="63"/>
    </row>
    <row r="40" spans="6:12" ht="12.75">
      <c r="F40" s="63"/>
      <c r="G40" s="63"/>
      <c r="H40" s="63"/>
      <c r="J40" s="2"/>
      <c r="K40" s="35"/>
      <c r="L40" s="64"/>
    </row>
  </sheetData>
  <sheetProtection/>
  <mergeCells count="15">
    <mergeCell ref="R11:R12"/>
    <mergeCell ref="A11:A12"/>
    <mergeCell ref="C10:F10"/>
    <mergeCell ref="N10:R10"/>
    <mergeCell ref="T11:T12"/>
    <mergeCell ref="U11:U12"/>
    <mergeCell ref="W11:W12"/>
    <mergeCell ref="A6:R6"/>
    <mergeCell ref="A7:R7"/>
    <mergeCell ref="C11:C12"/>
    <mergeCell ref="F11:F12"/>
    <mergeCell ref="J11:J12"/>
    <mergeCell ref="L11:L12"/>
    <mergeCell ref="N11:N12"/>
    <mergeCell ref="P11:P12"/>
  </mergeCells>
  <hyperlinks>
    <hyperlink ref="J1" location="Indice!A1" display="Indice"/>
  </hyperlinks>
  <printOptions/>
  <pageMargins left="0.7086614173228347" right="0.7086614173228347" top="0.7480314960629921" bottom="0.7480314960629921" header="0.31496062992125984" footer="0.31496062992125984"/>
  <pageSetup horizontalDpi="600" verticalDpi="600" orientation="landscape" paperSize="9" scale="65" r:id="rId2"/>
  <drawing r:id="rId1"/>
</worksheet>
</file>

<file path=xl/worksheets/sheet40.xml><?xml version="1.0" encoding="utf-8"?>
<worksheet xmlns="http://schemas.openxmlformats.org/spreadsheetml/2006/main" xmlns:r="http://schemas.openxmlformats.org/officeDocument/2006/relationships">
  <dimension ref="A1:I12"/>
  <sheetViews>
    <sheetView zoomScalePageLayoutView="0" workbookViewId="0" topLeftCell="A1">
      <selection activeCell="D2" sqref="D2"/>
    </sheetView>
  </sheetViews>
  <sheetFormatPr defaultColWidth="11.421875" defaultRowHeight="15"/>
  <cols>
    <col min="1" max="1" width="42.140625" style="129" customWidth="1"/>
    <col min="2" max="5" width="24.421875" style="129" customWidth="1"/>
    <col min="6" max="6" width="12.8515625" style="129" customWidth="1"/>
    <col min="7" max="7" width="11.421875" style="129" customWidth="1"/>
    <col min="8" max="8" width="17.28125" style="129" customWidth="1"/>
    <col min="9" max="14" width="11.421875" style="129" customWidth="1"/>
    <col min="15" max="16384" width="11.421875" style="342" customWidth="1"/>
  </cols>
  <sheetData>
    <row r="1" spans="1:5" ht="15">
      <c r="A1" s="129" t="str">
        <f>Indice!C1</f>
        <v>NEGOFIN S.A.E.C.A.</v>
      </c>
      <c r="E1" s="150" t="s">
        <v>148</v>
      </c>
    </row>
    <row r="2" ht="15">
      <c r="C2" s="137"/>
    </row>
    <row r="4" spans="1:9" ht="15">
      <c r="A4" s="285" t="s">
        <v>355</v>
      </c>
      <c r="B4" s="285"/>
      <c r="C4" s="285"/>
      <c r="D4" s="285"/>
      <c r="E4" s="285"/>
      <c r="F4" s="285"/>
      <c r="G4" s="285"/>
      <c r="H4" s="285"/>
      <c r="I4" s="285"/>
    </row>
    <row r="5" spans="1:9" ht="27" customHeight="1">
      <c r="A5" s="371" t="s">
        <v>195</v>
      </c>
      <c r="B5" s="371"/>
      <c r="C5" s="371"/>
      <c r="D5" s="371"/>
      <c r="E5" s="371"/>
      <c r="F5" s="371"/>
      <c r="G5" s="371"/>
      <c r="H5" s="371"/>
      <c r="I5" s="371"/>
    </row>
    <row r="6" ht="15" customHeight="1">
      <c r="B6" s="264"/>
    </row>
    <row r="7" spans="2:3" ht="15" customHeight="1">
      <c r="B7" s="406">
        <f>_xlfn.IFERROR(IF(Indice!B6="","2XX2",YEAR(Indice!B6)),"2XX2")</f>
        <v>2021</v>
      </c>
      <c r="C7" s="406">
        <f>+_xlfn.IFERROR(YEAR(Indice!B6-365),"2XX1")</f>
        <v>2020</v>
      </c>
    </row>
    <row r="8" spans="1:9" s="129" customFormat="1" ht="15" customHeight="1">
      <c r="A8" s="182" t="s">
        <v>876</v>
      </c>
      <c r="B8" s="372">
        <v>0</v>
      </c>
      <c r="C8" s="372">
        <v>0</v>
      </c>
      <c r="D8" s="370"/>
      <c r="E8" s="370"/>
      <c r="F8" s="370"/>
      <c r="G8" s="370"/>
      <c r="H8" s="370"/>
      <c r="I8" s="370"/>
    </row>
    <row r="9" spans="1:3" ht="15" customHeight="1">
      <c r="A9" s="342" t="s">
        <v>875</v>
      </c>
      <c r="B9" s="373">
        <f>'ER'!C31</f>
        <v>14668759.899999999</v>
      </c>
      <c r="C9" s="373">
        <f>'ER'!D31</f>
        <v>8486428</v>
      </c>
    </row>
    <row r="10" spans="1:9" ht="15" customHeight="1">
      <c r="A10" s="374" t="s">
        <v>877</v>
      </c>
      <c r="B10" s="375">
        <f>_xlfn.IFERROR(B9/B8,0)</f>
        <v>0</v>
      </c>
      <c r="C10" s="375">
        <f>_xlfn.IFERROR(C9/C8,0)</f>
        <v>0</v>
      </c>
      <c r="D10" s="370"/>
      <c r="E10" s="370"/>
      <c r="F10" s="370"/>
      <c r="G10" s="370"/>
      <c r="H10" s="370"/>
      <c r="I10" s="370"/>
    </row>
    <row r="11" ht="15" customHeight="1"/>
    <row r="12" spans="1:9" ht="15" customHeight="1">
      <c r="A12" s="370"/>
      <c r="B12" s="370"/>
      <c r="C12" s="370"/>
      <c r="D12" s="370"/>
      <c r="E12" s="370"/>
      <c r="F12" s="370"/>
      <c r="G12" s="370"/>
      <c r="H12" s="370"/>
      <c r="I12" s="370"/>
    </row>
    <row r="13" ht="15" customHeight="1"/>
  </sheetData>
  <sheetProtection/>
  <hyperlinks>
    <hyperlink ref="E1" location="ER!A1" display="ER"/>
  </hyperlinks>
  <printOptions/>
  <pageMargins left="0.7" right="0.7" top="0.75" bottom="0.75" header="0.3" footer="0.3"/>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dimension ref="A1:N60"/>
  <sheetViews>
    <sheetView showGridLines="0" zoomScalePageLayoutView="0" workbookViewId="0" topLeftCell="A1">
      <selection activeCell="A8" sqref="A8"/>
    </sheetView>
  </sheetViews>
  <sheetFormatPr defaultColWidth="11.421875" defaultRowHeight="15"/>
  <cols>
    <col min="1" max="3" width="24.421875" style="129" customWidth="1"/>
    <col min="4" max="4" width="27.140625" style="129" customWidth="1"/>
    <col min="5" max="5" width="24.421875" style="129" customWidth="1"/>
    <col min="6" max="6" width="12.8515625" style="129" customWidth="1"/>
    <col min="7" max="7" width="11.421875" style="129" customWidth="1"/>
    <col min="8" max="8" width="17.28125" style="129" customWidth="1"/>
    <col min="9" max="14" width="11.421875" style="129" customWidth="1"/>
  </cols>
  <sheetData>
    <row r="1" spans="1:5" ht="15">
      <c r="A1" s="129" t="str">
        <f>Indice!C1</f>
        <v>NEGOFIN S.A.E.C.A.</v>
      </c>
      <c r="E1" s="150" t="s">
        <v>389</v>
      </c>
    </row>
    <row r="2" ht="15">
      <c r="C2" s="137"/>
    </row>
    <row r="4" spans="1:9" s="55" customFormat="1" ht="15">
      <c r="A4" s="800" t="s">
        <v>388</v>
      </c>
      <c r="B4" s="800"/>
      <c r="C4" s="800"/>
      <c r="D4" s="800"/>
      <c r="E4" s="800"/>
      <c r="F4" s="286"/>
      <c r="G4" s="286"/>
      <c r="H4" s="286"/>
      <c r="I4" s="286"/>
    </row>
    <row r="6" spans="1:14" s="183" customFormat="1" ht="15">
      <c r="A6" s="822" t="s">
        <v>186</v>
      </c>
      <c r="B6" s="822"/>
      <c r="C6" s="822"/>
      <c r="D6" s="822"/>
      <c r="E6" s="822"/>
      <c r="F6" s="822"/>
      <c r="G6" s="822"/>
      <c r="H6" s="822"/>
      <c r="I6" s="822"/>
      <c r="J6" s="182"/>
      <c r="K6" s="182"/>
      <c r="L6" s="182"/>
      <c r="M6" s="182"/>
      <c r="N6" s="182"/>
    </row>
    <row r="7" spans="1:14" s="183" customFormat="1" ht="15">
      <c r="A7" s="182" t="s">
        <v>1245</v>
      </c>
      <c r="B7" s="182"/>
      <c r="C7" s="182"/>
      <c r="D7" s="182"/>
      <c r="E7" s="182"/>
      <c r="F7" s="182"/>
      <c r="G7" s="182"/>
      <c r="H7" s="182"/>
      <c r="I7" s="182"/>
      <c r="J7" s="182"/>
      <c r="K7" s="182"/>
      <c r="L7" s="182"/>
      <c r="M7" s="182"/>
      <c r="N7" s="182"/>
    </row>
    <row r="8" spans="1:14" s="183" customFormat="1" ht="15.75" thickBot="1">
      <c r="A8" s="435" t="str">
        <f>_xlfn.IFERROR("Al "&amp;DAY(Indice!B6)&amp;" de "&amp;VLOOKUP(MONTH(Indice!B6),Indice!S:T,2,0)&amp;" de "&amp;YEAR(Indice!B6-365),"Al dia... de mes… de año 2XX1…")</f>
        <v>Al 31 de Marzo de 2020</v>
      </c>
      <c r="B8" s="435"/>
      <c r="C8" s="435"/>
      <c r="D8" s="435"/>
      <c r="E8" s="435"/>
      <c r="F8" s="435"/>
      <c r="G8" s="435"/>
      <c r="H8" s="182"/>
      <c r="I8" s="182"/>
      <c r="J8" s="182"/>
      <c r="K8" s="182"/>
      <c r="L8" s="182"/>
      <c r="M8" s="182"/>
      <c r="N8" s="182"/>
    </row>
    <row r="9" spans="1:14" s="183" customFormat="1" ht="15.75" thickBot="1">
      <c r="A9" s="184" t="s">
        <v>187</v>
      </c>
      <c r="B9" s="185" t="s">
        <v>188</v>
      </c>
      <c r="C9" s="184" t="s">
        <v>118</v>
      </c>
      <c r="D9" s="184" t="s">
        <v>189</v>
      </c>
      <c r="E9" s="184" t="s">
        <v>190</v>
      </c>
      <c r="F9" s="182"/>
      <c r="G9" s="182"/>
      <c r="H9" s="182"/>
      <c r="I9" s="182"/>
      <c r="J9" s="182"/>
      <c r="K9" s="182"/>
      <c r="L9" s="182"/>
      <c r="M9" s="182"/>
      <c r="N9" s="182"/>
    </row>
    <row r="10" spans="1:14" s="183" customFormat="1" ht="15">
      <c r="A10" s="186"/>
      <c r="B10" s="187"/>
      <c r="C10" s="188"/>
      <c r="D10" s="188"/>
      <c r="E10" s="189"/>
      <c r="F10" s="182"/>
      <c r="G10" s="182"/>
      <c r="H10" s="182"/>
      <c r="I10" s="182"/>
      <c r="J10" s="182"/>
      <c r="K10" s="182"/>
      <c r="L10" s="182"/>
      <c r="M10" s="182"/>
      <c r="N10" s="182"/>
    </row>
    <row r="11" spans="1:14" s="183" customFormat="1" ht="15" customHeight="1">
      <c r="A11" s="190"/>
      <c r="B11" s="191"/>
      <c r="C11" s="192"/>
      <c r="D11" s="192"/>
      <c r="E11" s="193"/>
      <c r="F11" s="182"/>
      <c r="G11" s="182"/>
      <c r="H11" s="182"/>
      <c r="I11" s="182"/>
      <c r="J11" s="182"/>
      <c r="K11" s="182"/>
      <c r="L11" s="182"/>
      <c r="M11" s="182"/>
      <c r="N11" s="182"/>
    </row>
    <row r="12" spans="1:14" s="183" customFormat="1" ht="15">
      <c r="A12" s="190"/>
      <c r="B12" s="191"/>
      <c r="C12" s="192"/>
      <c r="D12" s="192"/>
      <c r="E12" s="193"/>
      <c r="F12" s="182"/>
      <c r="G12" s="182"/>
      <c r="H12" s="182"/>
      <c r="I12" s="182"/>
      <c r="J12" s="182"/>
      <c r="K12" s="182"/>
      <c r="L12" s="182"/>
      <c r="M12" s="182"/>
      <c r="N12" s="182"/>
    </row>
    <row r="13" spans="1:14" s="183" customFormat="1" ht="15.75" thickBot="1">
      <c r="A13" s="194"/>
      <c r="B13" s="195"/>
      <c r="C13" s="196"/>
      <c r="D13" s="196"/>
      <c r="E13" s="197"/>
      <c r="F13" s="182"/>
      <c r="G13" s="182"/>
      <c r="H13" s="182"/>
      <c r="I13" s="182"/>
      <c r="J13" s="182"/>
      <c r="K13" s="182"/>
      <c r="L13" s="182"/>
      <c r="M13" s="182"/>
      <c r="N13" s="182"/>
    </row>
    <row r="14" spans="1:14" s="183" customFormat="1" ht="15">
      <c r="A14" s="182"/>
      <c r="B14" s="182"/>
      <c r="C14" s="182"/>
      <c r="D14" s="182"/>
      <c r="E14" s="182"/>
      <c r="F14" s="182"/>
      <c r="G14" s="182"/>
      <c r="H14" s="182"/>
      <c r="I14" s="182"/>
      <c r="J14" s="182"/>
      <c r="K14" s="182"/>
      <c r="L14" s="182"/>
      <c r="M14" s="182"/>
      <c r="N14" s="182"/>
    </row>
    <row r="15" spans="1:14" s="183" customFormat="1" ht="15.75" thickBot="1">
      <c r="A15" s="435" t="str">
        <f>_xlfn.IFERROR("Al "&amp;DAY(Indice!B6)&amp;" de "&amp;VLOOKUP(MONTH(Indice!B6),Indice!S:T,2,0)&amp;" de "&amp;YEAR(Indice!B6-1),"Al dia... de mes… de año 2XX2…")</f>
        <v>Al 31 de Marzo de 2021</v>
      </c>
      <c r="B15" s="434"/>
      <c r="C15" s="434"/>
      <c r="D15" s="434"/>
      <c r="E15" s="434"/>
      <c r="F15" s="182"/>
      <c r="G15" s="182"/>
      <c r="H15" s="182"/>
      <c r="I15" s="182"/>
      <c r="J15" s="182"/>
      <c r="K15" s="182"/>
      <c r="L15" s="182"/>
      <c r="M15" s="182"/>
      <c r="N15" s="182"/>
    </row>
    <row r="16" spans="1:14" s="183" customFormat="1" ht="30" customHeight="1" thickBot="1">
      <c r="A16" s="184" t="s">
        <v>187</v>
      </c>
      <c r="B16" s="185" t="s">
        <v>188</v>
      </c>
      <c r="C16" s="184" t="s">
        <v>118</v>
      </c>
      <c r="D16" s="184" t="s">
        <v>189</v>
      </c>
      <c r="E16" s="184" t="s">
        <v>190</v>
      </c>
      <c r="F16" s="182"/>
      <c r="G16" s="182"/>
      <c r="H16" s="182"/>
      <c r="I16" s="182"/>
      <c r="J16" s="182"/>
      <c r="K16" s="182"/>
      <c r="L16" s="182"/>
      <c r="M16" s="182"/>
      <c r="N16" s="182"/>
    </row>
    <row r="17" spans="1:14" s="183" customFormat="1" ht="15">
      <c r="A17" s="186"/>
      <c r="B17" s="187"/>
      <c r="C17" s="188"/>
      <c r="D17" s="188"/>
      <c r="E17" s="189"/>
      <c r="F17" s="182"/>
      <c r="G17" s="182"/>
      <c r="H17" s="182"/>
      <c r="I17" s="182"/>
      <c r="J17" s="182"/>
      <c r="K17" s="182"/>
      <c r="L17" s="182"/>
      <c r="M17" s="182"/>
      <c r="N17" s="182"/>
    </row>
    <row r="18" spans="1:14" s="183" customFormat="1" ht="15">
      <c r="A18" s="190"/>
      <c r="B18" s="191"/>
      <c r="C18" s="192"/>
      <c r="D18" s="192"/>
      <c r="E18" s="193"/>
      <c r="F18" s="182"/>
      <c r="G18" s="182"/>
      <c r="H18" s="182"/>
      <c r="I18" s="182"/>
      <c r="J18" s="182"/>
      <c r="K18" s="182"/>
      <c r="L18" s="182"/>
      <c r="M18" s="182"/>
      <c r="N18" s="182"/>
    </row>
    <row r="19" spans="1:14" s="183" customFormat="1" ht="15">
      <c r="A19" s="190"/>
      <c r="B19" s="191"/>
      <c r="C19" s="192"/>
      <c r="D19" s="192"/>
      <c r="E19" s="193"/>
      <c r="F19" s="182"/>
      <c r="G19" s="182"/>
      <c r="H19" s="182"/>
      <c r="I19" s="182"/>
      <c r="J19" s="182"/>
      <c r="K19" s="182"/>
      <c r="L19" s="182"/>
      <c r="M19" s="182"/>
      <c r="N19" s="182"/>
    </row>
    <row r="20" spans="1:14" s="183" customFormat="1" ht="15.75" thickBot="1">
      <c r="A20" s="194"/>
      <c r="B20" s="195"/>
      <c r="C20" s="196"/>
      <c r="D20" s="196"/>
      <c r="E20" s="197"/>
      <c r="F20" s="182"/>
      <c r="G20" s="182"/>
      <c r="H20" s="182"/>
      <c r="I20" s="182"/>
      <c r="J20" s="182"/>
      <c r="K20" s="182"/>
      <c r="L20" s="182"/>
      <c r="M20" s="182"/>
      <c r="N20" s="182"/>
    </row>
    <row r="21" spans="1:14" s="183" customFormat="1" ht="15">
      <c r="A21" s="182"/>
      <c r="B21" s="182"/>
      <c r="C21" s="182"/>
      <c r="D21" s="182"/>
      <c r="E21" s="182"/>
      <c r="F21" s="182"/>
      <c r="G21" s="182"/>
      <c r="H21" s="182"/>
      <c r="I21" s="182"/>
      <c r="J21" s="182"/>
      <c r="K21" s="182"/>
      <c r="L21" s="182"/>
      <c r="M21" s="182"/>
      <c r="N21" s="182"/>
    </row>
    <row r="22" spans="1:14" s="183" customFormat="1" ht="15">
      <c r="A22" s="182"/>
      <c r="B22" s="182"/>
      <c r="C22" s="182"/>
      <c r="D22" s="182"/>
      <c r="E22" s="182"/>
      <c r="F22" s="182"/>
      <c r="G22" s="182"/>
      <c r="H22" s="182"/>
      <c r="I22" s="182"/>
      <c r="J22" s="182"/>
      <c r="K22" s="182"/>
      <c r="L22" s="182"/>
      <c r="M22" s="182"/>
      <c r="N22" s="182"/>
    </row>
    <row r="23" spans="1:14" s="183" customFormat="1" ht="15">
      <c r="A23" s="182"/>
      <c r="B23" s="182"/>
      <c r="C23" s="182"/>
      <c r="D23" s="182"/>
      <c r="E23" s="182"/>
      <c r="F23" s="182"/>
      <c r="G23" s="182"/>
      <c r="H23" s="182"/>
      <c r="I23" s="182"/>
      <c r="J23" s="182"/>
      <c r="K23" s="182"/>
      <c r="L23" s="182"/>
      <c r="M23" s="182"/>
      <c r="N23" s="182"/>
    </row>
    <row r="24" spans="1:14" s="183" customFormat="1" ht="15">
      <c r="A24" s="182"/>
      <c r="B24" s="182"/>
      <c r="C24" s="182"/>
      <c r="D24" s="182"/>
      <c r="E24" s="182"/>
      <c r="F24" s="182"/>
      <c r="G24" s="182"/>
      <c r="H24" s="182"/>
      <c r="I24" s="182"/>
      <c r="J24" s="182"/>
      <c r="K24" s="182"/>
      <c r="L24" s="182"/>
      <c r="M24" s="182"/>
      <c r="N24" s="182"/>
    </row>
    <row r="25" spans="1:14" s="183" customFormat="1" ht="15">
      <c r="A25" s="182"/>
      <c r="B25" s="182"/>
      <c r="C25" s="182"/>
      <c r="D25" s="182"/>
      <c r="E25" s="182"/>
      <c r="F25" s="182"/>
      <c r="G25" s="182"/>
      <c r="H25" s="182"/>
      <c r="I25" s="182"/>
      <c r="J25" s="182"/>
      <c r="K25" s="182"/>
      <c r="L25" s="182"/>
      <c r="M25" s="182"/>
      <c r="N25" s="182"/>
    </row>
    <row r="26" spans="1:14" s="183" customFormat="1" ht="15">
      <c r="A26" s="182"/>
      <c r="B26" s="182"/>
      <c r="C26" s="182"/>
      <c r="D26" s="182"/>
      <c r="E26" s="182"/>
      <c r="F26" s="182"/>
      <c r="G26" s="182"/>
      <c r="H26" s="182"/>
      <c r="I26" s="182"/>
      <c r="J26" s="182"/>
      <c r="K26" s="182"/>
      <c r="L26" s="182"/>
      <c r="M26" s="182"/>
      <c r="N26" s="182"/>
    </row>
    <row r="27" spans="1:14" s="183" customFormat="1" ht="15">
      <c r="A27" s="182"/>
      <c r="B27" s="182"/>
      <c r="C27" s="182"/>
      <c r="D27" s="182"/>
      <c r="E27" s="182"/>
      <c r="F27" s="182"/>
      <c r="G27" s="182"/>
      <c r="H27" s="182"/>
      <c r="I27" s="182"/>
      <c r="J27" s="182"/>
      <c r="K27" s="182"/>
      <c r="L27" s="182"/>
      <c r="M27" s="182"/>
      <c r="N27" s="182"/>
    </row>
    <row r="28" spans="1:14" s="183" customFormat="1" ht="15">
      <c r="A28" s="182"/>
      <c r="B28" s="182"/>
      <c r="C28" s="182"/>
      <c r="D28" s="182"/>
      <c r="E28" s="182"/>
      <c r="F28" s="182"/>
      <c r="G28" s="182"/>
      <c r="H28" s="182"/>
      <c r="I28" s="182"/>
      <c r="J28" s="182"/>
      <c r="K28" s="182"/>
      <c r="L28" s="182"/>
      <c r="M28" s="182"/>
      <c r="N28" s="182"/>
    </row>
    <row r="29" spans="1:14" s="183" customFormat="1" ht="15">
      <c r="A29" s="182"/>
      <c r="B29" s="182"/>
      <c r="C29" s="182"/>
      <c r="D29" s="182"/>
      <c r="E29" s="182"/>
      <c r="F29" s="182"/>
      <c r="G29" s="182"/>
      <c r="H29" s="182"/>
      <c r="I29" s="182"/>
      <c r="J29" s="182"/>
      <c r="K29" s="182"/>
      <c r="L29" s="182"/>
      <c r="M29" s="182"/>
      <c r="N29" s="182"/>
    </row>
    <row r="30" spans="1:14" s="183" customFormat="1" ht="15">
      <c r="A30" s="182"/>
      <c r="B30" s="182"/>
      <c r="C30" s="182"/>
      <c r="D30" s="182"/>
      <c r="E30" s="182"/>
      <c r="F30" s="182"/>
      <c r="G30" s="182"/>
      <c r="H30" s="182"/>
      <c r="I30" s="182"/>
      <c r="J30" s="182"/>
      <c r="K30" s="182"/>
      <c r="L30" s="182"/>
      <c r="M30" s="182"/>
      <c r="N30" s="182"/>
    </row>
    <row r="31" spans="1:14" s="183" customFormat="1" ht="15">
      <c r="A31" s="182"/>
      <c r="B31" s="182"/>
      <c r="C31" s="182"/>
      <c r="D31" s="182"/>
      <c r="E31" s="182"/>
      <c r="F31" s="182"/>
      <c r="G31" s="182"/>
      <c r="H31" s="182"/>
      <c r="I31" s="182"/>
      <c r="J31" s="182"/>
      <c r="K31" s="182"/>
      <c r="L31" s="182"/>
      <c r="M31" s="182"/>
      <c r="N31" s="182"/>
    </row>
    <row r="32" spans="1:14" s="183" customFormat="1" ht="15">
      <c r="A32" s="182"/>
      <c r="B32" s="182"/>
      <c r="C32" s="182"/>
      <c r="D32" s="182"/>
      <c r="E32" s="182"/>
      <c r="F32" s="182"/>
      <c r="G32" s="182"/>
      <c r="H32" s="182"/>
      <c r="I32" s="182"/>
      <c r="J32" s="182"/>
      <c r="K32" s="182"/>
      <c r="L32" s="182"/>
      <c r="M32" s="182"/>
      <c r="N32" s="182"/>
    </row>
    <row r="33" spans="1:14" s="183" customFormat="1" ht="15">
      <c r="A33" s="182"/>
      <c r="B33" s="182"/>
      <c r="C33" s="182"/>
      <c r="D33" s="182"/>
      <c r="E33" s="182"/>
      <c r="F33" s="182"/>
      <c r="G33" s="182"/>
      <c r="H33" s="182"/>
      <c r="I33" s="182"/>
      <c r="J33" s="182"/>
      <c r="K33" s="182"/>
      <c r="L33" s="182"/>
      <c r="M33" s="182"/>
      <c r="N33" s="182"/>
    </row>
    <row r="34" spans="1:14" s="183" customFormat="1" ht="15">
      <c r="A34" s="182"/>
      <c r="B34" s="182"/>
      <c r="C34" s="182"/>
      <c r="D34" s="182"/>
      <c r="E34" s="182"/>
      <c r="F34" s="182"/>
      <c r="G34" s="182"/>
      <c r="H34" s="182"/>
      <c r="I34" s="182"/>
      <c r="J34" s="182"/>
      <c r="K34" s="182"/>
      <c r="L34" s="182"/>
      <c r="M34" s="182"/>
      <c r="N34" s="182"/>
    </row>
    <row r="35" spans="1:14" s="183" customFormat="1" ht="15">
      <c r="A35" s="182"/>
      <c r="B35" s="182"/>
      <c r="C35" s="182"/>
      <c r="D35" s="182"/>
      <c r="E35" s="182"/>
      <c r="F35" s="182"/>
      <c r="G35" s="182"/>
      <c r="H35" s="182"/>
      <c r="I35" s="182"/>
      <c r="J35" s="182"/>
      <c r="K35" s="182"/>
      <c r="L35" s="182"/>
      <c r="M35" s="182"/>
      <c r="N35" s="182"/>
    </row>
    <row r="36" spans="1:14" s="183" customFormat="1" ht="15">
      <c r="A36" s="182"/>
      <c r="B36" s="182"/>
      <c r="C36" s="182"/>
      <c r="D36" s="182"/>
      <c r="E36" s="182"/>
      <c r="F36" s="182"/>
      <c r="G36" s="182"/>
      <c r="H36" s="182"/>
      <c r="I36" s="182"/>
      <c r="J36" s="182"/>
      <c r="K36" s="182"/>
      <c r="L36" s="182"/>
      <c r="M36" s="182"/>
      <c r="N36" s="182"/>
    </row>
    <row r="37" spans="1:14" s="183" customFormat="1" ht="15">
      <c r="A37" s="182"/>
      <c r="B37" s="182"/>
      <c r="C37" s="182"/>
      <c r="D37" s="182"/>
      <c r="E37" s="182"/>
      <c r="F37" s="182"/>
      <c r="G37" s="182"/>
      <c r="H37" s="182"/>
      <c r="I37" s="182"/>
      <c r="J37" s="182"/>
      <c r="K37" s="182"/>
      <c r="L37" s="182"/>
      <c r="M37" s="182"/>
      <c r="N37" s="182"/>
    </row>
    <row r="38" spans="1:14" s="183" customFormat="1" ht="15">
      <c r="A38" s="182"/>
      <c r="B38" s="182"/>
      <c r="C38" s="182"/>
      <c r="D38" s="182"/>
      <c r="E38" s="182"/>
      <c r="F38" s="182"/>
      <c r="G38" s="182"/>
      <c r="H38" s="182"/>
      <c r="I38" s="182"/>
      <c r="J38" s="182"/>
      <c r="K38" s="182"/>
      <c r="L38" s="182"/>
      <c r="M38" s="182"/>
      <c r="N38" s="182"/>
    </row>
    <row r="39" spans="1:14" s="183" customFormat="1" ht="15">
      <c r="A39" s="182"/>
      <c r="B39" s="182"/>
      <c r="C39" s="182"/>
      <c r="D39" s="182"/>
      <c r="E39" s="182"/>
      <c r="F39" s="182"/>
      <c r="G39" s="182"/>
      <c r="H39" s="182"/>
      <c r="I39" s="182"/>
      <c r="J39" s="182"/>
      <c r="K39" s="182"/>
      <c r="L39" s="182"/>
      <c r="M39" s="182"/>
      <c r="N39" s="182"/>
    </row>
    <row r="40" spans="1:14" s="183" customFormat="1" ht="15">
      <c r="A40" s="182"/>
      <c r="B40" s="182"/>
      <c r="C40" s="182"/>
      <c r="D40" s="182"/>
      <c r="E40" s="182"/>
      <c r="F40" s="182"/>
      <c r="G40" s="182"/>
      <c r="H40" s="182"/>
      <c r="I40" s="182"/>
      <c r="J40" s="182"/>
      <c r="K40" s="182"/>
      <c r="L40" s="182"/>
      <c r="M40" s="182"/>
      <c r="N40" s="182"/>
    </row>
    <row r="41" spans="1:14" s="183" customFormat="1" ht="15">
      <c r="A41" s="182"/>
      <c r="B41" s="182"/>
      <c r="C41" s="182"/>
      <c r="D41" s="182"/>
      <c r="E41" s="182"/>
      <c r="F41" s="182"/>
      <c r="G41" s="182"/>
      <c r="H41" s="182"/>
      <c r="I41" s="182"/>
      <c r="J41" s="182"/>
      <c r="K41" s="182"/>
      <c r="L41" s="182"/>
      <c r="M41" s="182"/>
      <c r="N41" s="182"/>
    </row>
    <row r="42" spans="1:14" s="183" customFormat="1" ht="15">
      <c r="A42" s="182"/>
      <c r="B42" s="182"/>
      <c r="C42" s="182"/>
      <c r="D42" s="182"/>
      <c r="E42" s="182"/>
      <c r="F42" s="182"/>
      <c r="G42" s="182"/>
      <c r="H42" s="182"/>
      <c r="I42" s="182"/>
      <c r="J42" s="182"/>
      <c r="K42" s="182"/>
      <c r="L42" s="182"/>
      <c r="M42" s="182"/>
      <c r="N42" s="182"/>
    </row>
    <row r="43" spans="1:14" s="183" customFormat="1" ht="15">
      <c r="A43" s="182"/>
      <c r="B43" s="182"/>
      <c r="C43" s="182"/>
      <c r="D43" s="182"/>
      <c r="E43" s="182"/>
      <c r="F43" s="182"/>
      <c r="G43" s="182"/>
      <c r="H43" s="182"/>
      <c r="I43" s="182"/>
      <c r="J43" s="182"/>
      <c r="K43" s="182"/>
      <c r="L43" s="182"/>
      <c r="M43" s="182"/>
      <c r="N43" s="182"/>
    </row>
    <row r="44" spans="1:14" s="183" customFormat="1" ht="15">
      <c r="A44" s="182"/>
      <c r="B44" s="182"/>
      <c r="C44" s="182"/>
      <c r="D44" s="182"/>
      <c r="E44" s="182"/>
      <c r="F44" s="182"/>
      <c r="G44" s="182"/>
      <c r="H44" s="182"/>
      <c r="I44" s="182"/>
      <c r="J44" s="182"/>
      <c r="K44" s="182"/>
      <c r="L44" s="182"/>
      <c r="M44" s="182"/>
      <c r="N44" s="182"/>
    </row>
    <row r="45" spans="1:14" s="183" customFormat="1" ht="15">
      <c r="A45" s="182"/>
      <c r="B45" s="182"/>
      <c r="C45" s="182"/>
      <c r="D45" s="182"/>
      <c r="E45" s="182"/>
      <c r="F45" s="182"/>
      <c r="G45" s="182"/>
      <c r="H45" s="182"/>
      <c r="I45" s="182"/>
      <c r="J45" s="182"/>
      <c r="K45" s="182"/>
      <c r="L45" s="182"/>
      <c r="M45" s="182"/>
      <c r="N45" s="182"/>
    </row>
    <row r="46" spans="1:14" s="183" customFormat="1" ht="15">
      <c r="A46" s="182"/>
      <c r="B46" s="182"/>
      <c r="C46" s="182"/>
      <c r="D46" s="182"/>
      <c r="E46" s="182"/>
      <c r="F46" s="182"/>
      <c r="G46" s="182"/>
      <c r="H46" s="182"/>
      <c r="I46" s="182"/>
      <c r="J46" s="182"/>
      <c r="K46" s="182"/>
      <c r="L46" s="182"/>
      <c r="M46" s="182"/>
      <c r="N46" s="182"/>
    </row>
    <row r="47" spans="1:14" s="183" customFormat="1" ht="15">
      <c r="A47" s="182"/>
      <c r="B47" s="182"/>
      <c r="C47" s="182"/>
      <c r="D47" s="182"/>
      <c r="E47" s="182"/>
      <c r="F47" s="182"/>
      <c r="G47" s="182"/>
      <c r="H47" s="182"/>
      <c r="I47" s="182"/>
      <c r="J47" s="182"/>
      <c r="K47" s="182"/>
      <c r="L47" s="182"/>
      <c r="M47" s="182"/>
      <c r="N47" s="182"/>
    </row>
    <row r="48" spans="1:14" s="183" customFormat="1" ht="15">
      <c r="A48" s="182"/>
      <c r="B48" s="182"/>
      <c r="C48" s="182"/>
      <c r="D48" s="182"/>
      <c r="E48" s="182"/>
      <c r="F48" s="182"/>
      <c r="G48" s="182"/>
      <c r="H48" s="182"/>
      <c r="I48" s="182"/>
      <c r="J48" s="182"/>
      <c r="K48" s="182"/>
      <c r="L48" s="182"/>
      <c r="M48" s="182"/>
      <c r="N48" s="182"/>
    </row>
    <row r="49" spans="1:14" s="183" customFormat="1" ht="15">
      <c r="A49" s="182"/>
      <c r="B49" s="182"/>
      <c r="C49" s="182"/>
      <c r="D49" s="182"/>
      <c r="E49" s="182"/>
      <c r="F49" s="182"/>
      <c r="G49" s="182"/>
      <c r="H49" s="182"/>
      <c r="I49" s="182"/>
      <c r="J49" s="182"/>
      <c r="K49" s="182"/>
      <c r="L49" s="182"/>
      <c r="M49" s="182"/>
      <c r="N49" s="182"/>
    </row>
    <row r="50" spans="1:14" s="183" customFormat="1" ht="15">
      <c r="A50" s="182"/>
      <c r="B50" s="182"/>
      <c r="C50" s="182"/>
      <c r="D50" s="182"/>
      <c r="E50" s="182"/>
      <c r="F50" s="182"/>
      <c r="G50" s="182"/>
      <c r="H50" s="182"/>
      <c r="I50" s="182"/>
      <c r="J50" s="182"/>
      <c r="K50" s="182"/>
      <c r="L50" s="182"/>
      <c r="M50" s="182"/>
      <c r="N50" s="182"/>
    </row>
    <row r="51" spans="1:14" s="183" customFormat="1" ht="15">
      <c r="A51" s="182"/>
      <c r="B51" s="182"/>
      <c r="C51" s="182"/>
      <c r="D51" s="182"/>
      <c r="E51" s="182"/>
      <c r="F51" s="182"/>
      <c r="G51" s="182"/>
      <c r="H51" s="182"/>
      <c r="I51" s="182"/>
      <c r="J51" s="182"/>
      <c r="K51" s="182"/>
      <c r="L51" s="182"/>
      <c r="M51" s="182"/>
      <c r="N51" s="182"/>
    </row>
    <row r="52" spans="1:14" s="183" customFormat="1" ht="15">
      <c r="A52" s="182"/>
      <c r="B52" s="182"/>
      <c r="C52" s="182"/>
      <c r="D52" s="182"/>
      <c r="E52" s="182"/>
      <c r="F52" s="182"/>
      <c r="G52" s="182"/>
      <c r="H52" s="182"/>
      <c r="I52" s="182"/>
      <c r="J52" s="182"/>
      <c r="K52" s="182"/>
      <c r="L52" s="182"/>
      <c r="M52" s="182"/>
      <c r="N52" s="182"/>
    </row>
    <row r="53" spans="1:14" s="183" customFormat="1" ht="15">
      <c r="A53" s="182"/>
      <c r="B53" s="182"/>
      <c r="C53" s="182"/>
      <c r="D53" s="182"/>
      <c r="E53" s="182"/>
      <c r="F53" s="182"/>
      <c r="G53" s="182"/>
      <c r="H53" s="182"/>
      <c r="I53" s="182"/>
      <c r="J53" s="182"/>
      <c r="K53" s="182"/>
      <c r="L53" s="182"/>
      <c r="M53" s="182"/>
      <c r="N53" s="182"/>
    </row>
    <row r="54" spans="1:14" s="183" customFormat="1" ht="15">
      <c r="A54" s="182"/>
      <c r="B54" s="182"/>
      <c r="C54" s="182"/>
      <c r="D54" s="182"/>
      <c r="E54" s="182"/>
      <c r="F54" s="182"/>
      <c r="G54" s="182"/>
      <c r="H54" s="182"/>
      <c r="I54" s="182"/>
      <c r="J54" s="182"/>
      <c r="K54" s="182"/>
      <c r="L54" s="182"/>
      <c r="M54" s="182"/>
      <c r="N54" s="182"/>
    </row>
    <row r="55" spans="1:14" s="183" customFormat="1" ht="15">
      <c r="A55" s="182"/>
      <c r="B55" s="182"/>
      <c r="C55" s="182"/>
      <c r="D55" s="182"/>
      <c r="E55" s="182"/>
      <c r="F55" s="182"/>
      <c r="G55" s="182"/>
      <c r="H55" s="182"/>
      <c r="I55" s="182"/>
      <c r="J55" s="182"/>
      <c r="K55" s="182"/>
      <c r="L55" s="182"/>
      <c r="M55" s="182"/>
      <c r="N55" s="182"/>
    </row>
    <row r="56" spans="1:14" s="183" customFormat="1" ht="15">
      <c r="A56" s="182"/>
      <c r="B56" s="182"/>
      <c r="C56" s="182"/>
      <c r="D56" s="182"/>
      <c r="E56" s="182"/>
      <c r="F56" s="182"/>
      <c r="G56" s="182"/>
      <c r="H56" s="182"/>
      <c r="I56" s="182"/>
      <c r="J56" s="182"/>
      <c r="K56" s="182"/>
      <c r="L56" s="182"/>
      <c r="M56" s="182"/>
      <c r="N56" s="182"/>
    </row>
    <row r="57" spans="1:14" s="183" customFormat="1" ht="15">
      <c r="A57" s="182"/>
      <c r="B57" s="182"/>
      <c r="C57" s="182"/>
      <c r="D57" s="182"/>
      <c r="E57" s="182"/>
      <c r="F57" s="182"/>
      <c r="G57" s="182"/>
      <c r="H57" s="182"/>
      <c r="I57" s="182"/>
      <c r="J57" s="182"/>
      <c r="K57" s="182"/>
      <c r="L57" s="182"/>
      <c r="M57" s="182"/>
      <c r="N57" s="182"/>
    </row>
    <row r="58" spans="1:14" s="183" customFormat="1" ht="15">
      <c r="A58" s="182"/>
      <c r="B58" s="182"/>
      <c r="C58" s="182"/>
      <c r="D58" s="182"/>
      <c r="E58" s="182"/>
      <c r="F58" s="182"/>
      <c r="G58" s="182"/>
      <c r="H58" s="182"/>
      <c r="I58" s="182"/>
      <c r="J58" s="182"/>
      <c r="K58" s="182"/>
      <c r="L58" s="182"/>
      <c r="M58" s="182"/>
      <c r="N58" s="182"/>
    </row>
    <row r="59" spans="1:14" s="183" customFormat="1" ht="15">
      <c r="A59" s="182"/>
      <c r="B59" s="182"/>
      <c r="C59" s="182"/>
      <c r="D59" s="182"/>
      <c r="E59" s="182"/>
      <c r="F59" s="182"/>
      <c r="G59" s="182"/>
      <c r="H59" s="182"/>
      <c r="I59" s="182"/>
      <c r="J59" s="182"/>
      <c r="K59" s="182"/>
      <c r="L59" s="182"/>
      <c r="M59" s="182"/>
      <c r="N59" s="182"/>
    </row>
    <row r="60" spans="1:14" s="183" customFormat="1" ht="15">
      <c r="A60" s="182"/>
      <c r="B60" s="182"/>
      <c r="C60" s="182"/>
      <c r="D60" s="182"/>
      <c r="E60" s="182"/>
      <c r="F60" s="182"/>
      <c r="G60" s="182"/>
      <c r="H60" s="182"/>
      <c r="I60" s="182"/>
      <c r="J60" s="182"/>
      <c r="K60" s="182"/>
      <c r="L60" s="182"/>
      <c r="M60" s="182"/>
      <c r="N60" s="182"/>
    </row>
  </sheetData>
  <sheetProtection/>
  <mergeCells count="2">
    <mergeCell ref="A6:I6"/>
    <mergeCell ref="A4:E4"/>
  </mergeCells>
  <hyperlinks>
    <hyperlink ref="E1" location="Indice!A1" display="Indice"/>
  </hyperlinks>
  <printOptions/>
  <pageMargins left="0.7" right="0.7" top="0.75" bottom="0.75" header="0.3" footer="0.3"/>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dimension ref="A1:N15"/>
  <sheetViews>
    <sheetView zoomScalePageLayoutView="0" workbookViewId="0" topLeftCell="A1">
      <selection activeCell="A11" sqref="A11:H12"/>
    </sheetView>
  </sheetViews>
  <sheetFormatPr defaultColWidth="11.421875" defaultRowHeight="15"/>
  <cols>
    <col min="1" max="5" width="24.421875" style="129" customWidth="1"/>
    <col min="6" max="6" width="12.8515625" style="129" customWidth="1"/>
    <col min="7" max="7" width="11.421875" style="129" customWidth="1"/>
    <col min="8" max="8" width="17.28125" style="129" customWidth="1"/>
    <col min="9" max="14" width="11.421875" style="129" customWidth="1"/>
  </cols>
  <sheetData>
    <row r="1" spans="1:5" ht="15">
      <c r="A1" s="129" t="str">
        <f>Indice!C1</f>
        <v>NEGOFIN S.A.E.C.A.</v>
      </c>
      <c r="E1" s="150" t="s">
        <v>389</v>
      </c>
    </row>
    <row r="2" ht="15">
      <c r="C2" s="137"/>
    </row>
    <row r="4" spans="1:9" ht="15">
      <c r="A4" s="285" t="s">
        <v>390</v>
      </c>
      <c r="B4" s="285"/>
      <c r="C4" s="285"/>
      <c r="D4" s="285"/>
      <c r="E4" s="285"/>
      <c r="F4" s="285"/>
      <c r="G4" s="285"/>
      <c r="H4" s="285"/>
      <c r="I4" s="286"/>
    </row>
    <row r="5" spans="1:9" ht="15">
      <c r="A5" s="815" t="s">
        <v>191</v>
      </c>
      <c r="B5" s="815"/>
      <c r="C5" s="815"/>
      <c r="D5" s="815"/>
      <c r="E5" s="815"/>
      <c r="F5" s="815"/>
      <c r="G5" s="815"/>
      <c r="H5" s="815"/>
      <c r="I5" s="815"/>
    </row>
    <row r="6" spans="1:14" s="183" customFormat="1" ht="15" customHeight="1">
      <c r="A6" s="822" t="str">
        <f>_xlfn.IFERROR("Los principales contratos suscriptos por la Sociedad, vigentes al  "&amp;DAY(Indice!B6)&amp;" de "&amp;VLOOKUP(MONTH(Indice!B6),Indice!S:T,2,0)&amp;" de "&amp;YEAR(Indice!B6-1)&amp;" son:","Los principales contratos suscriptos por la Sociedad, vigentes al … de …  20X2 son:")</f>
        <v>Los principales contratos suscriptos por la Sociedad, vigentes al  31 de Marzo de 2021 son:</v>
      </c>
      <c r="B6" s="822"/>
      <c r="C6" s="822"/>
      <c r="D6" s="822"/>
      <c r="E6" s="822"/>
      <c r="F6" s="822"/>
      <c r="G6" s="822"/>
      <c r="H6" s="822"/>
      <c r="I6" s="822"/>
      <c r="J6" s="182"/>
      <c r="K6" s="182"/>
      <c r="L6" s="182"/>
      <c r="M6" s="182"/>
      <c r="N6" s="182"/>
    </row>
    <row r="7" spans="1:14" s="183" customFormat="1" ht="15">
      <c r="A7" s="182" t="s">
        <v>192</v>
      </c>
      <c r="B7" s="182"/>
      <c r="C7" s="182"/>
      <c r="D7" s="182"/>
      <c r="E7" s="182"/>
      <c r="F7" s="182"/>
      <c r="G7" s="182"/>
      <c r="H7" s="182"/>
      <c r="I7" s="182"/>
      <c r="J7" s="182"/>
      <c r="K7" s="182"/>
      <c r="L7" s="182"/>
      <c r="M7" s="182"/>
      <c r="N7" s="182"/>
    </row>
    <row r="8" s="182" customFormat="1" ht="15">
      <c r="A8" s="182" t="s">
        <v>193</v>
      </c>
    </row>
    <row r="9" spans="1:14" s="183" customFormat="1" ht="15">
      <c r="A9" s="182"/>
      <c r="B9" s="182"/>
      <c r="C9" s="182"/>
      <c r="D9" s="182"/>
      <c r="E9" s="182"/>
      <c r="F9" s="182"/>
      <c r="G9" s="182"/>
      <c r="H9" s="182"/>
      <c r="I9" s="182"/>
      <c r="J9" s="182"/>
      <c r="K9" s="182"/>
      <c r="L9" s="182"/>
      <c r="M9" s="182"/>
      <c r="N9" s="182"/>
    </row>
    <row r="10" spans="2:14" s="183" customFormat="1" ht="15">
      <c r="B10" s="182"/>
      <c r="C10" s="182"/>
      <c r="D10" s="182"/>
      <c r="E10" s="182"/>
      <c r="F10" s="182"/>
      <c r="G10" s="182"/>
      <c r="H10" s="182"/>
      <c r="I10" s="182"/>
      <c r="J10" s="182"/>
      <c r="K10" s="182"/>
      <c r="L10" s="182"/>
      <c r="M10" s="182"/>
      <c r="N10" s="182"/>
    </row>
    <row r="11" spans="1:14" s="183" customFormat="1" ht="15">
      <c r="A11" s="823" t="str">
        <f>_xlfn.IFERROR("Al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31 de Marzo de 2021 no existen situaciones contingentes, ni reclamos que pudieran resultar en la generación de obligaciones para la Sociedad adicionales a las que se presentan en estos estados financieros.</v>
      </c>
      <c r="B11" s="823"/>
      <c r="C11" s="823"/>
      <c r="D11" s="823"/>
      <c r="E11" s="823"/>
      <c r="F11" s="823"/>
      <c r="G11" s="823"/>
      <c r="H11" s="823"/>
      <c r="I11" s="182"/>
      <c r="J11" s="182"/>
      <c r="K11" s="182"/>
      <c r="L11" s="182"/>
      <c r="M11" s="182"/>
      <c r="N11" s="182"/>
    </row>
    <row r="12" spans="1:14" s="183" customFormat="1" ht="16.5" customHeight="1">
      <c r="A12" s="823"/>
      <c r="B12" s="823"/>
      <c r="C12" s="823"/>
      <c r="D12" s="823"/>
      <c r="E12" s="823"/>
      <c r="F12" s="823"/>
      <c r="G12" s="823"/>
      <c r="H12" s="823"/>
      <c r="I12" s="296"/>
      <c r="J12" s="182"/>
      <c r="K12" s="182"/>
      <c r="L12" s="182"/>
      <c r="M12" s="182"/>
      <c r="N12" s="182"/>
    </row>
    <row r="13" spans="1:14" s="183" customFormat="1" ht="15">
      <c r="A13" s="182"/>
      <c r="B13" s="182"/>
      <c r="C13" s="182"/>
      <c r="D13" s="182"/>
      <c r="E13" s="182"/>
      <c r="F13" s="182"/>
      <c r="G13" s="182"/>
      <c r="H13" s="182"/>
      <c r="I13" s="182"/>
      <c r="J13" s="182"/>
      <c r="K13" s="182"/>
      <c r="L13" s="182"/>
      <c r="M13" s="182"/>
      <c r="N13" s="182"/>
    </row>
    <row r="14" spans="1:14" s="183" customFormat="1" ht="15">
      <c r="A14" s="182"/>
      <c r="B14" s="182"/>
      <c r="C14" s="182"/>
      <c r="D14" s="182"/>
      <c r="E14" s="182"/>
      <c r="F14" s="182"/>
      <c r="G14" s="182"/>
      <c r="H14" s="182"/>
      <c r="I14" s="182"/>
      <c r="J14" s="182"/>
      <c r="K14" s="182"/>
      <c r="L14" s="182"/>
      <c r="M14" s="182"/>
      <c r="N14" s="182"/>
    </row>
    <row r="15" spans="1:14" s="183" customFormat="1" ht="21" customHeight="1">
      <c r="A15" s="778" t="s">
        <v>413</v>
      </c>
      <c r="B15" s="778"/>
      <c r="C15" s="778"/>
      <c r="D15" s="778"/>
      <c r="E15" s="778"/>
      <c r="F15" s="778"/>
      <c r="G15" s="778"/>
      <c r="H15" s="778"/>
      <c r="I15" s="297"/>
      <c r="J15" s="182"/>
      <c r="K15" s="182"/>
      <c r="L15" s="182"/>
      <c r="M15" s="182"/>
      <c r="N15" s="182"/>
    </row>
  </sheetData>
  <sheetProtection/>
  <mergeCells count="4">
    <mergeCell ref="A15:H15"/>
    <mergeCell ref="A5:I5"/>
    <mergeCell ref="A6:I6"/>
    <mergeCell ref="A11:H12"/>
  </mergeCells>
  <hyperlinks>
    <hyperlink ref="E1" location="Indice!A1" display="Indice"/>
  </hyperlinks>
  <printOptions/>
  <pageMargins left="0.7" right="0.7" top="0.75" bottom="0.75" header="0.3" footer="0.3"/>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AY25"/>
  <sheetViews>
    <sheetView zoomScalePageLayoutView="0" workbookViewId="0" topLeftCell="A16">
      <selection activeCell="H5" sqref="H5"/>
    </sheetView>
  </sheetViews>
  <sheetFormatPr defaultColWidth="11.421875" defaultRowHeight="15"/>
  <cols>
    <col min="1" max="1" width="47.8515625" style="129" customWidth="1"/>
    <col min="2" max="2" width="22.57421875" style="129" customWidth="1"/>
    <col min="3" max="3" width="26.140625" style="129" customWidth="1"/>
    <col min="4" max="51" width="11.421875" style="129" customWidth="1"/>
  </cols>
  <sheetData>
    <row r="1" spans="1:4" ht="15">
      <c r="A1" s="129" t="str">
        <f>Indice!C1</f>
        <v>NEGOFIN S.A.E.C.A.</v>
      </c>
      <c r="D1" s="150" t="s">
        <v>910</v>
      </c>
    </row>
    <row r="4" spans="1:7" ht="15">
      <c r="A4" s="824" t="s">
        <v>396</v>
      </c>
      <c r="B4" s="824"/>
      <c r="C4" s="824"/>
      <c r="D4" s="824"/>
      <c r="E4" s="824"/>
      <c r="F4" s="824"/>
      <c r="G4" s="824"/>
    </row>
    <row r="5" ht="15">
      <c r="A5" s="283" t="s">
        <v>244</v>
      </c>
    </row>
    <row r="6" spans="1:11" ht="59.25" customHeight="1">
      <c r="A6" s="825" t="s">
        <v>410</v>
      </c>
      <c r="B6" s="825"/>
      <c r="C6" s="825"/>
      <c r="D6" s="825"/>
      <c r="E6" s="825"/>
      <c r="F6" s="825"/>
      <c r="G6" s="825"/>
      <c r="H6" s="294"/>
      <c r="I6" s="294"/>
      <c r="J6" s="294"/>
      <c r="K6" s="294"/>
    </row>
    <row r="7" spans="1:11" ht="55.5" customHeight="1">
      <c r="A7" s="826" t="s">
        <v>397</v>
      </c>
      <c r="B7" s="826"/>
      <c r="C7" s="826"/>
      <c r="D7" s="826"/>
      <c r="E7" s="826"/>
      <c r="F7" s="826"/>
      <c r="G7" s="826"/>
      <c r="H7" s="294"/>
      <c r="I7" s="294"/>
      <c r="J7" s="294"/>
      <c r="K7" s="294"/>
    </row>
    <row r="8" ht="15.75">
      <c r="A8" s="287"/>
    </row>
    <row r="9" spans="1:11" s="129" customFormat="1" ht="21.75" customHeight="1">
      <c r="A9" s="827" t="s">
        <v>398</v>
      </c>
      <c r="B9" s="827"/>
      <c r="C9" s="827"/>
      <c r="D9" s="827"/>
      <c r="E9" s="827"/>
      <c r="F9" s="827"/>
      <c r="G9" s="827"/>
      <c r="H9" s="295"/>
      <c r="I9" s="295"/>
      <c r="J9" s="295"/>
      <c r="K9" s="295"/>
    </row>
    <row r="11" spans="1:51" s="349" customFormat="1" ht="15" customHeight="1">
      <c r="A11" s="352"/>
      <c r="B11" s="406">
        <f>_xlfn.IFERROR(IF(Indice!B6="","2XX2",YEAR(Indice!B6)),"2XX2")</f>
        <v>2021</v>
      </c>
      <c r="C11" s="406">
        <f>+_xlfn.IFERROR(YEAR(Indice!B6-365),"2XX1")</f>
        <v>2020</v>
      </c>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row>
    <row r="12" spans="1:3" ht="15.75">
      <c r="A12" s="288" t="s">
        <v>399</v>
      </c>
      <c r="B12" s="289"/>
      <c r="C12" s="289"/>
    </row>
    <row r="13" spans="1:3" ht="15.75">
      <c r="A13" s="288" t="s">
        <v>400</v>
      </c>
      <c r="B13" s="289"/>
      <c r="C13" s="289"/>
    </row>
    <row r="14" spans="1:3" ht="15.75">
      <c r="A14" s="288" t="s">
        <v>126</v>
      </c>
      <c r="B14" s="289"/>
      <c r="C14" s="289"/>
    </row>
    <row r="15" spans="1:3" ht="15.75">
      <c r="A15" s="288" t="s">
        <v>401</v>
      </c>
      <c r="B15" s="289"/>
      <c r="C15" s="289"/>
    </row>
    <row r="16" spans="1:3" ht="15.75">
      <c r="A16" s="288" t="s">
        <v>402</v>
      </c>
      <c r="B16" s="290"/>
      <c r="C16" s="289"/>
    </row>
    <row r="17" spans="1:3" ht="15.75">
      <c r="A17" s="288" t="s">
        <v>125</v>
      </c>
      <c r="B17" s="290"/>
      <c r="C17" s="289"/>
    </row>
    <row r="18" spans="1:3" ht="15.75">
      <c r="A18" s="288" t="s">
        <v>403</v>
      </c>
      <c r="B18" s="290"/>
      <c r="C18" s="289"/>
    </row>
    <row r="19" spans="1:3" ht="15.75">
      <c r="A19" s="288" t="s">
        <v>404</v>
      </c>
      <c r="B19" s="290"/>
      <c r="C19" s="289"/>
    </row>
    <row r="20" spans="1:3" ht="15.75">
      <c r="A20" s="288" t="s">
        <v>405</v>
      </c>
      <c r="B20" s="290"/>
      <c r="C20" s="289"/>
    </row>
    <row r="21" spans="1:3" ht="15.75">
      <c r="A21" s="288" t="s">
        <v>406</v>
      </c>
      <c r="B21" s="290"/>
      <c r="C21" s="289"/>
    </row>
    <row r="22" spans="1:3" ht="15.75">
      <c r="A22" s="288" t="s">
        <v>407</v>
      </c>
      <c r="B22" s="290"/>
      <c r="C22" s="289"/>
    </row>
    <row r="23" spans="1:3" ht="31.5">
      <c r="A23" s="288" t="s">
        <v>408</v>
      </c>
      <c r="B23" s="290"/>
      <c r="C23" s="289"/>
    </row>
    <row r="24" spans="1:3" ht="15.75">
      <c r="A24" s="288" t="s">
        <v>409</v>
      </c>
      <c r="B24" s="290"/>
      <c r="C24" s="289"/>
    </row>
    <row r="25" spans="1:3" ht="15.75">
      <c r="A25" s="291" t="s">
        <v>3</v>
      </c>
      <c r="B25" s="292"/>
      <c r="C25" s="293"/>
    </row>
  </sheetData>
  <sheetProtection/>
  <mergeCells count="4">
    <mergeCell ref="A4:G4"/>
    <mergeCell ref="A6:G6"/>
    <mergeCell ref="A7:G7"/>
    <mergeCell ref="A9:G9"/>
  </mergeCells>
  <hyperlinks>
    <hyperlink ref="D1" location="Indice!A1" display="Índice"/>
  </hyperlinks>
  <printOptions/>
  <pageMargins left="0.7" right="0.7" top="0.75" bottom="0.75" header="0.3" footer="0.3"/>
  <pageSetup orientation="portrait" paperSize="9"/>
  <drawing r:id="rId1"/>
</worksheet>
</file>

<file path=xl/worksheets/sheet44.xml><?xml version="1.0" encoding="utf-8"?>
<worksheet xmlns="http://schemas.openxmlformats.org/spreadsheetml/2006/main" xmlns:r="http://schemas.openxmlformats.org/officeDocument/2006/relationships">
  <dimension ref="A1:N14"/>
  <sheetViews>
    <sheetView showGridLines="0" zoomScalePageLayoutView="0" workbookViewId="0" topLeftCell="A1">
      <selection activeCell="A9" sqref="A9:I9"/>
    </sheetView>
  </sheetViews>
  <sheetFormatPr defaultColWidth="11.421875" defaultRowHeight="15"/>
  <cols>
    <col min="1" max="5" width="24.421875" style="129" customWidth="1"/>
    <col min="6" max="6" width="12.8515625" style="129" customWidth="1"/>
    <col min="7" max="7" width="11.421875" style="129" customWidth="1"/>
    <col min="8" max="8" width="17.28125" style="129" customWidth="1"/>
    <col min="9" max="14" width="11.421875" style="129" customWidth="1"/>
  </cols>
  <sheetData>
    <row r="1" spans="1:5" ht="15">
      <c r="A1" s="129" t="str">
        <f>Indice!C1</f>
        <v>NEGOFIN S.A.E.C.A.</v>
      </c>
      <c r="E1" s="150" t="s">
        <v>389</v>
      </c>
    </row>
    <row r="2" ht="15">
      <c r="C2" s="137"/>
    </row>
    <row r="5" spans="1:9" ht="15">
      <c r="A5" s="285" t="s">
        <v>411</v>
      </c>
      <c r="B5" s="285"/>
      <c r="C5" s="285"/>
      <c r="D5" s="285"/>
      <c r="E5" s="285"/>
      <c r="F5" s="285"/>
      <c r="G5" s="285"/>
      <c r="H5" s="285"/>
      <c r="I5" s="285"/>
    </row>
    <row r="6" spans="1:14" s="199" customFormat="1" ht="17.25" customHeight="1">
      <c r="A6" s="815" t="s">
        <v>194</v>
      </c>
      <c r="B6" s="815"/>
      <c r="C6" s="815"/>
      <c r="D6" s="815"/>
      <c r="E6" s="815"/>
      <c r="F6" s="815"/>
      <c r="G6" s="815"/>
      <c r="H6" s="815"/>
      <c r="I6" s="815"/>
      <c r="J6" s="198"/>
      <c r="K6" s="198"/>
      <c r="L6" s="198"/>
      <c r="M6" s="198"/>
      <c r="N6" s="198"/>
    </row>
    <row r="8" spans="1:14" s="183" customFormat="1" ht="15">
      <c r="A8" s="182"/>
      <c r="B8" s="182"/>
      <c r="C8" s="182"/>
      <c r="D8" s="182"/>
      <c r="E8" s="182"/>
      <c r="F8" s="182"/>
      <c r="G8" s="182"/>
      <c r="H8" s="182"/>
      <c r="I8" s="182"/>
      <c r="J8" s="182"/>
      <c r="K8" s="182"/>
      <c r="L8" s="182"/>
      <c r="M8" s="182"/>
      <c r="N8" s="182"/>
    </row>
    <row r="9" spans="1:9" s="182" customFormat="1" ht="39" customHeight="1">
      <c r="A9" s="823" t="s">
        <v>1246</v>
      </c>
      <c r="B9" s="823"/>
      <c r="C9" s="823"/>
      <c r="D9" s="823"/>
      <c r="E9" s="823"/>
      <c r="F9" s="823"/>
      <c r="G9" s="823"/>
      <c r="H9" s="823"/>
      <c r="I9" s="823"/>
    </row>
    <row r="10" spans="1:14" s="183" customFormat="1" ht="15">
      <c r="A10" s="182"/>
      <c r="B10" s="182"/>
      <c r="C10" s="182"/>
      <c r="D10" s="182"/>
      <c r="E10" s="182"/>
      <c r="F10" s="182"/>
      <c r="G10" s="182"/>
      <c r="H10" s="182"/>
      <c r="I10" s="182"/>
      <c r="J10" s="182"/>
      <c r="K10" s="182"/>
      <c r="L10" s="182"/>
      <c r="M10" s="182"/>
      <c r="N10" s="182"/>
    </row>
    <row r="11" spans="10:14" s="183" customFormat="1" ht="46.5" customHeight="1">
      <c r="J11" s="182"/>
      <c r="K11" s="182"/>
      <c r="L11" s="182"/>
      <c r="M11" s="182"/>
      <c r="N11" s="182"/>
    </row>
    <row r="12" spans="1:14" s="183" customFormat="1" ht="15">
      <c r="A12" s="182"/>
      <c r="B12" s="182"/>
      <c r="C12" s="182"/>
      <c r="D12" s="182"/>
      <c r="E12" s="182"/>
      <c r="F12" s="182"/>
      <c r="G12" s="182"/>
      <c r="H12" s="182"/>
      <c r="I12" s="182"/>
      <c r="J12" s="182"/>
      <c r="K12" s="182"/>
      <c r="L12" s="182"/>
      <c r="M12" s="182"/>
      <c r="N12" s="182"/>
    </row>
    <row r="13" spans="1:14" s="183" customFormat="1" ht="15">
      <c r="A13" s="828"/>
      <c r="B13" s="828"/>
      <c r="C13" s="828"/>
      <c r="D13" s="828"/>
      <c r="E13" s="828"/>
      <c r="F13" s="828"/>
      <c r="G13" s="828"/>
      <c r="H13" s="828"/>
      <c r="I13" s="828"/>
      <c r="J13" s="182"/>
      <c r="K13" s="182"/>
      <c r="L13" s="182"/>
      <c r="M13" s="182"/>
      <c r="N13" s="182"/>
    </row>
    <row r="14" spans="1:14" s="183" customFormat="1" ht="15">
      <c r="A14" s="182"/>
      <c r="B14" s="182"/>
      <c r="C14" s="182"/>
      <c r="D14" s="182"/>
      <c r="E14" s="182"/>
      <c r="F14" s="182"/>
      <c r="G14" s="182"/>
      <c r="H14" s="182"/>
      <c r="I14" s="182"/>
      <c r="J14" s="182"/>
      <c r="K14" s="182"/>
      <c r="L14" s="182"/>
      <c r="M14" s="182"/>
      <c r="N14" s="182"/>
    </row>
  </sheetData>
  <sheetProtection/>
  <mergeCells count="3">
    <mergeCell ref="A6:I6"/>
    <mergeCell ref="A9:I9"/>
    <mergeCell ref="A13:I13"/>
  </mergeCells>
  <hyperlinks>
    <hyperlink ref="E1" location="Indice!A1" display="Indice"/>
  </hyperlinks>
  <printOptions/>
  <pageMargins left="0.7" right="0.7" top="0.75" bottom="0.75" header="0.3" footer="0.3"/>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dimension ref="A1:H36"/>
  <sheetViews>
    <sheetView showGridLines="0" zoomScalePageLayoutView="0" workbookViewId="0" topLeftCell="A1">
      <selection activeCell="A8" sqref="A8:G8"/>
    </sheetView>
  </sheetViews>
  <sheetFormatPr defaultColWidth="11.421875" defaultRowHeight="15"/>
  <cols>
    <col min="1" max="1" width="42.57421875" style="0" customWidth="1"/>
    <col min="2" max="2" width="17.00390625" style="0" customWidth="1"/>
    <col min="3" max="3" width="17.57421875" style="0" customWidth="1"/>
  </cols>
  <sheetData>
    <row r="1" spans="1:8" ht="15">
      <c r="A1" t="str">
        <f>Indice!C1</f>
        <v>NEGOFIN S.A.E.C.A.</v>
      </c>
      <c r="C1" s="453" t="s">
        <v>389</v>
      </c>
      <c r="H1" s="149"/>
    </row>
    <row r="5" spans="1:7" ht="15">
      <c r="A5" s="451" t="s">
        <v>905</v>
      </c>
      <c r="B5" s="451"/>
      <c r="C5" s="451"/>
      <c r="D5" s="451"/>
      <c r="E5" s="452"/>
      <c r="F5" s="452"/>
      <c r="G5" s="452"/>
    </row>
    <row r="6" spans="1:7" ht="15">
      <c r="A6" s="450" t="s">
        <v>262</v>
      </c>
      <c r="B6" s="441"/>
      <c r="C6" s="441"/>
      <c r="D6" s="441"/>
      <c r="E6" s="441"/>
      <c r="F6" s="441"/>
      <c r="G6" s="441"/>
    </row>
    <row r="7" spans="1:7" ht="15">
      <c r="A7" s="441" t="s">
        <v>1247</v>
      </c>
      <c r="B7" s="441"/>
      <c r="C7" s="441"/>
      <c r="D7" s="441"/>
      <c r="E7" s="441"/>
      <c r="F7" s="441"/>
      <c r="G7" s="441"/>
    </row>
    <row r="8" spans="1:7" ht="15">
      <c r="A8" s="829"/>
      <c r="B8" s="829"/>
      <c r="C8" s="829"/>
      <c r="D8" s="829"/>
      <c r="E8" s="829"/>
      <c r="F8" s="829"/>
      <c r="G8" s="829"/>
    </row>
    <row r="9" spans="1:7" ht="15">
      <c r="A9" s="441"/>
      <c r="B9" s="441"/>
      <c r="C9" s="441"/>
      <c r="D9" s="441"/>
      <c r="E9" s="441"/>
      <c r="F9" s="441"/>
      <c r="G9" s="441"/>
    </row>
    <row r="10" spans="1:7" ht="15">
      <c r="A10" s="442"/>
      <c r="B10" s="406">
        <f>_xlfn.IFERROR(IF(Indice!B6="","2XX2",YEAR(Indice!B6)),"2XX2")</f>
        <v>2021</v>
      </c>
      <c r="C10" s="406">
        <f>+_xlfn.IFERROR(YEAR(Indice!B6-365),"2XX1")</f>
        <v>2020</v>
      </c>
      <c r="D10" s="441"/>
      <c r="E10" s="441"/>
      <c r="F10" s="441"/>
      <c r="G10" s="441"/>
    </row>
    <row r="11" spans="1:7" ht="15">
      <c r="A11" s="444" t="s">
        <v>893</v>
      </c>
      <c r="B11" s="445"/>
      <c r="C11" s="445"/>
      <c r="D11" s="441"/>
      <c r="E11" s="441"/>
      <c r="F11" s="441"/>
      <c r="G11" s="441"/>
    </row>
    <row r="12" spans="1:7" ht="15">
      <c r="A12" s="445" t="s">
        <v>110</v>
      </c>
      <c r="B12" s="445"/>
      <c r="C12" s="445"/>
      <c r="D12" s="441"/>
      <c r="E12" s="441"/>
      <c r="F12" s="441"/>
      <c r="G12" s="441"/>
    </row>
    <row r="13" spans="1:7" ht="15">
      <c r="A13" s="445" t="s">
        <v>894</v>
      </c>
      <c r="B13" s="445"/>
      <c r="C13" s="445"/>
      <c r="D13" s="441"/>
      <c r="E13" s="441"/>
      <c r="F13" s="441"/>
      <c r="G13" s="441"/>
    </row>
    <row r="14" spans="1:7" ht="15">
      <c r="A14" s="445" t="s">
        <v>40</v>
      </c>
      <c r="B14" s="445"/>
      <c r="C14" s="445"/>
      <c r="D14" s="441"/>
      <c r="E14" s="441"/>
      <c r="F14" s="441"/>
      <c r="G14" s="441"/>
    </row>
    <row r="15" spans="1:7" ht="15">
      <c r="A15" s="444" t="s">
        <v>895</v>
      </c>
      <c r="B15" s="445"/>
      <c r="C15" s="445"/>
      <c r="D15" s="441"/>
      <c r="E15" s="441"/>
      <c r="F15" s="441"/>
      <c r="G15" s="441"/>
    </row>
    <row r="16" spans="1:7" ht="15">
      <c r="A16" s="444" t="s">
        <v>896</v>
      </c>
      <c r="B16" s="443"/>
      <c r="C16" s="443"/>
      <c r="D16" s="441"/>
      <c r="E16" s="441"/>
      <c r="F16" s="441"/>
      <c r="G16" s="441"/>
    </row>
    <row r="17" spans="1:7" ht="15">
      <c r="A17" s="445" t="s">
        <v>111</v>
      </c>
      <c r="B17" s="445"/>
      <c r="C17" s="445"/>
      <c r="D17" s="441"/>
      <c r="E17" s="441"/>
      <c r="F17" s="441"/>
      <c r="G17" s="441"/>
    </row>
    <row r="18" spans="1:7" ht="15">
      <c r="A18" s="445" t="s">
        <v>112</v>
      </c>
      <c r="B18" s="445"/>
      <c r="C18" s="445"/>
      <c r="D18" s="441"/>
      <c r="E18" s="441"/>
      <c r="F18" s="441"/>
      <c r="G18" s="441"/>
    </row>
    <row r="19" spans="1:7" ht="15">
      <c r="A19" s="445" t="s">
        <v>69</v>
      </c>
      <c r="B19" s="445"/>
      <c r="C19" s="445"/>
      <c r="D19" s="441"/>
      <c r="E19" s="441"/>
      <c r="F19" s="441"/>
      <c r="G19" s="441"/>
    </row>
    <row r="20" spans="1:7" ht="15">
      <c r="A20" s="445" t="s">
        <v>897</v>
      </c>
      <c r="B20" s="445"/>
      <c r="C20" s="445"/>
      <c r="D20" s="441"/>
      <c r="E20" s="441"/>
      <c r="F20" s="441"/>
      <c r="G20" s="441"/>
    </row>
    <row r="21" spans="1:7" ht="15">
      <c r="A21" s="445" t="s">
        <v>898</v>
      </c>
      <c r="B21" s="445"/>
      <c r="C21" s="445"/>
      <c r="D21" s="441"/>
      <c r="E21" s="441"/>
      <c r="F21" s="441"/>
      <c r="G21" s="441"/>
    </row>
    <row r="22" spans="1:7" ht="15">
      <c r="A22" s="444" t="s">
        <v>899</v>
      </c>
      <c r="B22" s="445"/>
      <c r="C22" s="445"/>
      <c r="D22" s="441"/>
      <c r="E22" s="441"/>
      <c r="F22" s="441"/>
      <c r="G22" s="441"/>
    </row>
    <row r="23" spans="1:7" ht="15">
      <c r="A23" s="441"/>
      <c r="B23" s="441"/>
      <c r="C23" s="441"/>
      <c r="D23" s="441"/>
      <c r="E23" s="441"/>
      <c r="F23" s="441"/>
      <c r="G23" s="441"/>
    </row>
    <row r="24" spans="1:7" ht="15">
      <c r="A24" s="830"/>
      <c r="B24" s="830"/>
      <c r="C24" s="830"/>
      <c r="D24" s="830"/>
      <c r="E24" s="830"/>
      <c r="F24" s="830"/>
      <c r="G24" s="446"/>
    </row>
    <row r="25" spans="1:7" ht="15">
      <c r="A25" s="446"/>
      <c r="B25" s="446"/>
      <c r="C25" s="446"/>
      <c r="D25" s="446"/>
      <c r="E25" s="446"/>
      <c r="F25" s="446"/>
      <c r="G25" s="446"/>
    </row>
    <row r="26" spans="1:7" ht="15">
      <c r="A26" s="447"/>
      <c r="B26" s="406">
        <f>_xlfn.IFERROR(IF(Indice!B6="","2XX2",YEAR(Indice!B6)),"2XX2")</f>
        <v>2021</v>
      </c>
      <c r="C26" s="406">
        <f>+_xlfn.IFERROR(YEAR(Indice!B6-365),"2XX1")</f>
        <v>2020</v>
      </c>
      <c r="D26" s="446"/>
      <c r="E26" s="446"/>
      <c r="F26" s="446"/>
      <c r="G26" s="446"/>
    </row>
    <row r="27" spans="1:7" ht="15">
      <c r="A27" s="448" t="s">
        <v>156</v>
      </c>
      <c r="B27" s="449"/>
      <c r="C27" s="449"/>
      <c r="D27" s="446"/>
      <c r="E27" s="446"/>
      <c r="F27" s="446"/>
      <c r="G27" s="446"/>
    </row>
    <row r="28" spans="1:7" ht="15">
      <c r="A28" s="449" t="s">
        <v>900</v>
      </c>
      <c r="B28" s="449"/>
      <c r="C28" s="449"/>
      <c r="D28" s="446"/>
      <c r="E28" s="446"/>
      <c r="F28" s="446"/>
      <c r="G28" s="446"/>
    </row>
    <row r="29" spans="1:7" ht="15">
      <c r="A29" s="449"/>
      <c r="B29" s="449"/>
      <c r="C29" s="449"/>
      <c r="D29" s="446"/>
      <c r="E29" s="446"/>
      <c r="F29" s="446"/>
      <c r="G29" s="446"/>
    </row>
    <row r="30" spans="1:7" ht="15">
      <c r="A30" s="448" t="s">
        <v>185</v>
      </c>
      <c r="B30" s="449"/>
      <c r="C30" s="449"/>
      <c r="D30" s="446"/>
      <c r="E30" s="446"/>
      <c r="F30" s="446"/>
      <c r="G30" s="446"/>
    </row>
    <row r="31" spans="1:7" ht="15">
      <c r="A31" s="449" t="s">
        <v>901</v>
      </c>
      <c r="B31" s="449"/>
      <c r="C31" s="449"/>
      <c r="D31" s="446"/>
      <c r="E31" s="446"/>
      <c r="F31" s="446"/>
      <c r="G31" s="446"/>
    </row>
    <row r="32" spans="1:7" ht="15">
      <c r="A32" s="449" t="s">
        <v>902</v>
      </c>
      <c r="B32" s="449"/>
      <c r="C32" s="449"/>
      <c r="D32" s="446"/>
      <c r="E32" s="446"/>
      <c r="F32" s="446"/>
      <c r="G32" s="446"/>
    </row>
    <row r="33" spans="1:7" ht="15">
      <c r="A33" s="448" t="s">
        <v>903</v>
      </c>
      <c r="B33" s="449"/>
      <c r="C33" s="449"/>
      <c r="D33" s="446"/>
      <c r="E33" s="446"/>
      <c r="F33" s="446"/>
      <c r="G33" s="446"/>
    </row>
    <row r="34" spans="1:7" ht="15">
      <c r="A34" s="449" t="s">
        <v>904</v>
      </c>
      <c r="B34" s="449"/>
      <c r="C34" s="449"/>
      <c r="D34" s="446"/>
      <c r="E34" s="446"/>
      <c r="F34" s="446"/>
      <c r="G34" s="446"/>
    </row>
    <row r="35" spans="1:7" ht="15">
      <c r="A35" s="446"/>
      <c r="B35" s="446"/>
      <c r="C35" s="446"/>
      <c r="D35" s="446"/>
      <c r="E35" s="446"/>
      <c r="F35" s="446"/>
      <c r="G35" s="446"/>
    </row>
    <row r="36" spans="1:7" ht="15">
      <c r="A36" s="446"/>
      <c r="B36" s="446"/>
      <c r="C36" s="446"/>
      <c r="D36" s="446"/>
      <c r="E36" s="446"/>
      <c r="F36" s="446"/>
      <c r="G36" s="446"/>
    </row>
  </sheetData>
  <sheetProtection/>
  <mergeCells count="2">
    <mergeCell ref="A8:G8"/>
    <mergeCell ref="A24:F24"/>
  </mergeCells>
  <hyperlinks>
    <hyperlink ref="C1" location="Indice!A1" display="Indice"/>
  </hyperlinks>
  <printOptions/>
  <pageMargins left="0.7" right="0.7" top="0.75" bottom="0.75" header="0.3" footer="0.3"/>
  <pageSetup horizontalDpi="600" verticalDpi="600" orientation="portrait" r:id="rId2"/>
  <drawing r:id="rId1"/>
</worksheet>
</file>

<file path=xl/worksheets/sheet46.xml><?xml version="1.0" encoding="utf-8"?>
<worksheet xmlns="http://schemas.openxmlformats.org/spreadsheetml/2006/main" xmlns:r="http://schemas.openxmlformats.org/officeDocument/2006/relationships">
  <dimension ref="A1:C179"/>
  <sheetViews>
    <sheetView zoomScalePageLayoutView="0" workbookViewId="0" topLeftCell="A1">
      <selection activeCell="C1" sqref="C1"/>
    </sheetView>
  </sheetViews>
  <sheetFormatPr defaultColWidth="11.421875" defaultRowHeight="15"/>
  <cols>
    <col min="1" max="1" width="11.421875" style="298" customWidth="1"/>
    <col min="2" max="2" width="66.140625" style="298" bestFit="1" customWidth="1"/>
  </cols>
  <sheetData>
    <row r="1" spans="1:3" ht="15">
      <c r="A1" s="298" t="s">
        <v>435</v>
      </c>
      <c r="B1" s="298" t="s">
        <v>759</v>
      </c>
      <c r="C1" s="149" t="s">
        <v>910</v>
      </c>
    </row>
    <row r="2" spans="1:2" ht="15">
      <c r="A2" s="298" t="s">
        <v>434</v>
      </c>
      <c r="B2" s="298" t="s">
        <v>625</v>
      </c>
    </row>
    <row r="3" spans="1:2" ht="15">
      <c r="A3" s="298" t="s">
        <v>527</v>
      </c>
      <c r="B3" s="298" t="s">
        <v>691</v>
      </c>
    </row>
    <row r="4" spans="1:2" ht="15">
      <c r="A4" s="298" t="s">
        <v>483</v>
      </c>
      <c r="B4" s="298" t="s">
        <v>484</v>
      </c>
    </row>
    <row r="5" spans="1:2" ht="15">
      <c r="A5" s="298" t="s">
        <v>485</v>
      </c>
      <c r="B5" s="298" t="s">
        <v>639</v>
      </c>
    </row>
    <row r="6" spans="1:2" ht="15">
      <c r="A6" s="298" t="s">
        <v>486</v>
      </c>
      <c r="B6" s="298" t="s">
        <v>640</v>
      </c>
    </row>
    <row r="7" spans="1:2" ht="15">
      <c r="A7" s="298" t="s">
        <v>487</v>
      </c>
      <c r="B7" s="298" t="s">
        <v>641</v>
      </c>
    </row>
    <row r="8" spans="1:2" ht="15">
      <c r="A8" s="298" t="s">
        <v>488</v>
      </c>
      <c r="B8" s="298" t="s">
        <v>642</v>
      </c>
    </row>
    <row r="9" spans="1:2" ht="15">
      <c r="A9" s="298" t="s">
        <v>489</v>
      </c>
      <c r="B9" s="298" t="s">
        <v>643</v>
      </c>
    </row>
    <row r="10" spans="1:2" ht="15">
      <c r="A10" s="298" t="s">
        <v>490</v>
      </c>
      <c r="B10" s="298" t="s">
        <v>644</v>
      </c>
    </row>
    <row r="11" spans="1:2" ht="15">
      <c r="A11" s="298" t="s">
        <v>491</v>
      </c>
      <c r="B11" s="298" t="s">
        <v>645</v>
      </c>
    </row>
    <row r="12" spans="1:2" ht="15">
      <c r="A12" s="298" t="s">
        <v>492</v>
      </c>
      <c r="B12" s="298" t="s">
        <v>646</v>
      </c>
    </row>
    <row r="13" spans="1:2" ht="15">
      <c r="A13" s="298" t="s">
        <v>493</v>
      </c>
      <c r="B13" s="298" t="s">
        <v>647</v>
      </c>
    </row>
    <row r="14" spans="1:2" ht="15">
      <c r="A14" s="298" t="s">
        <v>494</v>
      </c>
      <c r="B14" s="298" t="s">
        <v>648</v>
      </c>
    </row>
    <row r="15" spans="1:2" ht="15">
      <c r="A15" s="298" t="s">
        <v>495</v>
      </c>
      <c r="B15" s="298" t="s">
        <v>649</v>
      </c>
    </row>
    <row r="16" spans="1:2" ht="15">
      <c r="A16" s="298" t="s">
        <v>496</v>
      </c>
      <c r="B16" s="298" t="s">
        <v>650</v>
      </c>
    </row>
    <row r="17" spans="1:2" ht="15">
      <c r="A17" s="298" t="s">
        <v>497</v>
      </c>
      <c r="B17" s="298" t="s">
        <v>651</v>
      </c>
    </row>
    <row r="18" spans="1:2" ht="15">
      <c r="A18" s="298" t="s">
        <v>498</v>
      </c>
      <c r="B18" s="298" t="s">
        <v>652</v>
      </c>
    </row>
    <row r="19" spans="1:2" ht="15">
      <c r="A19" s="298" t="s">
        <v>499</v>
      </c>
      <c r="B19" s="298" t="s">
        <v>653</v>
      </c>
    </row>
    <row r="20" spans="1:2" ht="15">
      <c r="A20" s="298" t="s">
        <v>500</v>
      </c>
      <c r="B20" s="298" t="s">
        <v>654</v>
      </c>
    </row>
    <row r="21" spans="1:2" ht="15">
      <c r="A21" s="298" t="s">
        <v>501</v>
      </c>
      <c r="B21" s="298" t="s">
        <v>655</v>
      </c>
    </row>
    <row r="22" spans="1:2" ht="15">
      <c r="A22" s="298" t="s">
        <v>502</v>
      </c>
      <c r="B22" s="298" t="s">
        <v>656</v>
      </c>
    </row>
    <row r="23" spans="1:2" ht="15">
      <c r="A23" s="298" t="s">
        <v>657</v>
      </c>
      <c r="B23" s="298" t="s">
        <v>658</v>
      </c>
    </row>
    <row r="24" spans="1:2" ht="15">
      <c r="A24" s="298" t="s">
        <v>503</v>
      </c>
      <c r="B24" s="298" t="s">
        <v>659</v>
      </c>
    </row>
    <row r="25" spans="1:2" ht="15">
      <c r="A25" s="298" t="s">
        <v>504</v>
      </c>
      <c r="B25" s="298" t="s">
        <v>660</v>
      </c>
    </row>
    <row r="26" spans="1:2" ht="15">
      <c r="A26" s="298" t="s">
        <v>505</v>
      </c>
      <c r="B26" s="298" t="s">
        <v>661</v>
      </c>
    </row>
    <row r="27" spans="1:2" ht="15">
      <c r="A27" s="298" t="s">
        <v>506</v>
      </c>
      <c r="B27" s="298" t="s">
        <v>662</v>
      </c>
    </row>
    <row r="28" spans="1:2" ht="15">
      <c r="A28" s="298" t="s">
        <v>507</v>
      </c>
      <c r="B28" s="298" t="s">
        <v>663</v>
      </c>
    </row>
    <row r="29" spans="1:2" ht="15">
      <c r="A29" s="298" t="s">
        <v>508</v>
      </c>
      <c r="B29" s="298" t="s">
        <v>664</v>
      </c>
    </row>
    <row r="30" spans="1:2" ht="15">
      <c r="A30" s="298" t="s">
        <v>509</v>
      </c>
      <c r="B30" s="298" t="s">
        <v>665</v>
      </c>
    </row>
    <row r="31" spans="1:2" ht="15">
      <c r="A31" s="298" t="s">
        <v>510</v>
      </c>
      <c r="B31" s="298" t="s">
        <v>666</v>
      </c>
    </row>
    <row r="32" spans="1:2" ht="15">
      <c r="A32" s="298" t="s">
        <v>667</v>
      </c>
      <c r="B32" s="298" t="s">
        <v>668</v>
      </c>
    </row>
    <row r="33" spans="1:2" ht="15">
      <c r="A33" s="298" t="s">
        <v>511</v>
      </c>
      <c r="B33" s="298" t="s">
        <v>669</v>
      </c>
    </row>
    <row r="34" spans="1:2" ht="15">
      <c r="A34" s="298" t="s">
        <v>670</v>
      </c>
      <c r="B34" s="298" t="s">
        <v>671</v>
      </c>
    </row>
    <row r="35" spans="1:2" ht="15">
      <c r="A35" s="298" t="s">
        <v>672</v>
      </c>
      <c r="B35" s="298" t="s">
        <v>673</v>
      </c>
    </row>
    <row r="36" spans="1:2" ht="15">
      <c r="A36" s="298" t="s">
        <v>512</v>
      </c>
      <c r="B36" s="298" t="s">
        <v>674</v>
      </c>
    </row>
    <row r="37" spans="1:2" ht="15">
      <c r="A37" s="298" t="s">
        <v>513</v>
      </c>
      <c r="B37" s="298" t="s">
        <v>675</v>
      </c>
    </row>
    <row r="38" spans="1:2" ht="15">
      <c r="A38" s="298" t="s">
        <v>514</v>
      </c>
      <c r="B38" s="298" t="s">
        <v>676</v>
      </c>
    </row>
    <row r="39" spans="1:2" ht="15">
      <c r="A39" s="298" t="s">
        <v>677</v>
      </c>
      <c r="B39" s="298" t="s">
        <v>678</v>
      </c>
    </row>
    <row r="40" spans="1:2" ht="15">
      <c r="A40" s="298" t="s">
        <v>515</v>
      </c>
      <c r="B40" s="298" t="s">
        <v>679</v>
      </c>
    </row>
    <row r="41" spans="1:2" ht="15">
      <c r="A41" s="298" t="s">
        <v>516</v>
      </c>
      <c r="B41" s="298" t="s">
        <v>680</v>
      </c>
    </row>
    <row r="42" spans="1:2" ht="15">
      <c r="A42" s="298" t="s">
        <v>517</v>
      </c>
      <c r="B42" s="298" t="s">
        <v>681</v>
      </c>
    </row>
    <row r="43" spans="1:2" ht="15">
      <c r="A43" s="298" t="s">
        <v>518</v>
      </c>
      <c r="B43" s="298" t="s">
        <v>682</v>
      </c>
    </row>
    <row r="44" spans="1:2" ht="15">
      <c r="A44" s="298" t="s">
        <v>519</v>
      </c>
      <c r="B44" s="298" t="s">
        <v>683</v>
      </c>
    </row>
    <row r="45" spans="1:2" ht="15">
      <c r="A45" s="298" t="s">
        <v>520</v>
      </c>
      <c r="B45" s="298" t="s">
        <v>684</v>
      </c>
    </row>
    <row r="46" spans="1:2" ht="15">
      <c r="A46" s="298" t="s">
        <v>521</v>
      </c>
      <c r="B46" s="298" t="s">
        <v>685</v>
      </c>
    </row>
    <row r="47" spans="1:2" ht="15">
      <c r="A47" s="298" t="s">
        <v>522</v>
      </c>
      <c r="B47" s="298" t="s">
        <v>686</v>
      </c>
    </row>
    <row r="48" spans="1:2" ht="15">
      <c r="A48" s="298" t="s">
        <v>523</v>
      </c>
      <c r="B48" s="298" t="s">
        <v>687</v>
      </c>
    </row>
    <row r="49" spans="1:2" ht="15">
      <c r="A49" s="298" t="s">
        <v>524</v>
      </c>
      <c r="B49" s="298" t="s">
        <v>688</v>
      </c>
    </row>
    <row r="50" spans="1:2" ht="15">
      <c r="A50" s="298" t="s">
        <v>525</v>
      </c>
      <c r="B50" s="298" t="s">
        <v>689</v>
      </c>
    </row>
    <row r="51" spans="1:2" ht="15">
      <c r="A51" s="298" t="s">
        <v>526</v>
      </c>
      <c r="B51" s="298" t="s">
        <v>690</v>
      </c>
    </row>
    <row r="52" spans="1:2" ht="15">
      <c r="A52" s="298" t="s">
        <v>528</v>
      </c>
      <c r="B52" s="298" t="s">
        <v>692</v>
      </c>
    </row>
    <row r="53" spans="1:2" ht="15">
      <c r="A53" s="298" t="s">
        <v>529</v>
      </c>
      <c r="B53" s="298" t="s">
        <v>693</v>
      </c>
    </row>
    <row r="54" spans="1:2" ht="15">
      <c r="A54" s="298" t="s">
        <v>530</v>
      </c>
      <c r="B54" s="298" t="s">
        <v>694</v>
      </c>
    </row>
    <row r="55" spans="1:2" ht="15">
      <c r="A55" s="298" t="s">
        <v>531</v>
      </c>
      <c r="B55" s="298" t="s">
        <v>695</v>
      </c>
    </row>
    <row r="56" spans="1:2" ht="15">
      <c r="A56" s="298" t="s">
        <v>532</v>
      </c>
      <c r="B56" s="298" t="s">
        <v>696</v>
      </c>
    </row>
    <row r="57" spans="1:2" ht="15">
      <c r="A57" s="298" t="s">
        <v>533</v>
      </c>
      <c r="B57" s="298" t="s">
        <v>697</v>
      </c>
    </row>
    <row r="58" spans="1:2" ht="15">
      <c r="A58" s="298" t="s">
        <v>534</v>
      </c>
      <c r="B58" s="298" t="s">
        <v>698</v>
      </c>
    </row>
    <row r="59" spans="1:2" ht="15">
      <c r="A59" s="298" t="s">
        <v>535</v>
      </c>
      <c r="B59" s="298" t="s">
        <v>699</v>
      </c>
    </row>
    <row r="60" spans="1:2" ht="15">
      <c r="A60" s="298" t="s">
        <v>536</v>
      </c>
      <c r="B60" s="298" t="s">
        <v>700</v>
      </c>
    </row>
    <row r="61" spans="1:2" ht="15">
      <c r="A61" s="298" t="s">
        <v>537</v>
      </c>
      <c r="B61" s="298" t="s">
        <v>701</v>
      </c>
    </row>
    <row r="62" spans="1:2" ht="15">
      <c r="A62" s="298" t="s">
        <v>538</v>
      </c>
      <c r="B62" s="298" t="s">
        <v>702</v>
      </c>
    </row>
    <row r="63" spans="1:2" ht="15">
      <c r="A63" s="298" t="s">
        <v>539</v>
      </c>
      <c r="B63" s="298" t="s">
        <v>703</v>
      </c>
    </row>
    <row r="64" spans="1:2" ht="15">
      <c r="A64" s="298" t="s">
        <v>540</v>
      </c>
      <c r="B64" s="298" t="s">
        <v>704</v>
      </c>
    </row>
    <row r="65" spans="1:2" ht="15">
      <c r="A65" s="298" t="s">
        <v>541</v>
      </c>
      <c r="B65" s="298" t="s">
        <v>705</v>
      </c>
    </row>
    <row r="66" spans="1:2" ht="15">
      <c r="A66" s="298" t="s">
        <v>542</v>
      </c>
      <c r="B66" s="298" t="s">
        <v>706</v>
      </c>
    </row>
    <row r="67" spans="1:2" ht="15">
      <c r="A67" s="298" t="s">
        <v>543</v>
      </c>
      <c r="B67" s="298" t="s">
        <v>707</v>
      </c>
    </row>
    <row r="68" spans="1:2" ht="15">
      <c r="A68" s="298" t="s">
        <v>544</v>
      </c>
      <c r="B68" s="298" t="s">
        <v>708</v>
      </c>
    </row>
    <row r="69" spans="1:2" ht="15">
      <c r="A69" s="298" t="s">
        <v>545</v>
      </c>
      <c r="B69" s="298" t="s">
        <v>709</v>
      </c>
    </row>
    <row r="70" spans="1:2" ht="15">
      <c r="A70" s="298" t="s">
        <v>546</v>
      </c>
      <c r="B70" s="298" t="s">
        <v>710</v>
      </c>
    </row>
    <row r="71" spans="1:2" ht="15">
      <c r="A71" s="298" t="s">
        <v>547</v>
      </c>
      <c r="B71" s="298" t="s">
        <v>711</v>
      </c>
    </row>
    <row r="72" spans="1:2" ht="15">
      <c r="A72" s="298" t="s">
        <v>548</v>
      </c>
      <c r="B72" s="298" t="s">
        <v>712</v>
      </c>
    </row>
    <row r="73" spans="1:2" ht="15">
      <c r="A73" s="298" t="s">
        <v>549</v>
      </c>
      <c r="B73" s="298" t="s">
        <v>713</v>
      </c>
    </row>
    <row r="74" spans="1:2" ht="15">
      <c r="A74" s="298" t="s">
        <v>550</v>
      </c>
      <c r="B74" s="298" t="s">
        <v>714</v>
      </c>
    </row>
    <row r="75" spans="1:2" ht="15">
      <c r="A75" s="298" t="s">
        <v>551</v>
      </c>
      <c r="B75" s="298" t="s">
        <v>715</v>
      </c>
    </row>
    <row r="76" spans="1:2" ht="15">
      <c r="A76" s="298" t="s">
        <v>552</v>
      </c>
      <c r="B76" s="298" t="s">
        <v>716</v>
      </c>
    </row>
    <row r="77" spans="1:2" ht="15">
      <c r="A77" s="298" t="s">
        <v>553</v>
      </c>
      <c r="B77" s="298" t="s">
        <v>717</v>
      </c>
    </row>
    <row r="78" spans="1:2" ht="15">
      <c r="A78" s="298" t="s">
        <v>554</v>
      </c>
      <c r="B78" s="298" t="s">
        <v>718</v>
      </c>
    </row>
    <row r="79" spans="1:2" ht="15">
      <c r="A79" s="298" t="s">
        <v>555</v>
      </c>
      <c r="B79" s="298" t="s">
        <v>719</v>
      </c>
    </row>
    <row r="80" spans="1:2" ht="15">
      <c r="A80" s="298" t="s">
        <v>556</v>
      </c>
      <c r="B80" s="298" t="s">
        <v>720</v>
      </c>
    </row>
    <row r="81" spans="1:2" ht="15">
      <c r="A81" s="298" t="s">
        <v>557</v>
      </c>
      <c r="B81" s="298" t="s">
        <v>721</v>
      </c>
    </row>
    <row r="82" spans="1:2" ht="15">
      <c r="A82" s="298" t="s">
        <v>558</v>
      </c>
      <c r="B82" s="298" t="s">
        <v>722</v>
      </c>
    </row>
    <row r="83" spans="1:2" ht="15">
      <c r="A83" s="298" t="s">
        <v>559</v>
      </c>
      <c r="B83" s="298" t="s">
        <v>723</v>
      </c>
    </row>
    <row r="84" spans="1:2" ht="15">
      <c r="A84" s="298" t="s">
        <v>560</v>
      </c>
      <c r="B84" s="298" t="s">
        <v>724</v>
      </c>
    </row>
    <row r="85" spans="1:2" ht="15">
      <c r="A85" s="298" t="s">
        <v>561</v>
      </c>
      <c r="B85" s="298" t="s">
        <v>725</v>
      </c>
    </row>
    <row r="86" spans="1:2" ht="15">
      <c r="A86" s="298" t="s">
        <v>562</v>
      </c>
      <c r="B86" s="298" t="s">
        <v>726</v>
      </c>
    </row>
    <row r="87" spans="1:2" ht="15">
      <c r="A87" s="298" t="s">
        <v>563</v>
      </c>
      <c r="B87" s="298" t="s">
        <v>727</v>
      </c>
    </row>
    <row r="88" spans="1:2" ht="15">
      <c r="A88" s="298" t="s">
        <v>564</v>
      </c>
      <c r="B88" s="298" t="s">
        <v>728</v>
      </c>
    </row>
    <row r="89" spans="1:2" ht="15">
      <c r="A89" s="298" t="s">
        <v>565</v>
      </c>
      <c r="B89" s="298" t="s">
        <v>729</v>
      </c>
    </row>
    <row r="90" spans="1:2" ht="15">
      <c r="A90" s="298" t="s">
        <v>566</v>
      </c>
      <c r="B90" s="298" t="s">
        <v>730</v>
      </c>
    </row>
    <row r="91" spans="1:2" ht="15">
      <c r="A91" s="298" t="s">
        <v>567</v>
      </c>
      <c r="B91" s="298" t="s">
        <v>731</v>
      </c>
    </row>
    <row r="92" spans="1:2" ht="15">
      <c r="A92" s="298" t="s">
        <v>568</v>
      </c>
      <c r="B92" s="298" t="s">
        <v>732</v>
      </c>
    </row>
    <row r="93" spans="1:2" ht="15">
      <c r="A93" s="298" t="s">
        <v>569</v>
      </c>
      <c r="B93" s="298" t="s">
        <v>733</v>
      </c>
    </row>
    <row r="94" spans="1:2" ht="15">
      <c r="A94" s="298" t="s">
        <v>570</v>
      </c>
      <c r="B94" s="298" t="s">
        <v>734</v>
      </c>
    </row>
    <row r="95" spans="1:2" ht="15">
      <c r="A95" s="298" t="s">
        <v>571</v>
      </c>
      <c r="B95" s="298" t="s">
        <v>735</v>
      </c>
    </row>
    <row r="96" spans="1:2" ht="15">
      <c r="A96" s="298" t="s">
        <v>572</v>
      </c>
      <c r="B96" s="298" t="s">
        <v>736</v>
      </c>
    </row>
    <row r="97" spans="1:2" ht="15">
      <c r="A97" s="298" t="s">
        <v>573</v>
      </c>
      <c r="B97" s="298" t="s">
        <v>737</v>
      </c>
    </row>
    <row r="98" spans="1:2" ht="15">
      <c r="A98" s="298" t="s">
        <v>574</v>
      </c>
      <c r="B98" s="298" t="s">
        <v>738</v>
      </c>
    </row>
    <row r="99" spans="1:2" ht="15">
      <c r="A99" s="298" t="s">
        <v>575</v>
      </c>
      <c r="B99" s="298" t="s">
        <v>739</v>
      </c>
    </row>
    <row r="100" spans="1:2" ht="15">
      <c r="A100" s="298" t="s">
        <v>576</v>
      </c>
      <c r="B100" s="298" t="s">
        <v>740</v>
      </c>
    </row>
    <row r="101" spans="1:2" ht="15">
      <c r="A101" s="298" t="s">
        <v>577</v>
      </c>
      <c r="B101" s="298" t="s">
        <v>741</v>
      </c>
    </row>
    <row r="102" spans="1:2" ht="15">
      <c r="A102" s="298" t="s">
        <v>578</v>
      </c>
      <c r="B102" s="298" t="s">
        <v>742</v>
      </c>
    </row>
    <row r="103" spans="1:2" ht="15">
      <c r="A103" s="298" t="s">
        <v>743</v>
      </c>
      <c r="B103" s="298" t="s">
        <v>744</v>
      </c>
    </row>
    <row r="104" spans="1:2" ht="15">
      <c r="A104" s="298" t="s">
        <v>579</v>
      </c>
      <c r="B104" s="298" t="s">
        <v>745</v>
      </c>
    </row>
    <row r="105" spans="1:2" ht="15">
      <c r="A105" s="298" t="s">
        <v>580</v>
      </c>
      <c r="B105" s="298" t="s">
        <v>746</v>
      </c>
    </row>
    <row r="106" spans="1:2" ht="15">
      <c r="A106" s="298" t="s">
        <v>581</v>
      </c>
      <c r="B106" s="298" t="s">
        <v>747</v>
      </c>
    </row>
    <row r="107" spans="1:2" ht="15">
      <c r="A107" s="298" t="s">
        <v>582</v>
      </c>
      <c r="B107" s="298" t="s">
        <v>748</v>
      </c>
    </row>
    <row r="108" spans="1:2" ht="15">
      <c r="A108" s="298" t="s">
        <v>583</v>
      </c>
      <c r="B108" s="298" t="s">
        <v>749</v>
      </c>
    </row>
    <row r="109" spans="1:2" ht="15">
      <c r="A109" s="298" t="s">
        <v>584</v>
      </c>
      <c r="B109" s="298" t="s">
        <v>750</v>
      </c>
    </row>
    <row r="110" spans="1:2" ht="15">
      <c r="A110" s="298" t="s">
        <v>585</v>
      </c>
      <c r="B110" s="298" t="s">
        <v>751</v>
      </c>
    </row>
    <row r="111" spans="1:2" ht="15">
      <c r="A111" s="298" t="s">
        <v>586</v>
      </c>
      <c r="B111" s="298" t="s">
        <v>587</v>
      </c>
    </row>
    <row r="112" spans="1:2" ht="15">
      <c r="A112" s="298" t="s">
        <v>588</v>
      </c>
      <c r="B112" s="298" t="s">
        <v>752</v>
      </c>
    </row>
    <row r="113" spans="1:2" ht="15">
      <c r="A113" s="298" t="s">
        <v>589</v>
      </c>
      <c r="B113" s="298" t="s">
        <v>753</v>
      </c>
    </row>
    <row r="114" spans="1:2" ht="15">
      <c r="A114" s="298" t="s">
        <v>590</v>
      </c>
      <c r="B114" s="298" t="s">
        <v>754</v>
      </c>
    </row>
    <row r="115" spans="1:2" ht="15">
      <c r="A115" s="298" t="s">
        <v>591</v>
      </c>
      <c r="B115" s="298" t="s">
        <v>755</v>
      </c>
    </row>
    <row r="116" spans="1:2" ht="15">
      <c r="A116" s="298" t="s">
        <v>592</v>
      </c>
      <c r="B116" s="298" t="s">
        <v>756</v>
      </c>
    </row>
    <row r="117" spans="1:2" ht="15">
      <c r="A117" s="298" t="s">
        <v>593</v>
      </c>
      <c r="B117" s="298" t="s">
        <v>757</v>
      </c>
    </row>
    <row r="118" spans="1:2" ht="15">
      <c r="A118" s="298" t="s">
        <v>594</v>
      </c>
      <c r="B118" s="298" t="s">
        <v>758</v>
      </c>
    </row>
    <row r="119" spans="1:2" ht="15">
      <c r="A119" s="298" t="s">
        <v>595</v>
      </c>
      <c r="B119" s="298" t="s">
        <v>760</v>
      </c>
    </row>
    <row r="120" spans="1:2" ht="15">
      <c r="A120" s="298" t="s">
        <v>596</v>
      </c>
      <c r="B120" s="298" t="s">
        <v>761</v>
      </c>
    </row>
    <row r="121" spans="1:2" ht="15">
      <c r="A121" s="298" t="s">
        <v>597</v>
      </c>
      <c r="B121" s="298" t="s">
        <v>762</v>
      </c>
    </row>
    <row r="122" spans="1:2" ht="15">
      <c r="A122" s="298" t="s">
        <v>598</v>
      </c>
      <c r="B122" s="298" t="s">
        <v>763</v>
      </c>
    </row>
    <row r="123" spans="1:2" ht="15">
      <c r="A123" s="298" t="s">
        <v>599</v>
      </c>
      <c r="B123" s="298" t="s">
        <v>764</v>
      </c>
    </row>
    <row r="124" spans="1:2" ht="15">
      <c r="A124" s="298" t="s">
        <v>600</v>
      </c>
      <c r="B124" s="298" t="s">
        <v>765</v>
      </c>
    </row>
    <row r="125" spans="1:2" ht="15">
      <c r="A125" s="298" t="s">
        <v>601</v>
      </c>
      <c r="B125" s="298" t="s">
        <v>766</v>
      </c>
    </row>
    <row r="126" spans="1:2" ht="15">
      <c r="A126" s="298" t="s">
        <v>602</v>
      </c>
      <c r="B126" s="298" t="s">
        <v>767</v>
      </c>
    </row>
    <row r="127" spans="1:2" ht="15">
      <c r="A127" s="298" t="s">
        <v>603</v>
      </c>
      <c r="B127" s="298" t="s">
        <v>768</v>
      </c>
    </row>
    <row r="128" spans="1:2" ht="15">
      <c r="A128" s="298" t="s">
        <v>604</v>
      </c>
      <c r="B128" s="298" t="s">
        <v>769</v>
      </c>
    </row>
    <row r="129" spans="1:2" ht="15">
      <c r="A129" s="298" t="s">
        <v>605</v>
      </c>
      <c r="B129" s="298" t="s">
        <v>770</v>
      </c>
    </row>
    <row r="130" spans="1:2" ht="15">
      <c r="A130" s="298" t="s">
        <v>606</v>
      </c>
      <c r="B130" s="298" t="s">
        <v>771</v>
      </c>
    </row>
    <row r="131" spans="1:2" ht="15">
      <c r="A131" s="298" t="s">
        <v>607</v>
      </c>
      <c r="B131" s="298" t="s">
        <v>772</v>
      </c>
    </row>
    <row r="132" spans="1:2" ht="15">
      <c r="A132" s="298" t="s">
        <v>608</v>
      </c>
      <c r="B132" s="298" t="s">
        <v>773</v>
      </c>
    </row>
    <row r="133" spans="1:2" ht="15">
      <c r="A133" s="298" t="s">
        <v>609</v>
      </c>
      <c r="B133" s="298" t="s">
        <v>774</v>
      </c>
    </row>
    <row r="134" spans="1:2" ht="15">
      <c r="A134" s="298" t="s">
        <v>775</v>
      </c>
      <c r="B134" s="298" t="s">
        <v>776</v>
      </c>
    </row>
    <row r="135" spans="1:2" ht="15">
      <c r="A135" s="298" t="s">
        <v>610</v>
      </c>
      <c r="B135" s="298" t="s">
        <v>777</v>
      </c>
    </row>
    <row r="136" spans="1:2" ht="15">
      <c r="A136" s="298" t="s">
        <v>611</v>
      </c>
      <c r="B136" s="298" t="s">
        <v>778</v>
      </c>
    </row>
    <row r="137" spans="1:2" ht="15">
      <c r="A137" s="298" t="s">
        <v>612</v>
      </c>
      <c r="B137" s="298" t="s">
        <v>779</v>
      </c>
    </row>
    <row r="138" spans="1:2" ht="15">
      <c r="A138" s="298" t="s">
        <v>613</v>
      </c>
      <c r="B138" s="298" t="s">
        <v>780</v>
      </c>
    </row>
    <row r="139" spans="1:2" ht="15">
      <c r="A139" s="298" t="s">
        <v>614</v>
      </c>
      <c r="B139" s="298" t="s">
        <v>781</v>
      </c>
    </row>
    <row r="140" spans="1:2" ht="15">
      <c r="A140" s="298" t="s">
        <v>615</v>
      </c>
      <c r="B140" s="298" t="s">
        <v>782</v>
      </c>
    </row>
    <row r="141" spans="1:2" ht="15">
      <c r="A141" s="298" t="s">
        <v>616</v>
      </c>
      <c r="B141" s="298" t="s">
        <v>783</v>
      </c>
    </row>
    <row r="142" spans="1:2" ht="15">
      <c r="A142" s="298" t="s">
        <v>617</v>
      </c>
      <c r="B142" s="298" t="s">
        <v>784</v>
      </c>
    </row>
    <row r="143" spans="1:2" ht="15">
      <c r="A143" s="298" t="s">
        <v>618</v>
      </c>
      <c r="B143" s="298" t="s">
        <v>785</v>
      </c>
    </row>
    <row r="144" spans="1:2" ht="15">
      <c r="A144" s="298" t="s">
        <v>619</v>
      </c>
      <c r="B144" s="298" t="s">
        <v>786</v>
      </c>
    </row>
    <row r="145" spans="1:2" ht="15">
      <c r="A145" s="298" t="s">
        <v>620</v>
      </c>
      <c r="B145" s="298" t="s">
        <v>787</v>
      </c>
    </row>
    <row r="146" spans="1:2" ht="15">
      <c r="A146" s="298" t="s">
        <v>621</v>
      </c>
      <c r="B146" s="298" t="s">
        <v>788</v>
      </c>
    </row>
    <row r="147" spans="1:2" ht="15">
      <c r="A147" s="298" t="s">
        <v>622</v>
      </c>
      <c r="B147" s="298" t="s">
        <v>789</v>
      </c>
    </row>
    <row r="148" spans="1:2" ht="15">
      <c r="A148" s="298" t="s">
        <v>623</v>
      </c>
      <c r="B148" s="298" t="s">
        <v>790</v>
      </c>
    </row>
    <row r="149" spans="1:2" ht="15">
      <c r="A149" s="298" t="s">
        <v>624</v>
      </c>
      <c r="B149" s="298" t="s">
        <v>791</v>
      </c>
    </row>
    <row r="150" spans="1:2" ht="15">
      <c r="A150" s="298" t="s">
        <v>792</v>
      </c>
      <c r="B150" s="298" t="s">
        <v>793</v>
      </c>
    </row>
    <row r="151" spans="1:2" ht="15">
      <c r="A151" s="298" t="s">
        <v>794</v>
      </c>
      <c r="B151" s="298" t="s">
        <v>795</v>
      </c>
    </row>
    <row r="152" spans="1:2" ht="15">
      <c r="A152" s="298" t="s">
        <v>626</v>
      </c>
      <c r="B152" s="298" t="s">
        <v>796</v>
      </c>
    </row>
    <row r="153" spans="1:2" ht="15">
      <c r="A153" s="298" t="s">
        <v>797</v>
      </c>
      <c r="B153" s="298" t="s">
        <v>798</v>
      </c>
    </row>
    <row r="154" spans="1:2" ht="15">
      <c r="A154" s="298" t="s">
        <v>627</v>
      </c>
      <c r="B154" s="298" t="s">
        <v>799</v>
      </c>
    </row>
    <row r="155" spans="1:2" ht="15">
      <c r="A155" s="298" t="s">
        <v>800</v>
      </c>
      <c r="B155" s="298" t="s">
        <v>801</v>
      </c>
    </row>
    <row r="156" spans="1:2" ht="15">
      <c r="A156" s="298" t="s">
        <v>628</v>
      </c>
      <c r="B156" s="298" t="s">
        <v>802</v>
      </c>
    </row>
    <row r="157" spans="1:2" ht="15">
      <c r="A157" s="298" t="s">
        <v>629</v>
      </c>
      <c r="B157" s="298" t="s">
        <v>803</v>
      </c>
    </row>
    <row r="158" spans="1:2" ht="15">
      <c r="A158" s="298" t="s">
        <v>630</v>
      </c>
      <c r="B158" s="298" t="s">
        <v>804</v>
      </c>
    </row>
    <row r="159" spans="1:2" ht="15">
      <c r="A159" s="298" t="s">
        <v>631</v>
      </c>
      <c r="B159" s="298" t="s">
        <v>805</v>
      </c>
    </row>
    <row r="160" spans="1:2" ht="15">
      <c r="A160" s="298" t="s">
        <v>806</v>
      </c>
      <c r="B160" s="298" t="s">
        <v>807</v>
      </c>
    </row>
    <row r="161" spans="1:2" ht="15">
      <c r="A161" s="298" t="s">
        <v>808</v>
      </c>
      <c r="B161" s="298" t="s">
        <v>809</v>
      </c>
    </row>
    <row r="162" spans="1:2" ht="15">
      <c r="A162" s="298" t="s">
        <v>810</v>
      </c>
      <c r="B162" s="298" t="s">
        <v>811</v>
      </c>
    </row>
    <row r="163" spans="1:2" ht="15">
      <c r="A163" s="298" t="s">
        <v>812</v>
      </c>
      <c r="B163" s="298" t="s">
        <v>813</v>
      </c>
    </row>
    <row r="164" spans="1:2" ht="15">
      <c r="A164" s="298" t="s">
        <v>814</v>
      </c>
      <c r="B164" s="298" t="s">
        <v>815</v>
      </c>
    </row>
    <row r="165" spans="1:2" ht="15">
      <c r="A165" s="298" t="s">
        <v>816</v>
      </c>
      <c r="B165" s="298" t="s">
        <v>817</v>
      </c>
    </row>
    <row r="166" spans="1:2" ht="15">
      <c r="A166" s="298" t="s">
        <v>632</v>
      </c>
      <c r="B166" s="298" t="s">
        <v>818</v>
      </c>
    </row>
    <row r="167" spans="1:2" ht="15">
      <c r="A167" s="298" t="s">
        <v>633</v>
      </c>
      <c r="B167" s="298" t="s">
        <v>819</v>
      </c>
    </row>
    <row r="168" spans="1:2" ht="15">
      <c r="A168" s="298" t="s">
        <v>634</v>
      </c>
      <c r="B168" s="298" t="s">
        <v>820</v>
      </c>
    </row>
    <row r="169" spans="1:2" ht="15">
      <c r="A169" s="298" t="s">
        <v>821</v>
      </c>
      <c r="B169" s="298" t="s">
        <v>822</v>
      </c>
    </row>
    <row r="170" spans="1:2" ht="15">
      <c r="A170" s="298" t="s">
        <v>635</v>
      </c>
      <c r="B170" s="298" t="s">
        <v>823</v>
      </c>
    </row>
    <row r="171" spans="1:2" ht="15">
      <c r="A171" s="298" t="s">
        <v>824</v>
      </c>
      <c r="B171" s="298" t="s">
        <v>825</v>
      </c>
    </row>
    <row r="172" spans="1:2" ht="15">
      <c r="A172" s="298" t="s">
        <v>826</v>
      </c>
      <c r="B172" s="298" t="s">
        <v>827</v>
      </c>
    </row>
    <row r="173" spans="1:2" ht="15">
      <c r="A173" s="298" t="s">
        <v>828</v>
      </c>
      <c r="B173" s="298" t="s">
        <v>829</v>
      </c>
    </row>
    <row r="174" spans="1:2" ht="15">
      <c r="A174" s="298" t="s">
        <v>830</v>
      </c>
      <c r="B174" s="298" t="s">
        <v>831</v>
      </c>
    </row>
    <row r="175" spans="1:2" ht="15">
      <c r="A175" s="298" t="s">
        <v>832</v>
      </c>
      <c r="B175" s="298" t="s">
        <v>833</v>
      </c>
    </row>
    <row r="176" spans="1:2" ht="15">
      <c r="A176" s="298" t="s">
        <v>636</v>
      </c>
      <c r="B176" s="298" t="s">
        <v>834</v>
      </c>
    </row>
    <row r="177" spans="1:2" ht="15">
      <c r="A177" s="298" t="s">
        <v>637</v>
      </c>
      <c r="B177" s="298" t="s">
        <v>835</v>
      </c>
    </row>
    <row r="178" spans="1:2" ht="15">
      <c r="A178" s="298" t="s">
        <v>638</v>
      </c>
      <c r="B178" s="298" t="s">
        <v>836</v>
      </c>
    </row>
    <row r="179" spans="1:2" ht="15">
      <c r="A179" s="298" t="s">
        <v>837</v>
      </c>
      <c r="B179" s="298" t="s">
        <v>838</v>
      </c>
    </row>
  </sheetData>
  <sheetProtection/>
  <hyperlinks>
    <hyperlink ref="C1" location="Indice!A1" display="Índice"/>
  </hyperlink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D44"/>
  <sheetViews>
    <sheetView zoomScalePageLayoutView="0" workbookViewId="0" topLeftCell="A31">
      <selection activeCell="H6" sqref="H6"/>
    </sheetView>
  </sheetViews>
  <sheetFormatPr defaultColWidth="11.421875" defaultRowHeight="15"/>
  <cols>
    <col min="1" max="1" width="85.00390625" style="552" bestFit="1" customWidth="1"/>
    <col min="2" max="2" width="12.8515625" style="552" bestFit="1" customWidth="1"/>
    <col min="3" max="3" width="12.8515625" style="552" customWidth="1"/>
    <col min="4" max="16384" width="11.421875" style="552" customWidth="1"/>
  </cols>
  <sheetData>
    <row r="1" spans="1:4" ht="15">
      <c r="A1" s="11"/>
      <c r="B1" s="11"/>
      <c r="C1" s="11"/>
      <c r="D1" s="11"/>
    </row>
    <row r="2" spans="1:4" ht="15">
      <c r="A2" s="13" t="s">
        <v>1074</v>
      </c>
      <c r="B2" s="11"/>
      <c r="C2" s="11"/>
      <c r="D2" s="11"/>
    </row>
    <row r="3" spans="1:4" ht="15">
      <c r="A3" s="384" t="s">
        <v>882</v>
      </c>
      <c r="B3" s="385">
        <v>44286</v>
      </c>
      <c r="C3" s="578"/>
      <c r="D3" s="398"/>
    </row>
    <row r="4" spans="1:4" ht="51">
      <c r="A4" s="383" t="s">
        <v>293</v>
      </c>
      <c r="B4" s="114" t="s">
        <v>885</v>
      </c>
      <c r="C4" s="114" t="s">
        <v>1075</v>
      </c>
      <c r="D4" s="114" t="s">
        <v>889</v>
      </c>
    </row>
    <row r="5" spans="1:4" ht="15">
      <c r="A5" s="10" t="s">
        <v>8</v>
      </c>
      <c r="B5" s="389">
        <v>306009353.778</v>
      </c>
      <c r="C5" s="579">
        <f>+B5*D5</f>
        <v>167128931.22262448</v>
      </c>
      <c r="D5" s="575">
        <v>0.546156283</v>
      </c>
    </row>
    <row r="6" spans="1:4" ht="15">
      <c r="A6" s="253" t="s">
        <v>12</v>
      </c>
      <c r="B6" s="249">
        <v>231093484.13099998</v>
      </c>
      <c r="C6" s="580"/>
      <c r="D6" s="396"/>
    </row>
    <row r="7" spans="1:4" ht="15">
      <c r="A7" s="397" t="s">
        <v>102</v>
      </c>
      <c r="B7" s="249"/>
      <c r="C7" s="580"/>
      <c r="D7" s="396"/>
    </row>
    <row r="8" spans="1:4" ht="15">
      <c r="A8" s="251" t="s">
        <v>9</v>
      </c>
      <c r="B8" s="249">
        <v>101320280.241</v>
      </c>
      <c r="C8" s="580">
        <f>+B8*D8</f>
        <v>1013202.80241</v>
      </c>
      <c r="D8" s="396">
        <v>0.01</v>
      </c>
    </row>
    <row r="9" spans="1:4" ht="15">
      <c r="A9" s="251" t="s">
        <v>10</v>
      </c>
      <c r="B9" s="249">
        <v>39512133.958</v>
      </c>
      <c r="C9" s="580">
        <f>+B9*D9</f>
        <v>1975606.6979</v>
      </c>
      <c r="D9" s="396">
        <v>0.05</v>
      </c>
    </row>
    <row r="10" spans="1:4" ht="15">
      <c r="A10" s="251" t="s">
        <v>11</v>
      </c>
      <c r="B10" s="249">
        <v>90261069.932</v>
      </c>
      <c r="C10" s="580">
        <f>+B10*D10</f>
        <v>18052213.9864</v>
      </c>
      <c r="D10" s="396">
        <v>0.2</v>
      </c>
    </row>
    <row r="11" spans="1:4" ht="15">
      <c r="A11" s="10"/>
      <c r="B11" s="130"/>
      <c r="C11" s="130"/>
      <c r="D11" s="390"/>
    </row>
    <row r="12" spans="1:4" ht="15">
      <c r="A12" s="391" t="s">
        <v>883</v>
      </c>
      <c r="B12" s="7">
        <f>B5+B6</f>
        <v>537102837.9089999</v>
      </c>
      <c r="C12" s="392">
        <f>SUM(C5:C10)</f>
        <v>188169954.7093345</v>
      </c>
      <c r="D12" s="392"/>
    </row>
    <row r="13" spans="1:4" ht="15">
      <c r="A13" s="10"/>
      <c r="B13" s="130"/>
      <c r="C13" s="130"/>
      <c r="D13" s="390"/>
    </row>
    <row r="14" spans="1:4" ht="15">
      <c r="A14" s="393" t="s">
        <v>884</v>
      </c>
      <c r="B14" s="8">
        <f>-((B5*D5)+(SUMPRODUCT(B8:B10,D8:D10)))</f>
        <v>-188169954.7093345</v>
      </c>
      <c r="C14" s="581"/>
      <c r="D14" s="115"/>
    </row>
    <row r="15" spans="1:4" ht="15">
      <c r="A15" s="380"/>
      <c r="B15" s="381"/>
      <c r="C15" s="381"/>
      <c r="D15" s="382"/>
    </row>
    <row r="16" spans="1:4" ht="15">
      <c r="A16" s="394" t="s">
        <v>886</v>
      </c>
      <c r="B16" s="395">
        <f>B12+B14</f>
        <v>348932883.1996654</v>
      </c>
      <c r="C16" s="395"/>
      <c r="D16" s="7"/>
    </row>
    <row r="17" spans="1:4" ht="15">
      <c r="A17" s="10"/>
      <c r="B17" s="386"/>
      <c r="C17" s="16"/>
      <c r="D17" s="16"/>
    </row>
    <row r="18" spans="1:4" ht="15">
      <c r="A18" s="6" t="s">
        <v>13</v>
      </c>
      <c r="B18" s="387"/>
      <c r="C18" s="387"/>
      <c r="D18" s="387"/>
    </row>
    <row r="19" spans="1:4" ht="15">
      <c r="A19" s="131" t="s">
        <v>14</v>
      </c>
      <c r="B19" s="388" t="s">
        <v>887</v>
      </c>
      <c r="C19" s="388"/>
      <c r="D19" s="388" t="s">
        <v>888</v>
      </c>
    </row>
    <row r="20" spans="1:4" ht="15">
      <c r="A20" s="10" t="s">
        <v>9</v>
      </c>
      <c r="B20" s="252">
        <v>1</v>
      </c>
      <c r="C20" s="252"/>
      <c r="D20" s="252">
        <v>30</v>
      </c>
    </row>
    <row r="21" spans="1:4" ht="15">
      <c r="A21" s="10" t="s">
        <v>10</v>
      </c>
      <c r="B21" s="252">
        <v>31</v>
      </c>
      <c r="C21" s="252"/>
      <c r="D21" s="252">
        <v>60</v>
      </c>
    </row>
    <row r="22" spans="1:4" ht="15">
      <c r="A22" s="10" t="s">
        <v>11</v>
      </c>
      <c r="B22" s="252">
        <v>61</v>
      </c>
      <c r="C22" s="252"/>
      <c r="D22" s="252">
        <v>10000</v>
      </c>
    </row>
    <row r="23" spans="1:4" ht="15">
      <c r="A23" s="11"/>
      <c r="B23" s="11"/>
      <c r="C23" s="11"/>
      <c r="D23" s="11"/>
    </row>
    <row r="24" spans="1:4" ht="15">
      <c r="A24" s="582" t="s">
        <v>1068</v>
      </c>
      <c r="B24" s="11"/>
      <c r="C24" s="11"/>
      <c r="D24" s="11"/>
    </row>
    <row r="25" spans="1:4" ht="15">
      <c r="A25" s="11"/>
      <c r="B25" s="11"/>
      <c r="C25" s="11"/>
      <c r="D25" s="11"/>
    </row>
    <row r="26" spans="1:4" ht="15">
      <c r="A26" s="576" t="s">
        <v>1069</v>
      </c>
      <c r="B26" s="11"/>
      <c r="C26" s="11"/>
      <c r="D26" s="11"/>
    </row>
    <row r="27" spans="1:4" ht="15">
      <c r="A27" s="576" t="s">
        <v>1070</v>
      </c>
      <c r="B27" s="11"/>
      <c r="C27" s="11"/>
      <c r="D27" s="11"/>
    </row>
    <row r="28" spans="1:4" ht="15">
      <c r="A28" s="11"/>
      <c r="B28" s="11"/>
      <c r="C28" s="11"/>
      <c r="D28" s="11"/>
    </row>
    <row r="29" spans="1:4" ht="15">
      <c r="A29" s="11"/>
      <c r="B29" s="11"/>
      <c r="C29" s="11"/>
      <c r="D29" s="11"/>
    </row>
    <row r="30" spans="1:4" ht="15">
      <c r="A30" s="11"/>
      <c r="B30" s="11"/>
      <c r="C30" s="11"/>
      <c r="D30" s="11"/>
    </row>
    <row r="31" spans="1:4" ht="15">
      <c r="A31" s="11"/>
      <c r="B31" s="11"/>
      <c r="C31" s="11"/>
      <c r="D31" s="11"/>
    </row>
    <row r="32" spans="1:4" ht="15">
      <c r="A32" s="11"/>
      <c r="B32" s="11"/>
      <c r="C32" s="11"/>
      <c r="D32" s="11"/>
    </row>
    <row r="33" spans="1:4" ht="15">
      <c r="A33" s="11"/>
      <c r="B33" s="11"/>
      <c r="C33" s="11"/>
      <c r="D33" s="11"/>
    </row>
    <row r="34" spans="1:4" ht="15">
      <c r="A34" s="11"/>
      <c r="B34" s="11"/>
      <c r="C34" s="11"/>
      <c r="D34" s="11"/>
    </row>
    <row r="35" spans="1:4" ht="15">
      <c r="A35" s="11"/>
      <c r="B35" s="11"/>
      <c r="C35" s="11"/>
      <c r="D35" s="11"/>
    </row>
    <row r="36" spans="1:4" ht="15">
      <c r="A36" s="11"/>
      <c r="B36" s="11"/>
      <c r="C36" s="11"/>
      <c r="D36" s="11"/>
    </row>
    <row r="37" spans="1:4" ht="15">
      <c r="A37" s="11"/>
      <c r="B37" s="11"/>
      <c r="C37" s="11"/>
      <c r="D37" s="11"/>
    </row>
    <row r="38" spans="1:4" ht="15">
      <c r="A38" s="11"/>
      <c r="B38" s="11"/>
      <c r="C38" s="11"/>
      <c r="D38" s="11"/>
    </row>
    <row r="39" spans="1:4" ht="15">
      <c r="A39" s="11"/>
      <c r="B39" s="11"/>
      <c r="C39" s="11"/>
      <c r="D39" s="11"/>
    </row>
    <row r="40" spans="1:4" ht="15">
      <c r="A40" s="577" t="s">
        <v>1071</v>
      </c>
      <c r="B40" s="11"/>
      <c r="C40" s="11"/>
      <c r="D40" s="11"/>
    </row>
    <row r="41" spans="1:4" ht="15">
      <c r="A41" s="576" t="s">
        <v>1072</v>
      </c>
      <c r="B41" s="11"/>
      <c r="C41" s="11"/>
      <c r="D41" s="11"/>
    </row>
    <row r="42" spans="1:4" ht="15">
      <c r="A42" s="11" t="s">
        <v>1073</v>
      </c>
      <c r="B42" s="11"/>
      <c r="C42" s="11"/>
      <c r="D42" s="11"/>
    </row>
    <row r="43" spans="1:4" ht="15">
      <c r="A43" s="11"/>
      <c r="B43" s="11"/>
      <c r="C43" s="11"/>
      <c r="D43" s="11"/>
    </row>
    <row r="44" spans="1:4" ht="15">
      <c r="A44" s="11"/>
      <c r="B44" s="11"/>
      <c r="C44" s="11"/>
      <c r="D44" s="11"/>
    </row>
  </sheetData>
  <sheetProtection/>
  <printOptions/>
  <pageMargins left="0.7" right="0.7" top="0.75" bottom="0.75" header="0.3" footer="0.3"/>
  <pageSetup orientation="portrait" paperSize="9"/>
  <drawing r:id="rId1"/>
</worksheet>
</file>

<file path=xl/worksheets/sheet48.xml><?xml version="1.0" encoding="utf-8"?>
<worksheet xmlns="http://schemas.openxmlformats.org/spreadsheetml/2006/main" xmlns:r="http://schemas.openxmlformats.org/officeDocument/2006/relationships">
  <dimension ref="B1:M76"/>
  <sheetViews>
    <sheetView zoomScalePageLayoutView="0" workbookViewId="0" topLeftCell="A4">
      <selection activeCell="I23" sqref="I23:J23"/>
    </sheetView>
  </sheetViews>
  <sheetFormatPr defaultColWidth="11.421875" defaultRowHeight="15"/>
  <cols>
    <col min="1" max="1" width="11.421875" style="571" customWidth="1"/>
    <col min="6" max="6" width="52.140625" style="0" bestFit="1" customWidth="1"/>
    <col min="10" max="10" width="13.421875" style="0" customWidth="1"/>
    <col min="11" max="11" width="11.421875" style="465" customWidth="1"/>
    <col min="13" max="13" width="12.7109375" style="0" bestFit="1" customWidth="1"/>
  </cols>
  <sheetData>
    <row r="1" spans="2:10" ht="15">
      <c r="B1" s="571"/>
      <c r="C1" s="571"/>
      <c r="D1" s="571"/>
      <c r="E1" s="571"/>
      <c r="F1" s="571"/>
      <c r="G1" s="571"/>
      <c r="H1" s="571"/>
      <c r="I1" s="571"/>
      <c r="J1" s="571"/>
    </row>
    <row r="2" spans="2:10" ht="15.75">
      <c r="B2" s="584" t="s">
        <v>1088</v>
      </c>
      <c r="C2" s="583"/>
      <c r="D2" s="583"/>
      <c r="E2" s="583"/>
      <c r="F2" s="583"/>
      <c r="G2" s="583"/>
      <c r="H2" s="583"/>
      <c r="I2" s="583"/>
      <c r="J2" s="583"/>
    </row>
    <row r="3" spans="2:10" ht="15.75">
      <c r="B3" s="583"/>
      <c r="C3" s="583"/>
      <c r="D3" s="583"/>
      <c r="F3" s="584"/>
      <c r="G3" s="584"/>
      <c r="H3" s="584"/>
      <c r="I3" s="583"/>
      <c r="J3" s="583"/>
    </row>
    <row r="4" spans="2:10" ht="15">
      <c r="B4" s="583"/>
      <c r="C4" s="583"/>
      <c r="D4" s="583"/>
      <c r="E4" s="583"/>
      <c r="F4" s="583"/>
      <c r="G4" s="583"/>
      <c r="H4" s="583"/>
      <c r="I4" s="583"/>
      <c r="J4" s="583"/>
    </row>
    <row r="5" spans="2:10" ht="18.75" thickBot="1">
      <c r="B5" s="831" t="s">
        <v>1089</v>
      </c>
      <c r="C5" s="832"/>
      <c r="D5" s="832"/>
      <c r="E5" s="832"/>
      <c r="F5" s="832"/>
      <c r="G5" s="832"/>
      <c r="H5" s="832"/>
      <c r="I5" s="832"/>
      <c r="J5" s="833"/>
    </row>
    <row r="6" spans="2:10" ht="15">
      <c r="B6" s="834" t="s">
        <v>1090</v>
      </c>
      <c r="C6" s="835"/>
      <c r="D6" s="835"/>
      <c r="E6" s="835"/>
      <c r="F6" s="835"/>
      <c r="G6" s="835"/>
      <c r="H6" s="835"/>
      <c r="I6" s="835"/>
      <c r="J6" s="836"/>
    </row>
    <row r="7" spans="2:10" ht="15">
      <c r="B7" s="585"/>
      <c r="C7" s="586"/>
      <c r="D7" s="586"/>
      <c r="E7" s="586"/>
      <c r="F7" s="586"/>
      <c r="G7" s="586"/>
      <c r="H7" s="586"/>
      <c r="I7" s="586"/>
      <c r="J7" s="587"/>
    </row>
    <row r="8" spans="2:10" ht="15">
      <c r="B8" s="588" t="s">
        <v>1091</v>
      </c>
      <c r="C8" s="589"/>
      <c r="D8" s="589"/>
      <c r="E8" s="589"/>
      <c r="F8" s="590"/>
      <c r="G8" s="590"/>
      <c r="H8" s="590"/>
      <c r="I8" s="590"/>
      <c r="J8" s="591"/>
    </row>
    <row r="9" spans="2:10" ht="15">
      <c r="B9" s="592"/>
      <c r="C9" s="593"/>
      <c r="D9" s="593"/>
      <c r="E9" s="593"/>
      <c r="F9" s="594"/>
      <c r="G9" s="594"/>
      <c r="H9" s="594"/>
      <c r="I9" s="594"/>
      <c r="J9" s="595"/>
    </row>
    <row r="10" spans="2:10" ht="15">
      <c r="B10" s="592" t="s">
        <v>1092</v>
      </c>
      <c r="C10" s="596"/>
      <c r="D10" s="596"/>
      <c r="E10" s="596"/>
      <c r="F10" s="596"/>
      <c r="G10" s="594"/>
      <c r="H10" s="594"/>
      <c r="I10" s="594"/>
      <c r="J10" s="595"/>
    </row>
    <row r="11" spans="2:10" ht="15">
      <c r="B11" s="597" t="s">
        <v>1093</v>
      </c>
      <c r="C11" s="594"/>
      <c r="D11" s="594"/>
      <c r="E11" s="594"/>
      <c r="F11" s="594"/>
      <c r="G11" s="594"/>
      <c r="H11" s="594"/>
      <c r="I11" s="594"/>
      <c r="J11" s="595"/>
    </row>
    <row r="12" spans="2:10" ht="15">
      <c r="B12" s="598" t="s">
        <v>1094</v>
      </c>
      <c r="C12" s="594"/>
      <c r="D12" s="594"/>
      <c r="E12" s="594"/>
      <c r="F12" s="594"/>
      <c r="G12" s="594"/>
      <c r="H12" s="594"/>
      <c r="I12" s="594"/>
      <c r="J12" s="595"/>
    </row>
    <row r="13" spans="2:10" ht="15">
      <c r="B13" s="598" t="s">
        <v>1095</v>
      </c>
      <c r="C13" s="594"/>
      <c r="D13" s="594"/>
      <c r="E13" s="594"/>
      <c r="F13" s="594"/>
      <c r="G13" s="594"/>
      <c r="H13" s="594"/>
      <c r="I13" s="594"/>
      <c r="J13" s="595"/>
    </row>
    <row r="14" spans="2:10" ht="15">
      <c r="B14" s="599" t="s">
        <v>1096</v>
      </c>
      <c r="C14" s="600"/>
      <c r="D14" s="600"/>
      <c r="E14" s="600"/>
      <c r="F14" s="600"/>
      <c r="G14" s="600"/>
      <c r="H14" s="600"/>
      <c r="I14" s="600"/>
      <c r="J14" s="595"/>
    </row>
    <row r="15" spans="2:10" ht="15">
      <c r="B15" s="599" t="s">
        <v>1097</v>
      </c>
      <c r="C15" s="600"/>
      <c r="D15" s="600"/>
      <c r="E15" s="600"/>
      <c r="F15" s="600"/>
      <c r="G15" s="600"/>
      <c r="H15" s="600"/>
      <c r="I15" s="600"/>
      <c r="J15" s="595"/>
    </row>
    <row r="16" spans="2:10" ht="15">
      <c r="B16" s="601" t="s">
        <v>1098</v>
      </c>
      <c r="C16" s="600"/>
      <c r="D16" s="600"/>
      <c r="E16" s="600"/>
      <c r="F16" s="600"/>
      <c r="G16" s="600"/>
      <c r="H16" s="600"/>
      <c r="I16" s="600"/>
      <c r="J16" s="595"/>
    </row>
    <row r="17" spans="2:10" ht="15">
      <c r="B17" s="598" t="s">
        <v>1099</v>
      </c>
      <c r="C17" s="594"/>
      <c r="D17" s="594"/>
      <c r="E17" s="594"/>
      <c r="F17" s="594"/>
      <c r="G17" s="594"/>
      <c r="H17" s="594"/>
      <c r="I17" s="594"/>
      <c r="J17" s="595"/>
    </row>
    <row r="18" spans="2:10" ht="15">
      <c r="B18" s="592"/>
      <c r="C18" s="594"/>
      <c r="D18" s="594"/>
      <c r="E18" s="594"/>
      <c r="F18" s="594"/>
      <c r="G18" s="594"/>
      <c r="H18" s="594"/>
      <c r="I18" s="594"/>
      <c r="J18" s="595"/>
    </row>
    <row r="19" spans="2:10" ht="15">
      <c r="B19" s="837" t="s">
        <v>1100</v>
      </c>
      <c r="C19" s="838"/>
      <c r="D19" s="838"/>
      <c r="E19" s="838"/>
      <c r="F19" s="838"/>
      <c r="G19" s="838"/>
      <c r="H19" s="838"/>
      <c r="I19" s="838"/>
      <c r="J19" s="839"/>
    </row>
    <row r="20" spans="2:10" ht="15">
      <c r="B20" s="840" t="s">
        <v>1101</v>
      </c>
      <c r="C20" s="840"/>
      <c r="D20" s="840"/>
      <c r="E20" s="840" t="s">
        <v>1102</v>
      </c>
      <c r="F20" s="840"/>
      <c r="G20" s="840" t="s">
        <v>1103</v>
      </c>
      <c r="H20" s="840"/>
      <c r="I20" s="849" t="s">
        <v>1104</v>
      </c>
      <c r="J20" s="849"/>
    </row>
    <row r="21" spans="2:10" ht="15">
      <c r="B21" s="843" t="s">
        <v>1105</v>
      </c>
      <c r="C21" s="843"/>
      <c r="D21" s="843"/>
      <c r="E21" s="847">
        <v>97000</v>
      </c>
      <c r="F21" s="848"/>
      <c r="G21" s="843" t="s">
        <v>1106</v>
      </c>
      <c r="H21" s="843"/>
      <c r="I21" s="850">
        <v>0.97</v>
      </c>
      <c r="J21" s="843"/>
    </row>
    <row r="22" spans="2:10" ht="15">
      <c r="B22" s="843" t="s">
        <v>1294</v>
      </c>
      <c r="C22" s="843" t="s">
        <v>968</v>
      </c>
      <c r="D22" s="843"/>
      <c r="E22" s="847">
        <v>28000</v>
      </c>
      <c r="F22" s="848"/>
      <c r="G22" s="843" t="s">
        <v>1106</v>
      </c>
      <c r="H22" s="843"/>
      <c r="I22" s="850">
        <v>0.28</v>
      </c>
      <c r="J22" s="843"/>
    </row>
    <row r="23" spans="2:10" ht="15">
      <c r="B23" s="843"/>
      <c r="C23" s="843"/>
      <c r="D23" s="843"/>
      <c r="E23" s="843"/>
      <c r="F23" s="843"/>
      <c r="G23" s="843"/>
      <c r="H23" s="843"/>
      <c r="I23" s="843"/>
      <c r="J23" s="843"/>
    </row>
    <row r="24" spans="2:10" ht="15">
      <c r="B24" s="605" t="s">
        <v>1107</v>
      </c>
      <c r="C24" s="606"/>
      <c r="D24" s="606"/>
      <c r="E24" s="606"/>
      <c r="F24" s="606"/>
      <c r="G24" s="606"/>
      <c r="H24" s="606"/>
      <c r="I24" s="594"/>
      <c r="J24" s="595"/>
    </row>
    <row r="25" spans="2:10" ht="15">
      <c r="B25" s="605"/>
      <c r="C25" s="606"/>
      <c r="D25" s="606"/>
      <c r="E25" s="606"/>
      <c r="F25" s="606"/>
      <c r="G25" s="606"/>
      <c r="H25" s="606"/>
      <c r="I25" s="594"/>
      <c r="J25" s="595"/>
    </row>
    <row r="26" spans="2:10" ht="15">
      <c r="B26" s="837" t="s">
        <v>1108</v>
      </c>
      <c r="C26" s="838"/>
      <c r="D26" s="838"/>
      <c r="E26" s="838"/>
      <c r="F26" s="838"/>
      <c r="G26" s="838"/>
      <c r="H26" s="838"/>
      <c r="I26" s="838"/>
      <c r="J26" s="839"/>
    </row>
    <row r="27" spans="2:10" ht="15">
      <c r="B27" s="840" t="s">
        <v>1101</v>
      </c>
      <c r="C27" s="840"/>
      <c r="D27" s="840"/>
      <c r="E27" s="840" t="s">
        <v>1109</v>
      </c>
      <c r="F27" s="840"/>
      <c r="G27" s="840" t="s">
        <v>1110</v>
      </c>
      <c r="H27" s="840"/>
      <c r="I27" s="856" t="s">
        <v>1111</v>
      </c>
      <c r="J27" s="857"/>
    </row>
    <row r="28" spans="2:10" ht="15">
      <c r="B28" s="843"/>
      <c r="C28" s="843"/>
      <c r="D28" s="843"/>
      <c r="E28" s="843"/>
      <c r="F28" s="843"/>
      <c r="G28" s="843"/>
      <c r="H28" s="843"/>
      <c r="I28" s="843"/>
      <c r="J28" s="843"/>
    </row>
    <row r="29" spans="2:10" ht="15">
      <c r="B29" s="602" t="s">
        <v>1112</v>
      </c>
      <c r="C29" s="603"/>
      <c r="D29" s="604"/>
      <c r="E29" s="602"/>
      <c r="F29" s="604"/>
      <c r="G29" s="602"/>
      <c r="H29" s="604"/>
      <c r="I29" s="602"/>
      <c r="J29" s="604"/>
    </row>
    <row r="30" spans="2:10" ht="15">
      <c r="B30" s="843"/>
      <c r="C30" s="843"/>
      <c r="D30" s="843"/>
      <c r="E30" s="843"/>
      <c r="F30" s="843"/>
      <c r="G30" s="843"/>
      <c r="H30" s="843"/>
      <c r="I30" s="843"/>
      <c r="J30" s="843"/>
    </row>
    <row r="31" spans="2:10" ht="15">
      <c r="B31" s="605" t="s">
        <v>1113</v>
      </c>
      <c r="C31" s="594"/>
      <c r="D31" s="594"/>
      <c r="E31" s="594"/>
      <c r="F31" s="594"/>
      <c r="G31" s="594"/>
      <c r="H31" s="594"/>
      <c r="I31" s="594"/>
      <c r="J31" s="595"/>
    </row>
    <row r="32" spans="2:10" ht="15">
      <c r="B32" s="605"/>
      <c r="C32" s="594"/>
      <c r="D32" s="594"/>
      <c r="E32" s="594"/>
      <c r="F32" s="594"/>
      <c r="G32" s="594"/>
      <c r="H32" s="594"/>
      <c r="I32" s="594"/>
      <c r="J32" s="595"/>
    </row>
    <row r="33" spans="2:10" ht="15">
      <c r="B33" s="844" t="s">
        <v>1114</v>
      </c>
      <c r="C33" s="845"/>
      <c r="D33" s="845"/>
      <c r="E33" s="845"/>
      <c r="F33" s="845"/>
      <c r="G33" s="845"/>
      <c r="H33" s="845"/>
      <c r="I33" s="845"/>
      <c r="J33" s="846"/>
    </row>
    <row r="34" spans="2:10" ht="15">
      <c r="B34" s="851" t="s">
        <v>1115</v>
      </c>
      <c r="C34" s="852"/>
      <c r="D34" s="852"/>
      <c r="E34" s="852"/>
      <c r="F34" s="853"/>
      <c r="G34" s="851" t="s">
        <v>1116</v>
      </c>
      <c r="H34" s="852"/>
      <c r="I34" s="854"/>
      <c r="J34" s="855"/>
    </row>
    <row r="35" spans="2:10" ht="15">
      <c r="B35" s="607"/>
      <c r="C35" s="608"/>
      <c r="D35" s="609" t="s">
        <v>979</v>
      </c>
      <c r="E35" s="607"/>
      <c r="F35" s="608"/>
      <c r="G35" s="607"/>
      <c r="H35" s="609" t="s">
        <v>979</v>
      </c>
      <c r="I35" s="607"/>
      <c r="J35" s="609"/>
    </row>
    <row r="36" spans="2:10" ht="15">
      <c r="B36" s="843"/>
      <c r="C36" s="843"/>
      <c r="D36" s="843"/>
      <c r="E36" s="843"/>
      <c r="F36" s="843"/>
      <c r="G36" s="843"/>
      <c r="H36" s="843"/>
      <c r="I36" s="843"/>
      <c r="J36" s="843"/>
    </row>
    <row r="37" spans="2:10" ht="15">
      <c r="B37" s="597"/>
      <c r="C37" s="594"/>
      <c r="D37" s="594"/>
      <c r="E37" s="606"/>
      <c r="F37" s="594"/>
      <c r="G37" s="594"/>
      <c r="H37" s="594"/>
      <c r="I37" s="594"/>
      <c r="J37" s="595"/>
    </row>
    <row r="38" spans="2:10" ht="15">
      <c r="B38" s="610"/>
      <c r="C38" s="611"/>
      <c r="D38" s="611"/>
      <c r="E38" s="611"/>
      <c r="F38" s="611"/>
      <c r="G38" s="611"/>
      <c r="H38" s="594"/>
      <c r="I38" s="594"/>
      <c r="J38" s="595"/>
    </row>
    <row r="39" spans="2:10" ht="15">
      <c r="B39" s="592" t="s">
        <v>1117</v>
      </c>
      <c r="C39" s="606"/>
      <c r="D39" s="606"/>
      <c r="E39" s="606"/>
      <c r="F39" s="841"/>
      <c r="G39" s="842"/>
      <c r="H39" s="842"/>
      <c r="I39" s="842"/>
      <c r="J39" s="595"/>
    </row>
    <row r="40" spans="2:10" ht="15">
      <c r="B40" s="597"/>
      <c r="C40" s="594"/>
      <c r="D40" s="594"/>
      <c r="E40" s="594"/>
      <c r="F40" s="594" t="s">
        <v>1118</v>
      </c>
      <c r="G40" s="670">
        <v>44286</v>
      </c>
      <c r="H40" s="670">
        <v>43921</v>
      </c>
      <c r="I40" s="594"/>
      <c r="J40" s="595"/>
    </row>
    <row r="41" spans="2:10" ht="15">
      <c r="B41" s="597"/>
      <c r="C41" s="594"/>
      <c r="D41" s="606" t="s">
        <v>1119</v>
      </c>
      <c r="E41" s="594"/>
      <c r="F41" s="594"/>
      <c r="G41" s="594" t="s">
        <v>1120</v>
      </c>
      <c r="H41" s="594"/>
      <c r="I41" s="594"/>
      <c r="J41" s="595"/>
    </row>
    <row r="42" spans="2:10" ht="15">
      <c r="B42" s="592" t="s">
        <v>1121</v>
      </c>
      <c r="C42" s="594"/>
      <c r="D42" s="594"/>
      <c r="E42" s="594"/>
      <c r="F42" s="594"/>
      <c r="G42" s="594"/>
      <c r="H42" s="594"/>
      <c r="I42" s="594"/>
      <c r="J42" s="595"/>
    </row>
    <row r="43" spans="2:10" ht="15">
      <c r="B43" s="605" t="s">
        <v>1122</v>
      </c>
      <c r="C43" s="594"/>
      <c r="D43" s="594"/>
      <c r="E43" s="594"/>
      <c r="F43" s="594"/>
      <c r="G43" s="594"/>
      <c r="H43" s="594"/>
      <c r="I43" s="594"/>
      <c r="J43" s="595"/>
    </row>
    <row r="44" spans="2:10" ht="15">
      <c r="B44" s="598" t="s">
        <v>1123</v>
      </c>
      <c r="C44" s="594"/>
      <c r="D44" s="594"/>
      <c r="E44" s="594"/>
      <c r="F44" s="594"/>
      <c r="G44" s="594"/>
      <c r="H44" s="594"/>
      <c r="I44" s="594"/>
      <c r="J44" s="595"/>
    </row>
    <row r="45" spans="2:10" ht="15">
      <c r="B45" s="599" t="s">
        <v>1124</v>
      </c>
      <c r="C45" s="594"/>
      <c r="D45" s="612"/>
      <c r="E45" s="594"/>
      <c r="F45" s="594"/>
      <c r="G45" s="594"/>
      <c r="H45" s="594"/>
      <c r="I45" s="594"/>
      <c r="J45" s="595"/>
    </row>
    <row r="46" spans="2:10" ht="15">
      <c r="B46" s="601"/>
      <c r="C46" s="594"/>
      <c r="D46" s="612"/>
      <c r="E46" s="594"/>
      <c r="F46" s="594"/>
      <c r="G46" s="594"/>
      <c r="H46" s="594"/>
      <c r="I46" s="594"/>
      <c r="J46" s="595"/>
    </row>
    <row r="47" spans="2:10" ht="15">
      <c r="B47" s="592" t="s">
        <v>1125</v>
      </c>
      <c r="C47" s="594"/>
      <c r="D47" s="594"/>
      <c r="E47" s="594"/>
      <c r="F47" s="594"/>
      <c r="G47" s="594"/>
      <c r="H47" s="594"/>
      <c r="I47" s="594"/>
      <c r="J47" s="595"/>
    </row>
    <row r="48" spans="2:10" ht="15">
      <c r="B48" s="598" t="s">
        <v>1123</v>
      </c>
      <c r="C48" s="594"/>
      <c r="D48" s="594"/>
      <c r="E48" s="594"/>
      <c r="F48" s="594"/>
      <c r="G48" s="594"/>
      <c r="H48" s="594"/>
      <c r="I48" s="594"/>
      <c r="J48" s="595"/>
    </row>
    <row r="49" spans="2:10" ht="15">
      <c r="B49" s="598" t="s">
        <v>1126</v>
      </c>
      <c r="C49" s="594"/>
      <c r="D49" s="594"/>
      <c r="E49" s="594"/>
      <c r="F49" s="594"/>
      <c r="G49" s="594"/>
      <c r="H49" s="594"/>
      <c r="I49" s="594"/>
      <c r="J49" s="595"/>
    </row>
    <row r="50" spans="2:10" ht="15">
      <c r="B50" s="613" t="s">
        <v>1127</v>
      </c>
      <c r="C50" s="594"/>
      <c r="E50" s="594"/>
      <c r="F50" s="594"/>
      <c r="G50" s="612">
        <v>14945.6</v>
      </c>
      <c r="H50" s="612">
        <v>57363</v>
      </c>
      <c r="I50" s="594"/>
      <c r="J50" s="595"/>
    </row>
    <row r="51" spans="2:10" ht="15">
      <c r="B51" s="601" t="s">
        <v>1128</v>
      </c>
      <c r="C51" s="594"/>
      <c r="E51" s="594"/>
      <c r="F51" s="594"/>
      <c r="G51" s="612">
        <v>9394.3</v>
      </c>
      <c r="H51" s="612">
        <v>36057</v>
      </c>
      <c r="I51" s="594"/>
      <c r="J51" s="595"/>
    </row>
    <row r="52" spans="2:10" ht="15">
      <c r="B52" s="597"/>
      <c r="C52" s="594"/>
      <c r="D52" s="594"/>
      <c r="E52" s="594"/>
      <c r="F52" s="594"/>
      <c r="G52" s="594"/>
      <c r="H52" s="594"/>
      <c r="I52" s="594"/>
      <c r="J52" s="595"/>
    </row>
    <row r="53" spans="2:10" ht="15">
      <c r="B53" s="598" t="s">
        <v>1129</v>
      </c>
      <c r="C53" s="594"/>
      <c r="D53" s="594"/>
      <c r="E53" s="594"/>
      <c r="F53" s="594"/>
      <c r="G53" s="594"/>
      <c r="H53" s="594"/>
      <c r="I53" s="594"/>
      <c r="J53" s="595"/>
    </row>
    <row r="54" spans="2:10" ht="15">
      <c r="B54" s="598"/>
      <c r="C54" s="594"/>
      <c r="D54" s="594"/>
      <c r="E54" s="594"/>
      <c r="F54" s="594"/>
      <c r="G54" s="594"/>
      <c r="H54" s="594"/>
      <c r="I54" s="594"/>
      <c r="J54" s="595"/>
    </row>
    <row r="55" spans="2:10" ht="15">
      <c r="B55" s="598" t="s">
        <v>1130</v>
      </c>
      <c r="C55" s="594"/>
      <c r="D55" s="594"/>
      <c r="E55" s="594"/>
      <c r="F55" s="594"/>
      <c r="G55" s="594"/>
      <c r="H55" s="594"/>
      <c r="I55" s="594"/>
      <c r="J55" s="595"/>
    </row>
    <row r="56" spans="2:13" ht="15">
      <c r="B56" s="599" t="s">
        <v>1131</v>
      </c>
      <c r="C56" s="594"/>
      <c r="D56" s="614" t="s">
        <v>1241</v>
      </c>
      <c r="E56" s="594"/>
      <c r="F56" s="594"/>
      <c r="G56" s="671">
        <v>2336285</v>
      </c>
      <c r="H56" s="612">
        <v>1622880</v>
      </c>
      <c r="I56" s="612"/>
      <c r="J56" s="615"/>
      <c r="L56" s="669"/>
      <c r="M56" s="465"/>
    </row>
    <row r="57" spans="2:13" ht="15">
      <c r="B57" s="599" t="s">
        <v>1131</v>
      </c>
      <c r="C57" s="594"/>
      <c r="D57" s="614" t="s">
        <v>1240</v>
      </c>
      <c r="E57" s="594"/>
      <c r="F57" s="594"/>
      <c r="G57" s="671">
        <v>79714.9</v>
      </c>
      <c r="H57" s="612">
        <v>181700</v>
      </c>
      <c r="I57" s="612"/>
      <c r="J57" s="615"/>
      <c r="L57" s="669"/>
      <c r="M57" s="465"/>
    </row>
    <row r="58" spans="2:13" ht="15">
      <c r="B58" s="599" t="s">
        <v>1132</v>
      </c>
      <c r="C58" s="594"/>
      <c r="D58" s="614" t="s">
        <v>1241</v>
      </c>
      <c r="E58" s="594"/>
      <c r="F58" s="594"/>
      <c r="G58" s="671">
        <v>1520893.4</v>
      </c>
      <c r="H58" s="612">
        <v>941946</v>
      </c>
      <c r="I58" s="612"/>
      <c r="J58" s="615"/>
      <c r="L58" s="669"/>
      <c r="M58" s="465"/>
    </row>
    <row r="59" spans="2:13" ht="15">
      <c r="B59" s="599" t="s">
        <v>1132</v>
      </c>
      <c r="C59" s="594"/>
      <c r="D59" s="614" t="s">
        <v>1240</v>
      </c>
      <c r="E59" s="594"/>
      <c r="F59" s="594"/>
      <c r="G59" s="671">
        <v>50106.5</v>
      </c>
      <c r="H59" s="612">
        <v>107054</v>
      </c>
      <c r="I59" s="612"/>
      <c r="J59" s="615"/>
      <c r="L59" s="571"/>
      <c r="M59" s="465"/>
    </row>
    <row r="60" spans="2:10" ht="15">
      <c r="B60" s="599" t="s">
        <v>1133</v>
      </c>
      <c r="C60" s="594"/>
      <c r="D60" s="614" t="s">
        <v>1241</v>
      </c>
      <c r="E60" s="594"/>
      <c r="F60" s="594"/>
      <c r="G60" s="671">
        <v>141</v>
      </c>
      <c r="H60" s="612">
        <v>141000</v>
      </c>
      <c r="I60" s="612"/>
      <c r="J60" s="615"/>
    </row>
    <row r="61" spans="2:13" ht="15">
      <c r="B61" s="599" t="s">
        <v>1134</v>
      </c>
      <c r="C61" s="594"/>
      <c r="D61" s="614" t="s">
        <v>1242</v>
      </c>
      <c r="E61" s="594"/>
      <c r="F61" s="594"/>
      <c r="G61" s="671">
        <v>2795000</v>
      </c>
      <c r="H61" s="612">
        <v>1935000</v>
      </c>
      <c r="I61" s="612"/>
      <c r="J61" s="615"/>
      <c r="L61" s="669"/>
      <c r="M61" s="465"/>
    </row>
    <row r="62" spans="2:13" ht="15">
      <c r="B62" s="599" t="s">
        <v>1135</v>
      </c>
      <c r="C62" s="594"/>
      <c r="D62" s="614" t="s">
        <v>1241</v>
      </c>
      <c r="E62" s="594"/>
      <c r="F62" s="594"/>
      <c r="G62" s="671">
        <v>75000</v>
      </c>
      <c r="H62" s="612">
        <v>75000</v>
      </c>
      <c r="I62" s="612"/>
      <c r="J62" s="615"/>
      <c r="L62" s="669"/>
      <c r="M62" s="465"/>
    </row>
    <row r="63" spans="2:10" ht="15">
      <c r="B63" s="617" t="s">
        <v>1136</v>
      </c>
      <c r="C63" s="594"/>
      <c r="D63" s="614" t="s">
        <v>1241</v>
      </c>
      <c r="E63" s="594"/>
      <c r="F63" s="594"/>
      <c r="G63" s="671">
        <v>30000</v>
      </c>
      <c r="H63" s="612">
        <v>30000</v>
      </c>
      <c r="I63" s="612"/>
      <c r="J63" s="615"/>
    </row>
    <row r="64" spans="2:10" ht="15">
      <c r="B64" s="617" t="s">
        <v>1137</v>
      </c>
      <c r="C64" s="594"/>
      <c r="D64" s="614" t="s">
        <v>1241</v>
      </c>
      <c r="E64" s="594"/>
      <c r="F64" s="594"/>
      <c r="G64" s="671">
        <v>30000</v>
      </c>
      <c r="H64" s="612">
        <v>15000</v>
      </c>
      <c r="I64" s="612"/>
      <c r="J64" s="595"/>
    </row>
    <row r="65" spans="2:10" ht="15">
      <c r="B65" s="617" t="s">
        <v>1137</v>
      </c>
      <c r="C65" s="594"/>
      <c r="D65" s="614" t="s">
        <v>1243</v>
      </c>
      <c r="E65" s="594"/>
      <c r="F65" s="594"/>
      <c r="G65" s="671">
        <v>200000</v>
      </c>
      <c r="H65" s="612">
        <v>100000</v>
      </c>
      <c r="I65" s="594"/>
      <c r="J65" s="595"/>
    </row>
    <row r="66" spans="2:10" ht="15">
      <c r="B66" s="617" t="s">
        <v>1138</v>
      </c>
      <c r="C66" s="594"/>
      <c r="D66" s="614" t="s">
        <v>1244</v>
      </c>
      <c r="E66" s="594"/>
      <c r="F66" s="594"/>
      <c r="G66" s="671">
        <v>45000</v>
      </c>
      <c r="H66" s="612">
        <v>45000</v>
      </c>
      <c r="I66" s="594"/>
      <c r="J66" s="595"/>
    </row>
    <row r="67" spans="2:10" ht="15">
      <c r="B67" s="617" t="s">
        <v>1139</v>
      </c>
      <c r="C67" s="594"/>
      <c r="D67" s="614" t="s">
        <v>1241</v>
      </c>
      <c r="E67" s="594"/>
      <c r="F67" s="594"/>
      <c r="G67" s="671">
        <v>3000</v>
      </c>
      <c r="H67" s="612">
        <v>3000</v>
      </c>
      <c r="I67" s="594"/>
      <c r="J67" s="595"/>
    </row>
    <row r="68" spans="2:10" ht="15">
      <c r="B68" s="617"/>
      <c r="C68" s="594"/>
      <c r="D68" s="594"/>
      <c r="E68" s="594"/>
      <c r="F68" s="594"/>
      <c r="G68" s="614"/>
      <c r="H68" s="594"/>
      <c r="I68" s="594"/>
      <c r="J68" s="595"/>
    </row>
    <row r="69" spans="2:10" ht="15">
      <c r="B69" s="597" t="s">
        <v>1140</v>
      </c>
      <c r="C69" s="594"/>
      <c r="D69" s="594"/>
      <c r="E69" s="594"/>
      <c r="F69" s="594"/>
      <c r="G69" s="594"/>
      <c r="H69" s="594"/>
      <c r="I69" s="594"/>
      <c r="J69" s="595"/>
    </row>
    <row r="70" spans="2:10" ht="15">
      <c r="B70" s="598" t="s">
        <v>1141</v>
      </c>
      <c r="C70" s="594"/>
      <c r="D70" s="594"/>
      <c r="E70" s="594"/>
      <c r="F70" s="594"/>
      <c r="G70" s="594"/>
      <c r="H70" s="594"/>
      <c r="I70" s="594"/>
      <c r="J70" s="595"/>
    </row>
    <row r="71" spans="2:10" ht="15">
      <c r="B71" s="618"/>
      <c r="C71" s="619"/>
      <c r="D71" s="619"/>
      <c r="E71" s="619"/>
      <c r="F71" s="619"/>
      <c r="G71" s="619"/>
      <c r="H71" s="619"/>
      <c r="I71" s="619"/>
      <c r="J71" s="620"/>
    </row>
    <row r="72" spans="2:10" ht="15">
      <c r="B72" s="616" t="s">
        <v>1142</v>
      </c>
      <c r="C72" s="594"/>
      <c r="D72" s="594"/>
      <c r="E72" s="594"/>
      <c r="F72" s="594"/>
      <c r="G72" s="594"/>
      <c r="H72" s="594"/>
      <c r="I72" s="594"/>
      <c r="J72" s="594"/>
    </row>
    <row r="73" spans="2:10" ht="15">
      <c r="B73" s="583"/>
      <c r="C73" s="583"/>
      <c r="D73" s="583"/>
      <c r="E73" s="583"/>
      <c r="F73" s="583"/>
      <c r="G73" s="583"/>
      <c r="H73" s="583"/>
      <c r="I73" s="583"/>
      <c r="J73" s="583"/>
    </row>
    <row r="74" spans="2:10" ht="15">
      <c r="B74" s="583"/>
      <c r="C74" s="583"/>
      <c r="D74" s="583"/>
      <c r="E74" s="583"/>
      <c r="F74" s="583"/>
      <c r="G74" s="583"/>
      <c r="H74" s="583"/>
      <c r="I74" s="583"/>
      <c r="J74" s="583"/>
    </row>
    <row r="75" spans="2:10" ht="15">
      <c r="B75" s="583"/>
      <c r="C75" s="583"/>
      <c r="D75" s="583"/>
      <c r="E75" s="583"/>
      <c r="F75" s="583"/>
      <c r="G75" s="583"/>
      <c r="H75" s="583"/>
      <c r="I75" s="583"/>
      <c r="J75" s="583"/>
    </row>
    <row r="76" spans="2:10" ht="15">
      <c r="B76" s="606" t="s">
        <v>1143</v>
      </c>
      <c r="C76" s="594"/>
      <c r="D76" s="594"/>
      <c r="E76" s="594"/>
      <c r="F76" s="594"/>
      <c r="G76" s="594"/>
      <c r="H76" s="594"/>
      <c r="I76" s="594"/>
      <c r="J76" s="594"/>
    </row>
  </sheetData>
  <sheetProtection/>
  <mergeCells count="42">
    <mergeCell ref="B27:D27"/>
    <mergeCell ref="I21:J21"/>
    <mergeCell ref="I27:J27"/>
    <mergeCell ref="I23:J23"/>
    <mergeCell ref="B28:D28"/>
    <mergeCell ref="B23:D23"/>
    <mergeCell ref="I36:J36"/>
    <mergeCell ref="B34:D34"/>
    <mergeCell ref="B26:J26"/>
    <mergeCell ref="B30:D30"/>
    <mergeCell ref="E30:F30"/>
    <mergeCell ref="G30:H30"/>
    <mergeCell ref="G36:H36"/>
    <mergeCell ref="E34:F34"/>
    <mergeCell ref="G34:H34"/>
    <mergeCell ref="I34:J34"/>
    <mergeCell ref="I20:J20"/>
    <mergeCell ref="E28:F28"/>
    <mergeCell ref="G28:H28"/>
    <mergeCell ref="I22:J22"/>
    <mergeCell ref="E22:F22"/>
    <mergeCell ref="E27:F27"/>
    <mergeCell ref="G27:H27"/>
    <mergeCell ref="E23:F23"/>
    <mergeCell ref="G23:H23"/>
    <mergeCell ref="I28:J28"/>
    <mergeCell ref="B21:D21"/>
    <mergeCell ref="E21:F21"/>
    <mergeCell ref="G21:H21"/>
    <mergeCell ref="B22:D22"/>
    <mergeCell ref="G22:H22"/>
    <mergeCell ref="G20:H20"/>
    <mergeCell ref="B5:J5"/>
    <mergeCell ref="B6:J6"/>
    <mergeCell ref="B19:J19"/>
    <mergeCell ref="B20:D20"/>
    <mergeCell ref="E20:F20"/>
    <mergeCell ref="F39:I39"/>
    <mergeCell ref="I30:J30"/>
    <mergeCell ref="B33:J33"/>
    <mergeCell ref="B36:D36"/>
    <mergeCell ref="E36:F36"/>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F47"/>
  <sheetViews>
    <sheetView showGridLines="0" zoomScale="90" zoomScaleNormal="90" zoomScalePageLayoutView="0" workbookViewId="0" topLeftCell="A1">
      <selection activeCell="A6" sqref="A6:C6"/>
    </sheetView>
  </sheetViews>
  <sheetFormatPr defaultColWidth="10.8515625" defaultRowHeight="15"/>
  <cols>
    <col min="1" max="1" width="78.00390625" style="463" customWidth="1"/>
    <col min="2" max="2" width="21.140625" style="79" customWidth="1"/>
    <col min="3" max="3" width="27.57421875" style="79" customWidth="1"/>
    <col min="4" max="4" width="2.421875" style="463" customWidth="1"/>
    <col min="5" max="5" width="10.140625" style="463" bestFit="1" customWidth="1"/>
    <col min="6" max="6" width="2.28125" style="463" customWidth="1"/>
    <col min="7" max="7" width="4.421875" style="463" customWidth="1"/>
    <col min="8" max="16384" width="10.8515625" style="463" customWidth="1"/>
  </cols>
  <sheetData>
    <row r="1" ht="14.25">
      <c r="A1" s="463" t="str">
        <f>'[1]Indice'!C1</f>
        <v>NEGOFIN S.A.E.C.A.</v>
      </c>
    </row>
    <row r="2" spans="1:3" ht="14.25">
      <c r="A2" s="67"/>
      <c r="B2" s="68"/>
      <c r="C2" s="68"/>
    </row>
    <row r="3" spans="1:3" ht="14.25" hidden="1">
      <c r="A3" s="741"/>
      <c r="B3" s="741"/>
      <c r="C3" s="741"/>
    </row>
    <row r="4" spans="1:3" ht="14.25">
      <c r="A4" s="67"/>
      <c r="B4" s="68"/>
      <c r="C4" s="68"/>
    </row>
    <row r="5" spans="1:3" s="2" customFormat="1" ht="15">
      <c r="A5" s="742" t="s">
        <v>881</v>
      </c>
      <c r="B5" s="742"/>
      <c r="C5" s="742"/>
    </row>
    <row r="6" spans="1:3" s="2" customFormat="1" ht="15">
      <c r="A6" s="742" t="str">
        <f>_xlfn.IFERROR(IF('[1]Indice'!B6="","Al dia... de mes… de año 2XX2…","Al "&amp;DAY('[1]Indice'!B6)&amp;" de "&amp;VLOOKUP(MONTH('[1]Indice'!B6),'[1]Indice'!S:T,2,0)&amp;" de "&amp;YEAR('[1]Indice'!B6)),"Al dia... de mes… de año 2XX2…")</f>
        <v>Al 31 de Marzo de 2021</v>
      </c>
      <c r="B6" s="742"/>
      <c r="C6" s="742"/>
    </row>
    <row r="7" spans="1:3" s="2" customFormat="1" ht="14.25">
      <c r="A7" s="743" t="s">
        <v>304</v>
      </c>
      <c r="B7" s="743"/>
      <c r="C7" s="743"/>
    </row>
    <row r="8" spans="1:3" s="2" customFormat="1" ht="14.25">
      <c r="A8" s="743" t="s">
        <v>275</v>
      </c>
      <c r="B8" s="743"/>
      <c r="C8" s="743"/>
    </row>
    <row r="9" spans="1:3" s="2" customFormat="1" ht="14.25">
      <c r="A9" s="553"/>
      <c r="B9" s="553"/>
      <c r="C9" s="553"/>
    </row>
    <row r="10" spans="1:3" s="2" customFormat="1" ht="14.25">
      <c r="A10" s="553"/>
      <c r="B10" s="553"/>
      <c r="C10" s="553"/>
    </row>
    <row r="11" spans="1:3" s="2" customFormat="1" ht="15">
      <c r="A11" s="112"/>
      <c r="B11" s="309">
        <f>_xlfn.IFERROR(IF('[1]Indice'!B6="","2XX2",YEAR('[1]Indice'!B6)),"2XX2")</f>
        <v>2021</v>
      </c>
      <c r="C11" s="309">
        <f>_xlfn.IFERROR(YEAR('[1]Indice'!B6-365),"2XX1")</f>
        <v>2020</v>
      </c>
    </row>
    <row r="12" spans="1:3" s="2" customFormat="1" ht="14.25">
      <c r="A12" s="463"/>
      <c r="B12" s="88"/>
      <c r="C12" s="88"/>
    </row>
    <row r="13" spans="1:3" s="2" customFormat="1" ht="15">
      <c r="A13" s="89" t="s">
        <v>277</v>
      </c>
      <c r="B13" s="79"/>
      <c r="C13" s="548"/>
    </row>
    <row r="14" spans="1:3" s="2" customFormat="1" ht="14.25">
      <c r="A14" s="463" t="s">
        <v>427</v>
      </c>
      <c r="B14" s="548">
        <f>+'[1]ER'!C13</f>
        <v>62267275.7</v>
      </c>
      <c r="C14" s="573">
        <v>56758390.273</v>
      </c>
    </row>
    <row r="15" spans="1:6" s="2" customFormat="1" ht="14.25">
      <c r="A15" s="463" t="s">
        <v>49</v>
      </c>
      <c r="B15" s="573">
        <f>-'[1]Nota 27'!C37</f>
        <v>-18727895.7</v>
      </c>
      <c r="C15" s="574">
        <v>-12653856</v>
      </c>
      <c r="E15" s="548"/>
      <c r="F15" s="54"/>
    </row>
    <row r="16" spans="1:6" s="2" customFormat="1" ht="14.25">
      <c r="A16" s="463" t="s">
        <v>50</v>
      </c>
      <c r="B16" s="574">
        <f>-'[1]BG'!H29</f>
        <v>-24685295.922000013</v>
      </c>
      <c r="C16" s="27">
        <v>-18340340</v>
      </c>
      <c r="F16" s="54"/>
    </row>
    <row r="17" spans="1:6" s="2" customFormat="1" ht="14.25">
      <c r="A17" s="463" t="s">
        <v>89</v>
      </c>
      <c r="B17" s="125">
        <f>-'[1]ER'!C21</f>
        <v>-4585808.7</v>
      </c>
      <c r="C17" s="548">
        <v>-5306466</v>
      </c>
      <c r="F17" s="54"/>
    </row>
    <row r="18" spans="1:6" s="2" customFormat="1" ht="14.25">
      <c r="A18" s="463" t="s">
        <v>428</v>
      </c>
      <c r="B18" s="548">
        <v>-16664128</v>
      </c>
      <c r="C18" s="548">
        <v>-20294427.273</v>
      </c>
      <c r="F18" s="54"/>
    </row>
    <row r="19" spans="1:6" s="2" customFormat="1" ht="14.25">
      <c r="A19" s="463"/>
      <c r="C19" s="573"/>
      <c r="F19" s="54"/>
    </row>
    <row r="20" spans="1:6" s="2" customFormat="1" ht="14.25">
      <c r="A20" s="463" t="s">
        <v>276</v>
      </c>
      <c r="B20" s="125">
        <f>-'[1]Nota 32'!B14</f>
        <v>-1653314.3</v>
      </c>
      <c r="C20" s="125">
        <f>-'[1]Nota 32'!C14</f>
        <v>-981908.4</v>
      </c>
      <c r="F20" s="54"/>
    </row>
    <row r="21" spans="1:3" s="2" customFormat="1" ht="15">
      <c r="A21" s="436" t="s">
        <v>51</v>
      </c>
      <c r="B21" s="437">
        <f>SUM(B13:B20)</f>
        <v>-4049166.9220000124</v>
      </c>
      <c r="C21" s="437">
        <f>SUM(C13:C20)</f>
        <v>-818607.3999999963</v>
      </c>
    </row>
    <row r="22" spans="1:3" s="2" customFormat="1" ht="14.25">
      <c r="A22" s="463"/>
      <c r="B22" s="79"/>
      <c r="C22" s="79"/>
    </row>
    <row r="23" spans="1:3" s="2" customFormat="1" ht="15">
      <c r="A23" s="89" t="s">
        <v>278</v>
      </c>
      <c r="B23" s="79"/>
      <c r="C23" s="79"/>
    </row>
    <row r="24" spans="1:6" s="2" customFormat="1" ht="14.25">
      <c r="A24" s="463" t="s">
        <v>429</v>
      </c>
      <c r="B24" s="27">
        <f>-'[1]BG'!I27</f>
        <v>-197682.00900000034</v>
      </c>
      <c r="C24" s="27">
        <v>-123955</v>
      </c>
      <c r="F24" s="54"/>
    </row>
    <row r="25" spans="1:6" s="2" customFormat="1" ht="14.25" hidden="1">
      <c r="A25" s="463" t="s">
        <v>52</v>
      </c>
      <c r="B25" s="27"/>
      <c r="C25" s="27"/>
      <c r="F25" s="54"/>
    </row>
    <row r="26" spans="1:3" s="2" customFormat="1" ht="14.25" hidden="1">
      <c r="A26" s="463" t="s">
        <v>53</v>
      </c>
      <c r="B26" s="27">
        <v>0</v>
      </c>
      <c r="C26" s="27">
        <v>0</v>
      </c>
    </row>
    <row r="27" spans="1:3" s="2" customFormat="1" ht="14.25">
      <c r="A27" s="463" t="s">
        <v>90</v>
      </c>
      <c r="B27" s="27"/>
      <c r="C27" s="27"/>
    </row>
    <row r="28" spans="1:3" s="2" customFormat="1" ht="14.25">
      <c r="A28" s="463" t="s">
        <v>91</v>
      </c>
      <c r="B28" s="27"/>
      <c r="C28" s="27"/>
    </row>
    <row r="29" spans="1:3" s="2" customFormat="1" ht="14.25">
      <c r="A29" s="463" t="s">
        <v>279</v>
      </c>
      <c r="B29" s="27"/>
      <c r="C29" s="27"/>
    </row>
    <row r="30" spans="1:3" s="2" customFormat="1" ht="15">
      <c r="A30" s="436" t="s">
        <v>54</v>
      </c>
      <c r="B30" s="437">
        <f>SUM(B24:B29)</f>
        <v>-197682.00900000034</v>
      </c>
      <c r="C30" s="437">
        <f>SUM(C24:C29)</f>
        <v>-123955</v>
      </c>
    </row>
    <row r="31" spans="1:3" s="2" customFormat="1" ht="14.25">
      <c r="A31" s="463"/>
      <c r="B31" s="79"/>
      <c r="C31" s="79"/>
    </row>
    <row r="32" spans="1:3" s="2" customFormat="1" ht="15">
      <c r="A32" s="89" t="s">
        <v>280</v>
      </c>
      <c r="B32" s="79"/>
      <c r="C32" s="79"/>
    </row>
    <row r="33" spans="1:3" s="2" customFormat="1" ht="14.25">
      <c r="A33" s="463" t="s">
        <v>430</v>
      </c>
      <c r="B33" s="27">
        <f>+'[1]BG'!H43</f>
        <v>7126598.611999966</v>
      </c>
      <c r="C33" s="27">
        <v>3511918</v>
      </c>
    </row>
    <row r="34" spans="1:3" s="2" customFormat="1" ht="14.25">
      <c r="A34" s="463" t="s">
        <v>93</v>
      </c>
      <c r="B34" s="27"/>
      <c r="C34" s="27"/>
    </row>
    <row r="35" spans="1:3" s="2" customFormat="1" ht="14.25">
      <c r="A35" s="463" t="s">
        <v>92</v>
      </c>
      <c r="B35" s="27"/>
      <c r="C35" s="27"/>
    </row>
    <row r="36" spans="1:3" s="2" customFormat="1" ht="15">
      <c r="A36" s="436" t="s">
        <v>431</v>
      </c>
      <c r="B36" s="437">
        <f>B33+B34+B35</f>
        <v>7126598.611999966</v>
      </c>
      <c r="C36" s="437">
        <f>C33+C34+C35</f>
        <v>3511918</v>
      </c>
    </row>
    <row r="37" spans="1:3" s="38" customFormat="1" ht="15">
      <c r="A37" s="377"/>
      <c r="B37" s="378"/>
      <c r="C37" s="378"/>
    </row>
    <row r="38" spans="1:3" s="2" customFormat="1" ht="14.25">
      <c r="A38" s="379" t="s">
        <v>94</v>
      </c>
      <c r="B38" s="27">
        <f>+B21+B30+B36</f>
        <v>2879749.6809999533</v>
      </c>
      <c r="C38" s="27">
        <f>+C21+C30+C36</f>
        <v>2569355.600000004</v>
      </c>
    </row>
    <row r="39" spans="1:3" ht="14.25">
      <c r="A39" s="379" t="s">
        <v>95</v>
      </c>
      <c r="B39" s="79">
        <v>0</v>
      </c>
      <c r="C39" s="79">
        <v>0</v>
      </c>
    </row>
    <row r="40" spans="1:3" s="2" customFormat="1" ht="14.25">
      <c r="A40" s="379" t="s">
        <v>96</v>
      </c>
      <c r="B40" s="79">
        <f>+'[1]Hoja1'!H28</f>
        <v>18873836</v>
      </c>
      <c r="C40" s="79">
        <v>21393584</v>
      </c>
    </row>
    <row r="41" spans="1:3" s="2" customFormat="1" ht="14.25">
      <c r="A41" s="463"/>
      <c r="B41" s="79"/>
      <c r="C41" s="79"/>
    </row>
    <row r="42" spans="1:3" s="2" customFormat="1" ht="18.75">
      <c r="A42" s="113" t="s">
        <v>55</v>
      </c>
      <c r="B42" s="126">
        <f>+SUM(B38:B40)</f>
        <v>21753585.680999953</v>
      </c>
      <c r="C42" s="126">
        <f>+SUM(C38:C40)</f>
        <v>23962939.600000005</v>
      </c>
    </row>
    <row r="43" spans="1:3" s="2" customFormat="1" ht="14.25">
      <c r="A43" s="463"/>
      <c r="B43" s="90">
        <f>+'[1]BG'!F14</f>
        <v>21753585.599999998</v>
      </c>
      <c r="C43" s="91"/>
    </row>
    <row r="44" spans="1:3" ht="14.25">
      <c r="A44" s="463" t="s">
        <v>414</v>
      </c>
      <c r="B44" s="63"/>
      <c r="C44" s="63"/>
    </row>
    <row r="45" spans="2:3" ht="14.25">
      <c r="B45" s="63"/>
      <c r="C45" s="63"/>
    </row>
    <row r="46" spans="2:3" ht="14.25">
      <c r="B46" s="63"/>
      <c r="C46" s="63"/>
    </row>
    <row r="47" spans="2:3" ht="14.25">
      <c r="B47" s="63"/>
      <c r="C47" s="63"/>
    </row>
  </sheetData>
  <sheetProtection/>
  <mergeCells count="5">
    <mergeCell ref="A3:C3"/>
    <mergeCell ref="A5:C5"/>
    <mergeCell ref="A6:C6"/>
    <mergeCell ref="A7:C7"/>
    <mergeCell ref="A8:C8"/>
  </mergeCells>
  <printOptions/>
  <pageMargins left="0.7086614173228347" right="0.7086614173228347" top="0.7480314960629921" bottom="0.7480314960629921" header="0.31496062992125984" footer="0.31496062992125984"/>
  <pageSetup horizontalDpi="600" verticalDpi="600" orientation="portrait" paperSize="9" scale="6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O210"/>
  <sheetViews>
    <sheetView showGridLines="0" zoomScalePageLayoutView="0" workbookViewId="0" topLeftCell="A174">
      <selection activeCell="B185" sqref="B185"/>
    </sheetView>
  </sheetViews>
  <sheetFormatPr defaultColWidth="11.421875" defaultRowHeight="15"/>
  <cols>
    <col min="1" max="1" width="17.140625" style="33" customWidth="1"/>
    <col min="2" max="2" width="32.421875" style="33" bestFit="1" customWidth="1"/>
    <col min="3" max="3" width="31.00390625" style="33" bestFit="1" customWidth="1"/>
    <col min="4" max="4" width="15.7109375" style="33" bestFit="1" customWidth="1"/>
    <col min="5" max="5" width="27.421875" style="33" bestFit="1" customWidth="1"/>
    <col min="6" max="6" width="13.140625" style="33" customWidth="1"/>
    <col min="7" max="7" width="14.7109375" style="33" bestFit="1" customWidth="1"/>
    <col min="8" max="8" width="11.421875" style="33" customWidth="1"/>
    <col min="9" max="9" width="11.421875" style="665" customWidth="1"/>
    <col min="10" max="16384" width="11.421875" style="33" customWidth="1"/>
  </cols>
  <sheetData>
    <row r="1" spans="1:6" ht="15" customHeight="1">
      <c r="A1" s="33" t="str">
        <f>Indice!C1</f>
        <v>NEGOFIN S.A.E.C.A.</v>
      </c>
      <c r="F1" s="149" t="s">
        <v>132</v>
      </c>
    </row>
    <row r="5" spans="1:6" ht="15" customHeight="1">
      <c r="A5" s="34"/>
      <c r="B5" s="34"/>
      <c r="C5" s="34"/>
      <c r="D5" s="34"/>
      <c r="E5" s="34"/>
      <c r="F5" s="34"/>
    </row>
    <row r="6" spans="1:9" ht="15" customHeight="1">
      <c r="A6" s="347" t="s">
        <v>863</v>
      </c>
      <c r="B6" s="347"/>
      <c r="C6" s="347"/>
      <c r="D6" s="347"/>
      <c r="E6" s="347"/>
      <c r="F6" s="347"/>
      <c r="G6" s="3"/>
      <c r="H6" s="3"/>
      <c r="I6" s="666"/>
    </row>
    <row r="7" spans="1:9" ht="15" customHeight="1">
      <c r="A7" s="348" t="s">
        <v>864</v>
      </c>
      <c r="B7" s="348"/>
      <c r="C7" s="348"/>
      <c r="D7" s="348"/>
      <c r="E7" s="376" t="s">
        <v>1295</v>
      </c>
      <c r="F7" s="376"/>
      <c r="G7" s="376"/>
      <c r="H7" s="3"/>
      <c r="I7" s="666"/>
    </row>
    <row r="8" spans="1:9" ht="15" customHeight="1">
      <c r="A8" s="747" t="s">
        <v>45</v>
      </c>
      <c r="B8" s="747"/>
      <c r="C8" s="747"/>
      <c r="D8" s="747"/>
      <c r="E8" s="747"/>
      <c r="F8" s="747"/>
      <c r="G8" s="1"/>
      <c r="H8" s="1"/>
      <c r="I8" s="667"/>
    </row>
    <row r="9" spans="1:9" ht="15" customHeight="1">
      <c r="A9" s="32"/>
      <c r="B9" s="32"/>
      <c r="C9" s="32"/>
      <c r="D9" s="32"/>
      <c r="E9" s="32"/>
      <c r="F9" s="32"/>
      <c r="G9" s="1"/>
      <c r="H9" s="1"/>
      <c r="I9" s="667"/>
    </row>
    <row r="10" spans="1:6" ht="15" customHeight="1">
      <c r="A10" s="34"/>
      <c r="B10" s="34"/>
      <c r="C10" s="34"/>
      <c r="D10" s="34"/>
      <c r="E10" s="34"/>
      <c r="F10" s="34"/>
    </row>
    <row r="11" spans="1:9" ht="15" customHeight="1">
      <c r="A11" s="344" t="s">
        <v>0</v>
      </c>
      <c r="B11" s="345"/>
      <c r="C11" s="345"/>
      <c r="D11" s="345"/>
      <c r="E11" s="345"/>
      <c r="F11" s="346"/>
      <c r="G11" s="748"/>
      <c r="H11" s="748"/>
      <c r="I11" s="748"/>
    </row>
    <row r="12" spans="1:6" ht="15" customHeight="1">
      <c r="A12" s="759" t="s">
        <v>165</v>
      </c>
      <c r="B12" s="759"/>
      <c r="C12" s="759"/>
      <c r="D12" s="759"/>
      <c r="E12" s="759"/>
      <c r="F12" s="759"/>
    </row>
    <row r="13" spans="1:15" ht="15" customHeight="1">
      <c r="A13" s="654"/>
      <c r="B13" s="655"/>
      <c r="C13" s="655"/>
      <c r="D13" s="655"/>
      <c r="E13" s="655"/>
      <c r="F13" s="464"/>
      <c r="G13" s="1"/>
      <c r="H13" s="1"/>
      <c r="I13" s="667"/>
      <c r="J13" s="744"/>
      <c r="K13" s="745"/>
      <c r="L13" s="745"/>
      <c r="M13" s="745"/>
      <c r="N13" s="745"/>
      <c r="O13" s="745"/>
    </row>
    <row r="14" spans="1:15" ht="15" customHeight="1">
      <c r="A14" s="656" t="s">
        <v>1076</v>
      </c>
      <c r="B14" s="655"/>
      <c r="C14" s="655"/>
      <c r="D14" s="655"/>
      <c r="E14" s="655"/>
      <c r="F14" s="464"/>
      <c r="J14" s="745"/>
      <c r="K14" s="745"/>
      <c r="L14" s="745"/>
      <c r="M14" s="745"/>
      <c r="N14" s="745"/>
      <c r="O14" s="745"/>
    </row>
    <row r="15" spans="1:15" ht="15" customHeight="1">
      <c r="A15" s="657" t="s">
        <v>1077</v>
      </c>
      <c r="B15" s="657"/>
      <c r="C15" s="657"/>
      <c r="D15" s="657"/>
      <c r="E15" s="657"/>
      <c r="F15" s="466"/>
      <c r="J15" s="462"/>
      <c r="K15" s="462"/>
      <c r="L15" s="462"/>
      <c r="M15" s="462"/>
      <c r="N15" s="462"/>
      <c r="O15" s="462"/>
    </row>
    <row r="16" spans="1:15" ht="15.75" customHeight="1">
      <c r="A16" s="657" t="s">
        <v>1078</v>
      </c>
      <c r="B16" s="657"/>
      <c r="C16" s="657"/>
      <c r="D16" s="657"/>
      <c r="E16" s="657"/>
      <c r="F16" s="657"/>
      <c r="J16" s="746"/>
      <c r="K16" s="746"/>
      <c r="L16" s="746"/>
      <c r="M16" s="746"/>
      <c r="N16" s="746"/>
      <c r="O16" s="746"/>
    </row>
    <row r="17" spans="1:15" ht="15" customHeight="1">
      <c r="A17" s="655"/>
      <c r="B17" s="655"/>
      <c r="C17" s="655"/>
      <c r="D17" s="655"/>
      <c r="E17" s="655"/>
      <c r="F17" s="466"/>
      <c r="J17" s="746"/>
      <c r="K17" s="746"/>
      <c r="L17" s="746"/>
      <c r="M17" s="746"/>
      <c r="N17" s="746"/>
      <c r="O17" s="746"/>
    </row>
    <row r="18" spans="1:15" ht="15" customHeight="1">
      <c r="A18" s="655"/>
      <c r="B18" s="655"/>
      <c r="C18" s="655"/>
      <c r="D18" s="655"/>
      <c r="E18" s="655"/>
      <c r="F18" s="466"/>
      <c r="J18" s="746"/>
      <c r="K18" s="746"/>
      <c r="L18" s="746"/>
      <c r="M18" s="746"/>
      <c r="N18" s="746"/>
      <c r="O18" s="746"/>
    </row>
    <row r="19" spans="1:15" ht="15" customHeight="1">
      <c r="A19" s="655"/>
      <c r="B19" s="655"/>
      <c r="C19" s="655"/>
      <c r="D19" s="655"/>
      <c r="E19" s="655"/>
      <c r="F19" s="466"/>
      <c r="J19" s="746"/>
      <c r="K19" s="746"/>
      <c r="L19" s="746"/>
      <c r="M19" s="746"/>
      <c r="N19" s="746"/>
      <c r="O19" s="746"/>
    </row>
    <row r="20" spans="1:15" ht="15" customHeight="1">
      <c r="A20" s="655"/>
      <c r="B20" s="655"/>
      <c r="C20" s="655"/>
      <c r="D20" s="655"/>
      <c r="E20" s="655"/>
      <c r="F20" s="466"/>
      <c r="J20" s="746"/>
      <c r="K20" s="746"/>
      <c r="L20" s="746"/>
      <c r="M20" s="746"/>
      <c r="N20" s="746"/>
      <c r="O20" s="746"/>
    </row>
    <row r="21" spans="1:15" ht="15" customHeight="1">
      <c r="A21" s="655"/>
      <c r="B21" s="655"/>
      <c r="C21" s="655"/>
      <c r="D21" s="655"/>
      <c r="E21" s="655"/>
      <c r="F21" s="466"/>
      <c r="J21" s="746"/>
      <c r="K21" s="746"/>
      <c r="L21" s="746"/>
      <c r="M21" s="746"/>
      <c r="N21" s="746"/>
      <c r="O21" s="746"/>
    </row>
    <row r="22" spans="1:15" ht="15" customHeight="1">
      <c r="A22" s="655"/>
      <c r="B22" s="655"/>
      <c r="C22" s="655"/>
      <c r="D22" s="655"/>
      <c r="E22" s="655"/>
      <c r="F22" s="464"/>
      <c r="J22" s="746"/>
      <c r="K22" s="746"/>
      <c r="L22" s="746"/>
      <c r="M22" s="746"/>
      <c r="N22" s="746"/>
      <c r="O22" s="746"/>
    </row>
    <row r="23" spans="1:15" ht="15" customHeight="1">
      <c r="A23" s="655"/>
      <c r="B23" s="655"/>
      <c r="C23" s="655"/>
      <c r="D23" s="655"/>
      <c r="E23" s="655"/>
      <c r="F23" s="464"/>
      <c r="J23" s="746"/>
      <c r="K23" s="746"/>
      <c r="L23" s="746"/>
      <c r="M23" s="746"/>
      <c r="N23" s="746"/>
      <c r="O23" s="746"/>
    </row>
    <row r="24" spans="1:15" ht="15" customHeight="1">
      <c r="A24" s="655"/>
      <c r="B24" s="655"/>
      <c r="C24" s="655"/>
      <c r="D24" s="655"/>
      <c r="E24" s="655"/>
      <c r="F24" s="464"/>
      <c r="J24" s="746"/>
      <c r="K24" s="746"/>
      <c r="L24" s="746"/>
      <c r="M24" s="746"/>
      <c r="N24" s="746"/>
      <c r="O24" s="746"/>
    </row>
    <row r="25" spans="1:15" ht="15" customHeight="1">
      <c r="A25" s="655"/>
      <c r="B25" s="655"/>
      <c r="C25" s="655"/>
      <c r="D25" s="655"/>
      <c r="E25" s="655"/>
      <c r="F25" s="464"/>
      <c r="J25" s="746"/>
      <c r="K25" s="746"/>
      <c r="L25" s="746"/>
      <c r="M25" s="746"/>
      <c r="N25" s="746"/>
      <c r="O25" s="746"/>
    </row>
    <row r="26" spans="1:15" ht="15" customHeight="1">
      <c r="A26" s="655"/>
      <c r="B26" s="655"/>
      <c r="C26" s="655"/>
      <c r="D26" s="655"/>
      <c r="E26" s="655"/>
      <c r="F26" s="464"/>
      <c r="J26" s="746"/>
      <c r="K26" s="746"/>
      <c r="L26" s="746"/>
      <c r="M26" s="746"/>
      <c r="N26" s="746"/>
      <c r="O26" s="746"/>
    </row>
    <row r="27" spans="1:6" ht="15" customHeight="1">
      <c r="A27" s="464" t="s">
        <v>1079</v>
      </c>
      <c r="B27" s="464"/>
      <c r="C27" s="464"/>
      <c r="D27" s="464"/>
      <c r="E27" s="464"/>
      <c r="F27" s="464"/>
    </row>
    <row r="28" spans="1:15" ht="15" customHeight="1">
      <c r="A28" s="750" t="s">
        <v>1080</v>
      </c>
      <c r="B28" s="750"/>
      <c r="C28" s="750"/>
      <c r="D28" s="750"/>
      <c r="E28" s="750"/>
      <c r="F28" s="750"/>
      <c r="J28" s="749"/>
      <c r="K28" s="749"/>
      <c r="L28" s="749"/>
      <c r="M28" s="749"/>
      <c r="N28" s="749"/>
      <c r="O28" s="749"/>
    </row>
    <row r="29" spans="1:15" ht="15" customHeight="1">
      <c r="A29" s="750" t="s">
        <v>1081</v>
      </c>
      <c r="B29" s="750"/>
      <c r="C29" s="750"/>
      <c r="D29" s="750"/>
      <c r="E29" s="750"/>
      <c r="F29" s="750"/>
      <c r="J29" s="749"/>
      <c r="K29" s="749"/>
      <c r="L29" s="749"/>
      <c r="M29" s="749"/>
      <c r="N29" s="749"/>
      <c r="O29" s="749"/>
    </row>
    <row r="30" spans="1:15" ht="15" customHeight="1">
      <c r="A30" s="750" t="s">
        <v>1082</v>
      </c>
      <c r="B30" s="750"/>
      <c r="C30" s="750"/>
      <c r="D30" s="750"/>
      <c r="E30" s="750"/>
      <c r="F30" s="750"/>
      <c r="J30" s="462"/>
      <c r="K30" s="462"/>
      <c r="L30" s="462"/>
      <c r="M30" s="462"/>
      <c r="N30" s="462"/>
      <c r="O30" s="462"/>
    </row>
    <row r="31" spans="1:15" ht="15" customHeight="1">
      <c r="A31" s="750" t="s">
        <v>1083</v>
      </c>
      <c r="B31" s="750"/>
      <c r="C31" s="750"/>
      <c r="D31" s="750"/>
      <c r="E31" s="750"/>
      <c r="F31" s="750"/>
      <c r="J31" s="749"/>
      <c r="K31" s="749"/>
      <c r="L31" s="749"/>
      <c r="M31" s="749"/>
      <c r="N31" s="749"/>
      <c r="O31" s="749"/>
    </row>
    <row r="32" spans="1:15" ht="15" customHeight="1">
      <c r="A32" s="750" t="s">
        <v>1087</v>
      </c>
      <c r="B32" s="750"/>
      <c r="C32" s="750"/>
      <c r="D32" s="750"/>
      <c r="E32" s="750"/>
      <c r="F32" s="750"/>
      <c r="J32" s="749"/>
      <c r="K32" s="749"/>
      <c r="L32" s="749"/>
      <c r="M32" s="749"/>
      <c r="N32" s="749"/>
      <c r="O32" s="749"/>
    </row>
    <row r="33" spans="1:6" ht="15" customHeight="1">
      <c r="A33" s="464" t="s">
        <v>1085</v>
      </c>
      <c r="B33" s="464"/>
      <c r="C33" s="464"/>
      <c r="D33" s="464"/>
      <c r="E33" s="464"/>
      <c r="F33" s="464"/>
    </row>
    <row r="34" spans="1:6" ht="15" customHeight="1">
      <c r="A34" s="464" t="s">
        <v>1086</v>
      </c>
      <c r="B34" s="464"/>
      <c r="C34" s="464"/>
      <c r="D34" s="464"/>
      <c r="E34" s="464"/>
      <c r="F34" s="464"/>
    </row>
    <row r="35" spans="1:6" ht="15" customHeight="1">
      <c r="A35" s="464"/>
      <c r="B35" s="464"/>
      <c r="C35" s="464"/>
      <c r="D35" s="464"/>
      <c r="E35" s="464"/>
      <c r="F35" s="464"/>
    </row>
    <row r="36" spans="1:6" ht="15" customHeight="1">
      <c r="A36" s="658" t="s">
        <v>1084</v>
      </c>
      <c r="B36" s="464"/>
      <c r="C36" s="464"/>
      <c r="D36" s="464"/>
      <c r="E36" s="464"/>
      <c r="F36" s="464"/>
    </row>
    <row r="37" spans="1:6" ht="15" customHeight="1">
      <c r="A37" s="464"/>
      <c r="B37" s="464"/>
      <c r="C37" s="464"/>
      <c r="D37" s="464"/>
      <c r="E37" s="464"/>
      <c r="F37" s="464"/>
    </row>
    <row r="38" spans="1:6" ht="15" customHeight="1">
      <c r="A38" s="464"/>
      <c r="B38" s="622" t="s">
        <v>1144</v>
      </c>
      <c r="C38" s="622" t="s">
        <v>1145</v>
      </c>
      <c r="D38" s="464"/>
      <c r="E38" s="464"/>
      <c r="F38" s="464"/>
    </row>
    <row r="39" spans="1:6" ht="15" customHeight="1">
      <c r="A39" s="464"/>
      <c r="B39" s="659" t="s">
        <v>1146</v>
      </c>
      <c r="C39" s="660" t="s">
        <v>1147</v>
      </c>
      <c r="D39" s="464"/>
      <c r="E39" s="464"/>
      <c r="F39" s="464"/>
    </row>
    <row r="40" spans="1:6" ht="15" customHeight="1">
      <c r="A40" s="464"/>
      <c r="B40" s="659" t="s">
        <v>1148</v>
      </c>
      <c r="C40" s="660" t="s">
        <v>1147</v>
      </c>
      <c r="D40" s="464"/>
      <c r="E40" s="464"/>
      <c r="F40" s="464"/>
    </row>
    <row r="41" spans="1:6" ht="15" customHeight="1">
      <c r="A41" s="464"/>
      <c r="B41" s="659" t="s">
        <v>1149</v>
      </c>
      <c r="C41" s="660" t="s">
        <v>1150</v>
      </c>
      <c r="D41" s="464"/>
      <c r="E41" s="464"/>
      <c r="F41" s="464"/>
    </row>
    <row r="42" spans="1:6" ht="15" customHeight="1">
      <c r="A42" s="464"/>
      <c r="B42" s="659" t="s">
        <v>1149</v>
      </c>
      <c r="C42" s="661" t="s">
        <v>1151</v>
      </c>
      <c r="D42" s="464"/>
      <c r="E42" s="464"/>
      <c r="F42" s="464"/>
    </row>
    <row r="43" spans="1:6" ht="15" customHeight="1">
      <c r="A43" s="464"/>
      <c r="B43" s="659" t="s">
        <v>1152</v>
      </c>
      <c r="C43" s="660" t="s">
        <v>1153</v>
      </c>
      <c r="D43" s="464"/>
      <c r="E43" s="464"/>
      <c r="F43" s="464"/>
    </row>
    <row r="44" spans="1:6" ht="15" customHeight="1">
      <c r="A44" s="464"/>
      <c r="B44" s="656" t="s">
        <v>1154</v>
      </c>
      <c r="C44" s="657"/>
      <c r="D44" s="464"/>
      <c r="E44" s="464"/>
      <c r="F44" s="464"/>
    </row>
    <row r="45" spans="1:6" ht="15" customHeight="1">
      <c r="A45" s="464"/>
      <c r="B45" s="662" t="s">
        <v>1155</v>
      </c>
      <c r="C45" s="663" t="s">
        <v>1156</v>
      </c>
      <c r="D45" s="464"/>
      <c r="E45" s="464"/>
      <c r="F45" s="464"/>
    </row>
    <row r="46" spans="1:6" ht="15" customHeight="1">
      <c r="A46" s="464"/>
      <c r="B46" s="662" t="str">
        <f>+'[2]Hoja1'!$L$6</f>
        <v>Gerente Gral Adjunto</v>
      </c>
      <c r="C46" s="663" t="str">
        <f>+'[2]Hoja1'!$C$6</f>
        <v>Widilfo Escobar Cikel</v>
      </c>
      <c r="D46" s="464"/>
      <c r="E46" s="464"/>
      <c r="F46" s="464"/>
    </row>
    <row r="47" spans="1:6" ht="15" customHeight="1">
      <c r="A47" s="464"/>
      <c r="B47" s="662" t="str">
        <f>+'[3]Hoja1'!$L$6</f>
        <v>Gerente Financiero</v>
      </c>
      <c r="C47" s="663" t="s">
        <v>1157</v>
      </c>
      <c r="D47" s="464"/>
      <c r="E47" s="464"/>
      <c r="F47" s="464"/>
    </row>
    <row r="48" spans="1:6" ht="15" customHeight="1">
      <c r="A48" s="464"/>
      <c r="B48" s="662" t="s">
        <v>1158</v>
      </c>
      <c r="C48" s="663" t="s">
        <v>1159</v>
      </c>
      <c r="D48" s="464"/>
      <c r="E48" s="464"/>
      <c r="F48" s="464"/>
    </row>
    <row r="49" spans="1:6" ht="15" customHeight="1">
      <c r="A49" s="464"/>
      <c r="B49" s="662" t="str">
        <f>+'[4]Hoja1'!$L$6</f>
        <v>Gerente de Informatica</v>
      </c>
      <c r="C49" s="663" t="s">
        <v>1160</v>
      </c>
      <c r="D49" s="464"/>
      <c r="E49" s="464"/>
      <c r="F49" s="464"/>
    </row>
    <row r="50" spans="1:6" ht="15" customHeight="1">
      <c r="A50" s="464"/>
      <c r="B50" s="662" t="str">
        <f>+'[5]Hoja1'!$L$6</f>
        <v>Gte. RRHH.</v>
      </c>
      <c r="C50" s="663" t="s">
        <v>1161</v>
      </c>
      <c r="D50" s="464"/>
      <c r="E50" s="464"/>
      <c r="F50" s="464"/>
    </row>
    <row r="51" spans="1:6" ht="15" customHeight="1">
      <c r="A51" s="464"/>
      <c r="B51" s="662" t="str">
        <f>+'[6]Hoja1'!$L$10</f>
        <v>Auditora</v>
      </c>
      <c r="C51" s="663" t="s">
        <v>1162</v>
      </c>
      <c r="D51" s="464"/>
      <c r="E51" s="464"/>
      <c r="F51" s="464"/>
    </row>
    <row r="52" spans="1:6" ht="15" customHeight="1">
      <c r="A52" s="464"/>
      <c r="B52" s="662" t="s">
        <v>1163</v>
      </c>
      <c r="C52" s="664" t="s">
        <v>1164</v>
      </c>
      <c r="D52" s="464"/>
      <c r="E52" s="464"/>
      <c r="F52" s="464"/>
    </row>
    <row r="53" spans="1:6" ht="15" customHeight="1">
      <c r="A53" s="464"/>
      <c r="B53" s="662" t="s">
        <v>1165</v>
      </c>
      <c r="C53" s="664" t="s">
        <v>1166</v>
      </c>
      <c r="D53" s="464"/>
      <c r="E53" s="464"/>
      <c r="F53" s="464"/>
    </row>
    <row r="54" spans="1:6" ht="15" customHeight="1">
      <c r="A54" s="464"/>
      <c r="B54" s="662" t="s">
        <v>1167</v>
      </c>
      <c r="C54" s="664" t="s">
        <v>1168</v>
      </c>
      <c r="D54" s="464"/>
      <c r="E54" s="464"/>
      <c r="F54" s="464"/>
    </row>
    <row r="55" spans="1:6" ht="15" customHeight="1">
      <c r="A55" s="464"/>
      <c r="B55" s="662" t="s">
        <v>1169</v>
      </c>
      <c r="C55" s="664" t="s">
        <v>1170</v>
      </c>
      <c r="D55" s="464"/>
      <c r="E55" s="464"/>
      <c r="F55" s="464"/>
    </row>
    <row r="56" spans="1:6" ht="15" customHeight="1">
      <c r="A56" s="464"/>
      <c r="B56" s="662" t="s">
        <v>1171</v>
      </c>
      <c r="C56" s="663" t="s">
        <v>1172</v>
      </c>
      <c r="D56" s="464"/>
      <c r="E56" s="464"/>
      <c r="F56" s="464"/>
    </row>
    <row r="57" spans="1:6" ht="15" customHeight="1">
      <c r="A57" s="464"/>
      <c r="B57" s="662" t="s">
        <v>1173</v>
      </c>
      <c r="C57" s="663" t="s">
        <v>1174</v>
      </c>
      <c r="D57" s="464"/>
      <c r="E57" s="464"/>
      <c r="F57" s="464"/>
    </row>
    <row r="58" spans="1:6" ht="15" customHeight="1">
      <c r="A58" s="464"/>
      <c r="B58" s="662" t="s">
        <v>1175</v>
      </c>
      <c r="C58" s="663" t="s">
        <v>1176</v>
      </c>
      <c r="D58" s="464"/>
      <c r="E58" s="464"/>
      <c r="F58" s="464"/>
    </row>
    <row r="59" spans="1:6" ht="15" customHeight="1">
      <c r="A59" s="464"/>
      <c r="B59" s="662" t="s">
        <v>1177</v>
      </c>
      <c r="C59" s="663" t="s">
        <v>1178</v>
      </c>
      <c r="D59" s="464"/>
      <c r="E59" s="464"/>
      <c r="F59" s="464"/>
    </row>
    <row r="60" spans="1:6" ht="15" customHeight="1">
      <c r="A60" s="464"/>
      <c r="B60" s="464"/>
      <c r="C60" s="464"/>
      <c r="D60" s="464"/>
      <c r="E60" s="464"/>
      <c r="F60" s="464"/>
    </row>
    <row r="61" spans="1:6" ht="15" customHeight="1">
      <c r="A61" s="658" t="s">
        <v>1179</v>
      </c>
      <c r="B61" s="464"/>
      <c r="C61" s="464"/>
      <c r="D61" s="464"/>
      <c r="E61" s="464"/>
      <c r="F61" s="464"/>
    </row>
    <row r="62" spans="1:6" ht="15" thickBot="1">
      <c r="A62" s="464"/>
      <c r="B62" s="464"/>
      <c r="C62" s="464"/>
      <c r="D62" s="464"/>
      <c r="E62" s="464"/>
      <c r="F62" s="464"/>
    </row>
    <row r="63" spans="1:6" ht="15.75" thickBot="1">
      <c r="A63" s="756" t="s">
        <v>1180</v>
      </c>
      <c r="B63" s="757"/>
      <c r="C63" s="757"/>
      <c r="D63" s="757"/>
      <c r="E63" s="758"/>
      <c r="F63" s="464"/>
    </row>
    <row r="64" spans="1:6" ht="15.75" thickBot="1">
      <c r="A64" s="621" t="s">
        <v>1181</v>
      </c>
      <c r="B64" s="623" t="s">
        <v>1182</v>
      </c>
      <c r="C64" s="623" t="s">
        <v>1183</v>
      </c>
      <c r="D64" s="623" t="s">
        <v>1184</v>
      </c>
      <c r="E64" s="623" t="s">
        <v>1185</v>
      </c>
      <c r="F64" s="464"/>
    </row>
    <row r="65" spans="1:6" ht="15">
      <c r="A65" s="624"/>
      <c r="B65" s="625"/>
      <c r="C65" s="625"/>
      <c r="D65" s="625"/>
      <c r="E65" s="626"/>
      <c r="F65" s="464"/>
    </row>
    <row r="66" spans="1:6" ht="15" thickBot="1">
      <c r="A66" s="627">
        <v>120000000000</v>
      </c>
      <c r="B66" s="627">
        <v>150000000000</v>
      </c>
      <c r="C66" s="627">
        <v>120000000000</v>
      </c>
      <c r="D66" s="627">
        <v>120000000000</v>
      </c>
      <c r="E66" s="627">
        <v>1000000</v>
      </c>
      <c r="F66" s="464"/>
    </row>
    <row r="67" spans="1:6" ht="15" thickBot="1">
      <c r="A67" s="464"/>
      <c r="B67" s="464"/>
      <c r="C67" s="464"/>
      <c r="D67" s="464"/>
      <c r="E67" s="464"/>
      <c r="F67" s="464"/>
    </row>
    <row r="68" spans="1:9" s="683" customFormat="1" ht="15" customHeight="1" thickBot="1">
      <c r="A68" s="751" t="s">
        <v>1248</v>
      </c>
      <c r="B68" s="752"/>
      <c r="C68" s="752"/>
      <c r="D68" s="752"/>
      <c r="E68" s="752"/>
      <c r="F68" s="752"/>
      <c r="G68" s="752"/>
      <c r="H68" s="753"/>
      <c r="I68" s="665"/>
    </row>
    <row r="69" spans="1:9" s="683" customFormat="1" ht="15" thickBot="1">
      <c r="A69" s="754"/>
      <c r="B69" s="754"/>
      <c r="C69" s="754"/>
      <c r="D69" s="754"/>
      <c r="E69" s="754"/>
      <c r="F69" s="754"/>
      <c r="G69" s="754"/>
      <c r="H69" s="754"/>
      <c r="I69" s="665"/>
    </row>
    <row r="70" spans="1:9" s="683" customFormat="1" ht="15" thickBot="1">
      <c r="A70" s="685" t="s">
        <v>1187</v>
      </c>
      <c r="B70" s="686" t="s">
        <v>1188</v>
      </c>
      <c r="C70" s="686" t="s">
        <v>1189</v>
      </c>
      <c r="D70" s="686" t="s">
        <v>1190</v>
      </c>
      <c r="E70" s="686" t="s">
        <v>1191</v>
      </c>
      <c r="F70" s="686" t="s">
        <v>1192</v>
      </c>
      <c r="G70" s="686" t="s">
        <v>885</v>
      </c>
      <c r="H70" s="686" t="s">
        <v>1249</v>
      </c>
      <c r="I70" s="665"/>
    </row>
    <row r="71" spans="1:9" s="683" customFormat="1" ht="15" thickBot="1">
      <c r="A71" s="687">
        <v>1</v>
      </c>
      <c r="B71" s="688" t="s">
        <v>1217</v>
      </c>
      <c r="C71" s="689" t="s">
        <v>1218</v>
      </c>
      <c r="D71" s="690">
        <v>7200</v>
      </c>
      <c r="E71" s="691" t="s">
        <v>1197</v>
      </c>
      <c r="F71" s="690">
        <f>+D71*5</f>
        <v>36000</v>
      </c>
      <c r="G71" s="692">
        <v>7200000000</v>
      </c>
      <c r="H71" s="693">
        <v>0.06</v>
      </c>
      <c r="I71" s="665"/>
    </row>
    <row r="72" spans="1:9" s="683" customFormat="1" ht="15" thickBot="1">
      <c r="A72" s="687">
        <f aca="true" t="shared" si="0" ref="A72:A116">+A71+1</f>
        <v>2</v>
      </c>
      <c r="B72" s="694" t="s">
        <v>1134</v>
      </c>
      <c r="C72" s="689" t="s">
        <v>1233</v>
      </c>
      <c r="D72" s="695">
        <v>8200</v>
      </c>
      <c r="E72" s="696" t="s">
        <v>1197</v>
      </c>
      <c r="F72" s="695">
        <f>+D72*5</f>
        <v>41000</v>
      </c>
      <c r="G72" s="692">
        <v>8200000000</v>
      </c>
      <c r="H72" s="693">
        <v>0.06833333333333333</v>
      </c>
      <c r="I72" s="665"/>
    </row>
    <row r="73" spans="1:9" s="683" customFormat="1" ht="15" thickBot="1">
      <c r="A73" s="687">
        <f t="shared" si="0"/>
        <v>3</v>
      </c>
      <c r="B73" s="694" t="s">
        <v>1195</v>
      </c>
      <c r="C73" s="689" t="s">
        <v>1196</v>
      </c>
      <c r="D73" s="695">
        <v>3800</v>
      </c>
      <c r="E73" s="696" t="s">
        <v>1197</v>
      </c>
      <c r="F73" s="695">
        <f>+D73*5</f>
        <v>19000</v>
      </c>
      <c r="G73" s="692">
        <v>3800000000</v>
      </c>
      <c r="H73" s="693">
        <v>0.03166666666666667</v>
      </c>
      <c r="I73" s="665"/>
    </row>
    <row r="74" spans="1:9" s="683" customFormat="1" ht="15" thickBot="1">
      <c r="A74" s="687">
        <f t="shared" si="0"/>
        <v>4</v>
      </c>
      <c r="B74" s="694" t="s">
        <v>1195</v>
      </c>
      <c r="C74" s="689" t="s">
        <v>1198</v>
      </c>
      <c r="D74" s="695">
        <v>400</v>
      </c>
      <c r="E74" s="696" t="s">
        <v>1197</v>
      </c>
      <c r="F74" s="695">
        <f>+D74*5</f>
        <v>2000</v>
      </c>
      <c r="G74" s="692">
        <v>400000000</v>
      </c>
      <c r="H74" s="693">
        <v>0.0033333333333333335</v>
      </c>
      <c r="I74" s="665"/>
    </row>
    <row r="75" spans="1:9" s="683" customFormat="1" ht="15" thickBot="1">
      <c r="A75" s="687">
        <f t="shared" si="0"/>
        <v>5</v>
      </c>
      <c r="B75" s="694" t="s">
        <v>1134</v>
      </c>
      <c r="C75" s="689" t="s">
        <v>1234</v>
      </c>
      <c r="D75" s="695">
        <v>400</v>
      </c>
      <c r="E75" s="696" t="s">
        <v>1197</v>
      </c>
      <c r="F75" s="695">
        <f>+D75*5</f>
        <v>2000</v>
      </c>
      <c r="G75" s="692">
        <v>400000000</v>
      </c>
      <c r="H75" s="693">
        <v>0.0033333333333333335</v>
      </c>
      <c r="I75" s="665"/>
    </row>
    <row r="76" spans="1:9" s="683" customFormat="1" ht="26.25" thickBot="1">
      <c r="A76" s="687">
        <f t="shared" si="0"/>
        <v>6</v>
      </c>
      <c r="B76" s="694" t="s">
        <v>1250</v>
      </c>
      <c r="C76" s="689" t="s">
        <v>1251</v>
      </c>
      <c r="D76" s="695">
        <v>700</v>
      </c>
      <c r="E76" s="696" t="s">
        <v>1200</v>
      </c>
      <c r="F76" s="695">
        <v>0</v>
      </c>
      <c r="G76" s="692">
        <v>700000000</v>
      </c>
      <c r="H76" s="693">
        <v>0.005833333333333334</v>
      </c>
      <c r="I76" s="665"/>
    </row>
    <row r="77" spans="1:9" s="683" customFormat="1" ht="15" thickBot="1">
      <c r="A77" s="687">
        <f t="shared" si="0"/>
        <v>7</v>
      </c>
      <c r="B77" s="694" t="s">
        <v>1195</v>
      </c>
      <c r="C77" s="689" t="s">
        <v>1199</v>
      </c>
      <c r="D77" s="695">
        <v>400</v>
      </c>
      <c r="E77" s="696" t="s">
        <v>1200</v>
      </c>
      <c r="F77" s="695">
        <v>0</v>
      </c>
      <c r="G77" s="692">
        <v>400000000</v>
      </c>
      <c r="H77" s="693">
        <v>0.0033333333333333335</v>
      </c>
      <c r="I77" s="665"/>
    </row>
    <row r="78" spans="1:9" s="683" customFormat="1" ht="15" thickBot="1">
      <c r="A78" s="687">
        <f t="shared" si="0"/>
        <v>8</v>
      </c>
      <c r="B78" s="694" t="s">
        <v>1252</v>
      </c>
      <c r="C78" s="689" t="s">
        <v>1253</v>
      </c>
      <c r="D78" s="695">
        <v>1260</v>
      </c>
      <c r="E78" s="696" t="s">
        <v>1202</v>
      </c>
      <c r="F78" s="695">
        <v>0</v>
      </c>
      <c r="G78" s="692">
        <v>1260000000</v>
      </c>
      <c r="H78" s="693">
        <v>0.0105</v>
      </c>
      <c r="I78" s="665"/>
    </row>
    <row r="79" spans="1:9" s="683" customFormat="1" ht="15" thickBot="1">
      <c r="A79" s="687">
        <f t="shared" si="0"/>
        <v>9</v>
      </c>
      <c r="B79" s="694" t="s">
        <v>1195</v>
      </c>
      <c r="C79" s="689" t="s">
        <v>1201</v>
      </c>
      <c r="D79" s="695">
        <v>940</v>
      </c>
      <c r="E79" s="696" t="s">
        <v>1202</v>
      </c>
      <c r="F79" s="695">
        <v>0</v>
      </c>
      <c r="G79" s="692">
        <v>940000000</v>
      </c>
      <c r="H79" s="693">
        <v>0.007833333333333333</v>
      </c>
      <c r="I79" s="665"/>
    </row>
    <row r="80" spans="1:9" s="683" customFormat="1" ht="15" thickBot="1">
      <c r="A80" s="687">
        <f t="shared" si="0"/>
        <v>10</v>
      </c>
      <c r="B80" s="694" t="s">
        <v>1254</v>
      </c>
      <c r="C80" s="689" t="s">
        <v>1255</v>
      </c>
      <c r="D80" s="695">
        <v>200</v>
      </c>
      <c r="E80" s="696" t="s">
        <v>1202</v>
      </c>
      <c r="F80" s="695">
        <v>0</v>
      </c>
      <c r="G80" s="692">
        <v>200000000</v>
      </c>
      <c r="H80" s="693">
        <v>0.0016666666666666668</v>
      </c>
      <c r="I80" s="665"/>
    </row>
    <row r="81" spans="1:9" s="683" customFormat="1" ht="15" thickBot="1">
      <c r="A81" s="687">
        <f t="shared" si="0"/>
        <v>11</v>
      </c>
      <c r="B81" s="688" t="s">
        <v>1256</v>
      </c>
      <c r="C81" s="689" t="s">
        <v>1257</v>
      </c>
      <c r="D81" s="695">
        <v>1200</v>
      </c>
      <c r="E81" s="696" t="s">
        <v>1258</v>
      </c>
      <c r="F81" s="695">
        <v>0</v>
      </c>
      <c r="G81" s="692">
        <v>1200000000</v>
      </c>
      <c r="H81" s="693">
        <v>0.01</v>
      </c>
      <c r="I81" s="665"/>
    </row>
    <row r="82" spans="1:9" s="683" customFormat="1" ht="26.25" thickBot="1">
      <c r="A82" s="687">
        <f t="shared" si="0"/>
        <v>12</v>
      </c>
      <c r="B82" s="694" t="s">
        <v>1259</v>
      </c>
      <c r="C82" s="689" t="s">
        <v>1260</v>
      </c>
      <c r="D82" s="695">
        <v>365</v>
      </c>
      <c r="E82" s="696" t="s">
        <v>1204</v>
      </c>
      <c r="F82" s="695">
        <v>0</v>
      </c>
      <c r="G82" s="692">
        <v>365000000</v>
      </c>
      <c r="H82" s="693">
        <v>0.0030416666666666665</v>
      </c>
      <c r="I82" s="665"/>
    </row>
    <row r="83" spans="1:9" s="683" customFormat="1" ht="15" thickBot="1">
      <c r="A83" s="687">
        <f t="shared" si="0"/>
        <v>13</v>
      </c>
      <c r="B83" s="694" t="s">
        <v>1261</v>
      </c>
      <c r="C83" s="689" t="s">
        <v>1262</v>
      </c>
      <c r="D83" s="695">
        <v>135</v>
      </c>
      <c r="E83" s="696" t="s">
        <v>1204</v>
      </c>
      <c r="F83" s="695">
        <v>0</v>
      </c>
      <c r="G83" s="692">
        <v>135000000</v>
      </c>
      <c r="H83" s="693">
        <v>0.001125</v>
      </c>
      <c r="I83" s="665"/>
    </row>
    <row r="84" spans="1:9" s="683" customFormat="1" ht="15" thickBot="1">
      <c r="A84" s="687">
        <f t="shared" si="0"/>
        <v>14</v>
      </c>
      <c r="B84" s="694" t="s">
        <v>1195</v>
      </c>
      <c r="C84" s="689" t="s">
        <v>1203</v>
      </c>
      <c r="D84" s="695">
        <v>400</v>
      </c>
      <c r="E84" s="696" t="s">
        <v>1204</v>
      </c>
      <c r="F84" s="695">
        <v>0</v>
      </c>
      <c r="G84" s="692">
        <v>400000000</v>
      </c>
      <c r="H84" s="693">
        <v>0.0033333333333333335</v>
      </c>
      <c r="I84" s="665"/>
    </row>
    <row r="85" spans="1:9" s="683" customFormat="1" ht="15" thickBot="1">
      <c r="A85" s="687">
        <f t="shared" si="0"/>
        <v>15</v>
      </c>
      <c r="B85" s="694" t="s">
        <v>1263</v>
      </c>
      <c r="C85" s="689" t="s">
        <v>1264</v>
      </c>
      <c r="D85" s="695">
        <v>2410</v>
      </c>
      <c r="E85" s="696" t="s">
        <v>1265</v>
      </c>
      <c r="F85" s="695">
        <v>0</v>
      </c>
      <c r="G85" s="692">
        <v>2410000000</v>
      </c>
      <c r="H85" s="693">
        <v>0.020083333333333335</v>
      </c>
      <c r="I85" s="665"/>
    </row>
    <row r="86" spans="1:9" s="683" customFormat="1" ht="15" thickBot="1">
      <c r="A86" s="687">
        <f t="shared" si="0"/>
        <v>16</v>
      </c>
      <c r="B86" s="694" t="s">
        <v>1266</v>
      </c>
      <c r="C86" s="689" t="s">
        <v>1267</v>
      </c>
      <c r="D86" s="695">
        <v>200</v>
      </c>
      <c r="E86" s="696" t="s">
        <v>1265</v>
      </c>
      <c r="F86" s="695">
        <v>0</v>
      </c>
      <c r="G86" s="692">
        <v>200000000</v>
      </c>
      <c r="H86" s="693">
        <v>0.0016666666666666668</v>
      </c>
      <c r="I86" s="665"/>
    </row>
    <row r="87" spans="1:9" s="683" customFormat="1" ht="15" thickBot="1">
      <c r="A87" s="687">
        <f t="shared" si="0"/>
        <v>17</v>
      </c>
      <c r="B87" s="694" t="s">
        <v>1268</v>
      </c>
      <c r="C87" s="689" t="s">
        <v>1269</v>
      </c>
      <c r="D87" s="695">
        <v>200</v>
      </c>
      <c r="E87" s="696" t="s">
        <v>1265</v>
      </c>
      <c r="F87" s="695">
        <v>0</v>
      </c>
      <c r="G87" s="692">
        <v>200000000</v>
      </c>
      <c r="H87" s="693">
        <v>0.0016666666666666668</v>
      </c>
      <c r="I87" s="665"/>
    </row>
    <row r="88" spans="1:9" s="683" customFormat="1" ht="15" thickBot="1">
      <c r="A88" s="687">
        <f t="shared" si="0"/>
        <v>18</v>
      </c>
      <c r="B88" s="694" t="s">
        <v>1270</v>
      </c>
      <c r="C88" s="689" t="s">
        <v>1271</v>
      </c>
      <c r="D88" s="695">
        <v>70</v>
      </c>
      <c r="E88" s="696" t="s">
        <v>1265</v>
      </c>
      <c r="F88" s="695">
        <v>0</v>
      </c>
      <c r="G88" s="692">
        <v>70000000</v>
      </c>
      <c r="H88" s="693">
        <v>0.0005833333333333334</v>
      </c>
      <c r="I88" s="665"/>
    </row>
    <row r="89" spans="1:9" s="683" customFormat="1" ht="15" thickBot="1">
      <c r="A89" s="687">
        <f t="shared" si="0"/>
        <v>19</v>
      </c>
      <c r="B89" s="694" t="s">
        <v>1270</v>
      </c>
      <c r="C89" s="689" t="s">
        <v>1272</v>
      </c>
      <c r="D89" s="695">
        <v>200</v>
      </c>
      <c r="E89" s="696" t="s">
        <v>1265</v>
      </c>
      <c r="F89" s="695">
        <v>0</v>
      </c>
      <c r="G89" s="692">
        <v>200000000</v>
      </c>
      <c r="H89" s="693">
        <v>0.0016666666666666668</v>
      </c>
      <c r="I89" s="665"/>
    </row>
    <row r="90" spans="1:9" s="683" customFormat="1" ht="15" thickBot="1">
      <c r="A90" s="687">
        <f t="shared" si="0"/>
        <v>20</v>
      </c>
      <c r="B90" s="688" t="s">
        <v>1273</v>
      </c>
      <c r="C90" s="689" t="s">
        <v>1274</v>
      </c>
      <c r="D90" s="695">
        <v>220</v>
      </c>
      <c r="E90" s="696" t="s">
        <v>1265</v>
      </c>
      <c r="F90" s="695">
        <v>0</v>
      </c>
      <c r="G90" s="692">
        <v>220000000</v>
      </c>
      <c r="H90" s="693">
        <v>0.0018333333333333333</v>
      </c>
      <c r="I90" s="665"/>
    </row>
    <row r="91" spans="1:9" s="683" customFormat="1" ht="15" thickBot="1">
      <c r="A91" s="687">
        <f t="shared" si="0"/>
        <v>21</v>
      </c>
      <c r="B91" s="697" t="s">
        <v>1147</v>
      </c>
      <c r="C91" s="698" t="s">
        <v>1226</v>
      </c>
      <c r="D91" s="699">
        <v>1000</v>
      </c>
      <c r="E91" s="700" t="s">
        <v>1214</v>
      </c>
      <c r="F91" s="699"/>
      <c r="G91" s="701">
        <f>+D91*1000000</f>
        <v>1000000000</v>
      </c>
      <c r="H91" s="693">
        <v>0.008333333333333333</v>
      </c>
      <c r="I91" s="665"/>
    </row>
    <row r="92" spans="1:9" s="683" customFormat="1" ht="15" thickBot="1">
      <c r="A92" s="687">
        <f t="shared" si="0"/>
        <v>22</v>
      </c>
      <c r="B92" s="697" t="s">
        <v>1147</v>
      </c>
      <c r="C92" s="698" t="s">
        <v>1227</v>
      </c>
      <c r="D92" s="699">
        <v>944</v>
      </c>
      <c r="E92" s="700" t="s">
        <v>1214</v>
      </c>
      <c r="F92" s="699"/>
      <c r="G92" s="701">
        <f>+D92*1000000</f>
        <v>944000000</v>
      </c>
      <c r="H92" s="693">
        <v>0.007866666666666666</v>
      </c>
      <c r="I92" s="665"/>
    </row>
    <row r="93" spans="1:9" s="683" customFormat="1" ht="15" thickBot="1">
      <c r="A93" s="687">
        <f t="shared" si="0"/>
        <v>23</v>
      </c>
      <c r="B93" s="697" t="s">
        <v>1228</v>
      </c>
      <c r="C93" s="698" t="s">
        <v>1229</v>
      </c>
      <c r="D93" s="699">
        <v>2322</v>
      </c>
      <c r="E93" s="700" t="s">
        <v>1214</v>
      </c>
      <c r="F93" s="699"/>
      <c r="G93" s="701">
        <f>+D93*1000000</f>
        <v>2322000000</v>
      </c>
      <c r="H93" s="693">
        <v>0.01935</v>
      </c>
      <c r="I93" s="665"/>
    </row>
    <row r="94" spans="1:9" s="683" customFormat="1" ht="15" thickBot="1">
      <c r="A94" s="687">
        <f t="shared" si="0"/>
        <v>24</v>
      </c>
      <c r="B94" s="697" t="s">
        <v>1275</v>
      </c>
      <c r="C94" s="698" t="s">
        <v>1213</v>
      </c>
      <c r="D94" s="699">
        <v>1134</v>
      </c>
      <c r="E94" s="700" t="s">
        <v>1214</v>
      </c>
      <c r="F94" s="699"/>
      <c r="G94" s="701">
        <f>+D94*1000000</f>
        <v>1134000000</v>
      </c>
      <c r="H94" s="693">
        <v>0.00945</v>
      </c>
      <c r="I94" s="665"/>
    </row>
    <row r="95" spans="1:9" s="683" customFormat="1" ht="15" thickBot="1">
      <c r="A95" s="687">
        <f t="shared" si="0"/>
        <v>25</v>
      </c>
      <c r="B95" s="694" t="s">
        <v>1276</v>
      </c>
      <c r="C95" s="689" t="s">
        <v>1277</v>
      </c>
      <c r="D95" s="695">
        <v>3750</v>
      </c>
      <c r="E95" s="696" t="s">
        <v>1222</v>
      </c>
      <c r="F95" s="695">
        <v>0</v>
      </c>
      <c r="G95" s="692">
        <v>3750000000</v>
      </c>
      <c r="H95" s="693">
        <v>0.03125</v>
      </c>
      <c r="I95" s="665"/>
    </row>
    <row r="96" spans="1:9" s="683" customFormat="1" ht="15" thickBot="1">
      <c r="A96" s="687">
        <f t="shared" si="0"/>
        <v>26</v>
      </c>
      <c r="B96" s="694" t="s">
        <v>1278</v>
      </c>
      <c r="C96" s="689" t="s">
        <v>1279</v>
      </c>
      <c r="D96" s="695">
        <v>1950</v>
      </c>
      <c r="E96" s="696" t="s">
        <v>1222</v>
      </c>
      <c r="F96" s="695">
        <v>0</v>
      </c>
      <c r="G96" s="692">
        <v>1950000000</v>
      </c>
      <c r="H96" s="693">
        <v>0.01625</v>
      </c>
      <c r="I96" s="665"/>
    </row>
    <row r="97" spans="1:9" s="683" customFormat="1" ht="15" thickBot="1">
      <c r="A97" s="687">
        <f t="shared" si="0"/>
        <v>27</v>
      </c>
      <c r="B97" s="702" t="s">
        <v>1217</v>
      </c>
      <c r="C97" s="689" t="s">
        <v>1219</v>
      </c>
      <c r="D97" s="695">
        <f>3750+1950</f>
        <v>5700</v>
      </c>
      <c r="E97" s="696" t="s">
        <v>1214</v>
      </c>
      <c r="F97" s="695">
        <v>0</v>
      </c>
      <c r="G97" s="692">
        <v>5700000000</v>
      </c>
      <c r="H97" s="693">
        <v>0.0475</v>
      </c>
      <c r="I97" s="665"/>
    </row>
    <row r="98" spans="1:9" s="683" customFormat="1" ht="15" thickBot="1">
      <c r="A98" s="687">
        <f t="shared" si="0"/>
        <v>28</v>
      </c>
      <c r="B98" s="702" t="s">
        <v>1217</v>
      </c>
      <c r="C98" s="698" t="s">
        <v>1220</v>
      </c>
      <c r="D98" s="699">
        <v>3600</v>
      </c>
      <c r="E98" s="700" t="s">
        <v>1206</v>
      </c>
      <c r="F98" s="699">
        <v>0</v>
      </c>
      <c r="G98" s="701">
        <v>3600000000</v>
      </c>
      <c r="H98" s="653">
        <v>0.03</v>
      </c>
      <c r="I98" s="665"/>
    </row>
    <row r="99" spans="1:9" s="683" customFormat="1" ht="15" thickBot="1">
      <c r="A99" s="687">
        <f t="shared" si="0"/>
        <v>29</v>
      </c>
      <c r="B99" s="697" t="s">
        <v>1228</v>
      </c>
      <c r="C99" s="698" t="s">
        <v>1230</v>
      </c>
      <c r="D99" s="699">
        <v>4300</v>
      </c>
      <c r="E99" s="700" t="s">
        <v>1206</v>
      </c>
      <c r="F99" s="699">
        <v>0</v>
      </c>
      <c r="G99" s="701">
        <v>4300000000</v>
      </c>
      <c r="H99" s="653">
        <v>0.035833333333333335</v>
      </c>
      <c r="I99" s="665"/>
    </row>
    <row r="100" spans="1:9" s="683" customFormat="1" ht="15" thickBot="1">
      <c r="A100" s="687">
        <f t="shared" si="0"/>
        <v>30</v>
      </c>
      <c r="B100" s="697" t="s">
        <v>1195</v>
      </c>
      <c r="C100" s="698" t="s">
        <v>1205</v>
      </c>
      <c r="D100" s="699">
        <v>2100</v>
      </c>
      <c r="E100" s="700" t="s">
        <v>1206</v>
      </c>
      <c r="F100" s="699">
        <v>0</v>
      </c>
      <c r="G100" s="701">
        <v>2100000000</v>
      </c>
      <c r="H100" s="653">
        <v>0.0175</v>
      </c>
      <c r="I100" s="665"/>
    </row>
    <row r="101" spans="1:9" s="683" customFormat="1" ht="15" thickBot="1">
      <c r="A101" s="687">
        <f t="shared" si="0"/>
        <v>31</v>
      </c>
      <c r="B101" s="702" t="s">
        <v>1217</v>
      </c>
      <c r="C101" s="698" t="s">
        <v>1221</v>
      </c>
      <c r="D101" s="699">
        <v>4300</v>
      </c>
      <c r="E101" s="700" t="s">
        <v>1222</v>
      </c>
      <c r="F101" s="701">
        <v>0</v>
      </c>
      <c r="G101" s="701">
        <f aca="true" t="shared" si="1" ref="G101:G116">+D101*1000000</f>
        <v>4300000000</v>
      </c>
      <c r="H101" s="653">
        <v>0.035833333333333335</v>
      </c>
      <c r="I101" s="665"/>
    </row>
    <row r="102" spans="1:9" s="683" customFormat="1" ht="15" thickBot="1">
      <c r="A102" s="687">
        <f t="shared" si="0"/>
        <v>32</v>
      </c>
      <c r="B102" s="702" t="s">
        <v>1217</v>
      </c>
      <c r="C102" s="698" t="s">
        <v>1223</v>
      </c>
      <c r="D102" s="699">
        <v>3600</v>
      </c>
      <c r="E102" s="703" t="s">
        <v>1197</v>
      </c>
      <c r="F102" s="701">
        <f>+D102*5</f>
        <v>18000</v>
      </c>
      <c r="G102" s="701">
        <f t="shared" si="1"/>
        <v>3600000000</v>
      </c>
      <c r="H102" s="653">
        <v>0.03</v>
      </c>
      <c r="I102" s="665"/>
    </row>
    <row r="103" spans="1:9" s="683" customFormat="1" ht="15" thickBot="1">
      <c r="A103" s="687">
        <f t="shared" si="0"/>
        <v>33</v>
      </c>
      <c r="B103" s="694" t="s">
        <v>1134</v>
      </c>
      <c r="C103" s="698" t="s">
        <v>1235</v>
      </c>
      <c r="D103" s="699">
        <v>4100</v>
      </c>
      <c r="E103" s="703" t="s">
        <v>1197</v>
      </c>
      <c r="F103" s="701">
        <f>+D103*5</f>
        <v>20500</v>
      </c>
      <c r="G103" s="701">
        <f t="shared" si="1"/>
        <v>4100000000</v>
      </c>
      <c r="H103" s="653">
        <v>0.034166666666666665</v>
      </c>
      <c r="I103" s="665"/>
    </row>
    <row r="104" spans="1:9" s="683" customFormat="1" ht="15" thickBot="1">
      <c r="A104" s="687">
        <f t="shared" si="0"/>
        <v>34</v>
      </c>
      <c r="B104" s="697" t="s">
        <v>1195</v>
      </c>
      <c r="C104" s="698" t="s">
        <v>1207</v>
      </c>
      <c r="D104" s="699">
        <v>1900</v>
      </c>
      <c r="E104" s="703" t="s">
        <v>1197</v>
      </c>
      <c r="F104" s="701">
        <f>+D104*5</f>
        <v>9500</v>
      </c>
      <c r="G104" s="701">
        <f t="shared" si="1"/>
        <v>1900000000</v>
      </c>
      <c r="H104" s="653">
        <v>0.015833333333333335</v>
      </c>
      <c r="I104" s="665"/>
    </row>
    <row r="105" spans="1:9" s="683" customFormat="1" ht="15" thickBot="1">
      <c r="A105" s="687">
        <f t="shared" si="0"/>
        <v>35</v>
      </c>
      <c r="B105" s="697" t="s">
        <v>1195</v>
      </c>
      <c r="C105" s="698" t="s">
        <v>1208</v>
      </c>
      <c r="D105" s="699">
        <v>200</v>
      </c>
      <c r="E105" s="703" t="s">
        <v>1197</v>
      </c>
      <c r="F105" s="701">
        <f>+D105*5</f>
        <v>1000</v>
      </c>
      <c r="G105" s="701">
        <f t="shared" si="1"/>
        <v>200000000</v>
      </c>
      <c r="H105" s="653">
        <v>0.0016666666666666668</v>
      </c>
      <c r="I105" s="665"/>
    </row>
    <row r="106" spans="1:9" s="683" customFormat="1" ht="15" thickBot="1">
      <c r="A106" s="687">
        <f t="shared" si="0"/>
        <v>36</v>
      </c>
      <c r="B106" s="694" t="s">
        <v>1134</v>
      </c>
      <c r="C106" s="698" t="s">
        <v>1236</v>
      </c>
      <c r="D106" s="699">
        <v>200</v>
      </c>
      <c r="E106" s="703" t="s">
        <v>1197</v>
      </c>
      <c r="F106" s="701">
        <f>+D106*5</f>
        <v>1000</v>
      </c>
      <c r="G106" s="701">
        <f t="shared" si="1"/>
        <v>200000000</v>
      </c>
      <c r="H106" s="653">
        <v>0.0016666666666666668</v>
      </c>
      <c r="I106" s="665"/>
    </row>
    <row r="107" spans="1:9" s="683" customFormat="1" ht="15" thickBot="1">
      <c r="A107" s="687">
        <f t="shared" si="0"/>
        <v>37</v>
      </c>
      <c r="B107" s="702" t="s">
        <v>1217</v>
      </c>
      <c r="C107" s="698" t="s">
        <v>1224</v>
      </c>
      <c r="D107" s="699">
        <v>5000</v>
      </c>
      <c r="E107" s="700" t="s">
        <v>1222</v>
      </c>
      <c r="F107" s="701">
        <v>0</v>
      </c>
      <c r="G107" s="701">
        <f t="shared" si="1"/>
        <v>5000000000</v>
      </c>
      <c r="H107" s="653">
        <v>0.041666666666666664</v>
      </c>
      <c r="I107" s="665"/>
    </row>
    <row r="108" spans="1:9" s="683" customFormat="1" ht="15" thickBot="1">
      <c r="A108" s="687">
        <f t="shared" si="0"/>
        <v>38</v>
      </c>
      <c r="B108" s="697" t="s">
        <v>1228</v>
      </c>
      <c r="C108" s="698" t="s">
        <v>1231</v>
      </c>
      <c r="D108" s="699">
        <v>17000</v>
      </c>
      <c r="E108" s="700" t="s">
        <v>1232</v>
      </c>
      <c r="F108" s="701">
        <v>0</v>
      </c>
      <c r="G108" s="701">
        <f t="shared" si="1"/>
        <v>17000000000</v>
      </c>
      <c r="H108" s="653">
        <v>0.14166666666666666</v>
      </c>
      <c r="I108" s="665"/>
    </row>
    <row r="109" spans="1:9" s="683" customFormat="1" ht="26.25" thickBot="1">
      <c r="A109" s="687">
        <f t="shared" si="0"/>
        <v>39</v>
      </c>
      <c r="B109" s="697" t="s">
        <v>1296</v>
      </c>
      <c r="C109" s="704" t="s">
        <v>1209</v>
      </c>
      <c r="D109" s="705">
        <v>5000</v>
      </c>
      <c r="E109" s="703" t="s">
        <v>1210</v>
      </c>
      <c r="F109" s="706">
        <v>0</v>
      </c>
      <c r="G109" s="706">
        <f t="shared" si="1"/>
        <v>5000000000</v>
      </c>
      <c r="H109" s="707">
        <v>0.041666666666666664</v>
      </c>
      <c r="I109" s="665"/>
    </row>
    <row r="110" spans="1:9" s="683" customFormat="1" ht="15" thickBot="1">
      <c r="A110" s="687">
        <f t="shared" si="0"/>
        <v>40</v>
      </c>
      <c r="B110" s="697" t="s">
        <v>1195</v>
      </c>
      <c r="C110" s="698" t="s">
        <v>1211</v>
      </c>
      <c r="D110" s="699">
        <v>2188</v>
      </c>
      <c r="E110" s="700" t="s">
        <v>1210</v>
      </c>
      <c r="F110" s="701">
        <v>0</v>
      </c>
      <c r="G110" s="701">
        <f t="shared" si="1"/>
        <v>2188000000</v>
      </c>
      <c r="H110" s="653">
        <v>0.018233333333333334</v>
      </c>
      <c r="I110" s="665"/>
    </row>
    <row r="111" spans="1:9" s="683" customFormat="1" ht="15" thickBot="1">
      <c r="A111" s="687">
        <f t="shared" si="0"/>
        <v>41</v>
      </c>
      <c r="B111" s="697" t="s">
        <v>1195</v>
      </c>
      <c r="C111" s="698" t="s">
        <v>1216</v>
      </c>
      <c r="D111" s="699">
        <v>132</v>
      </c>
      <c r="E111" s="700" t="s">
        <v>1210</v>
      </c>
      <c r="F111" s="701">
        <v>0</v>
      </c>
      <c r="G111" s="706">
        <f t="shared" si="1"/>
        <v>132000000</v>
      </c>
      <c r="H111" s="707">
        <v>0.0011</v>
      </c>
      <c r="I111" s="665"/>
    </row>
    <row r="112" spans="1:9" s="683" customFormat="1" ht="15" thickBot="1">
      <c r="A112" s="687">
        <f t="shared" si="0"/>
        <v>42</v>
      </c>
      <c r="B112" s="697" t="s">
        <v>1280</v>
      </c>
      <c r="C112" s="704" t="s">
        <v>1281</v>
      </c>
      <c r="D112" s="705">
        <v>300</v>
      </c>
      <c r="E112" s="700" t="s">
        <v>1210</v>
      </c>
      <c r="F112" s="706">
        <v>0</v>
      </c>
      <c r="G112" s="706">
        <f t="shared" si="1"/>
        <v>300000000</v>
      </c>
      <c r="H112" s="707">
        <v>0.0025</v>
      </c>
      <c r="I112" s="665"/>
    </row>
    <row r="113" spans="1:9" s="683" customFormat="1" ht="15" thickBot="1">
      <c r="A113" s="687">
        <f t="shared" si="0"/>
        <v>43</v>
      </c>
      <c r="B113" s="697" t="s">
        <v>1195</v>
      </c>
      <c r="C113" s="698" t="s">
        <v>1215</v>
      </c>
      <c r="D113" s="699">
        <v>380</v>
      </c>
      <c r="E113" s="700" t="s">
        <v>1210</v>
      </c>
      <c r="F113" s="701">
        <v>0</v>
      </c>
      <c r="G113" s="706">
        <f t="shared" si="1"/>
        <v>380000000</v>
      </c>
      <c r="H113" s="707">
        <v>0.0031666666666666666</v>
      </c>
      <c r="I113" s="665"/>
    </row>
    <row r="114" spans="1:9" s="683" customFormat="1" ht="15" thickBot="1">
      <c r="A114" s="687">
        <f t="shared" si="0"/>
        <v>44</v>
      </c>
      <c r="B114" s="702" t="s">
        <v>1217</v>
      </c>
      <c r="C114" s="698" t="s">
        <v>1225</v>
      </c>
      <c r="D114" s="699">
        <v>7200</v>
      </c>
      <c r="E114" s="703" t="s">
        <v>1197</v>
      </c>
      <c r="F114" s="701">
        <f>+D114*5</f>
        <v>36000</v>
      </c>
      <c r="G114" s="706">
        <f t="shared" si="1"/>
        <v>7200000000</v>
      </c>
      <c r="H114" s="707">
        <v>0.06</v>
      </c>
      <c r="I114" s="665"/>
    </row>
    <row r="115" spans="1:9" s="683" customFormat="1" ht="15" thickBot="1">
      <c r="A115" s="687">
        <f t="shared" si="0"/>
        <v>45</v>
      </c>
      <c r="B115" s="694" t="s">
        <v>1134</v>
      </c>
      <c r="C115" s="698" t="s">
        <v>1237</v>
      </c>
      <c r="D115" s="699">
        <v>8600</v>
      </c>
      <c r="E115" s="703" t="s">
        <v>1197</v>
      </c>
      <c r="F115" s="701">
        <f>+D115*5</f>
        <v>43000</v>
      </c>
      <c r="G115" s="706">
        <f t="shared" si="1"/>
        <v>8600000000</v>
      </c>
      <c r="H115" s="707">
        <v>0.07166666666666667</v>
      </c>
      <c r="I115" s="665"/>
    </row>
    <row r="116" spans="1:9" s="683" customFormat="1" ht="15" thickBot="1">
      <c r="A116" s="687">
        <f t="shared" si="0"/>
        <v>46</v>
      </c>
      <c r="B116" s="697" t="s">
        <v>1195</v>
      </c>
      <c r="C116" s="698" t="s">
        <v>1212</v>
      </c>
      <c r="D116" s="699">
        <v>4200</v>
      </c>
      <c r="E116" s="703" t="s">
        <v>1197</v>
      </c>
      <c r="F116" s="701">
        <f>+D116*5</f>
        <v>21000</v>
      </c>
      <c r="G116" s="706">
        <f t="shared" si="1"/>
        <v>4200000000</v>
      </c>
      <c r="H116" s="707">
        <v>0.035</v>
      </c>
      <c r="I116" s="665"/>
    </row>
    <row r="117" spans="1:9" s="683" customFormat="1" ht="15" thickBot="1">
      <c r="A117" s="708"/>
      <c r="B117" s="709" t="s">
        <v>318</v>
      </c>
      <c r="C117" s="710"/>
      <c r="D117" s="690">
        <f>SUM(D71:D116)</f>
        <v>120000</v>
      </c>
      <c r="E117" s="691"/>
      <c r="F117" s="690">
        <f>SUM(F71:F116)</f>
        <v>250000</v>
      </c>
      <c r="G117" s="690">
        <f>SUM(G71:G116)</f>
        <v>120000000000</v>
      </c>
      <c r="H117" s="711">
        <v>0.9999999999999998</v>
      </c>
      <c r="I117" s="665"/>
    </row>
    <row r="118" spans="1:9" s="683" customFormat="1" ht="15" thickBot="1">
      <c r="A118" s="755"/>
      <c r="B118" s="755"/>
      <c r="C118" s="755"/>
      <c r="D118" s="755"/>
      <c r="E118" s="755"/>
      <c r="F118" s="755"/>
      <c r="G118" s="755"/>
      <c r="H118" s="755"/>
      <c r="I118" s="665"/>
    </row>
    <row r="119" spans="1:9" s="683" customFormat="1" ht="15" customHeight="1" thickBot="1">
      <c r="A119" s="751" t="s">
        <v>1282</v>
      </c>
      <c r="B119" s="752"/>
      <c r="C119" s="752"/>
      <c r="D119" s="752"/>
      <c r="E119" s="752"/>
      <c r="F119" s="752"/>
      <c r="G119" s="752"/>
      <c r="H119" s="753"/>
      <c r="I119" s="665"/>
    </row>
    <row r="120" spans="1:9" s="683" customFormat="1" ht="15" thickBot="1">
      <c r="A120" s="685" t="s">
        <v>1187</v>
      </c>
      <c r="B120" s="686" t="s">
        <v>1188</v>
      </c>
      <c r="C120" s="686" t="s">
        <v>1189</v>
      </c>
      <c r="D120" s="686" t="s">
        <v>1190</v>
      </c>
      <c r="E120" s="686" t="s">
        <v>1191</v>
      </c>
      <c r="F120" s="686" t="s">
        <v>1192</v>
      </c>
      <c r="G120" s="686" t="s">
        <v>885</v>
      </c>
      <c r="H120" s="686" t="s">
        <v>1249</v>
      </c>
      <c r="I120" s="665"/>
    </row>
    <row r="121" spans="1:9" s="683" customFormat="1" ht="15" thickBot="1">
      <c r="A121" s="687">
        <v>1</v>
      </c>
      <c r="B121" s="688" t="s">
        <v>1217</v>
      </c>
      <c r="C121" s="689" t="s">
        <v>1218</v>
      </c>
      <c r="D121" s="690">
        <v>7200</v>
      </c>
      <c r="E121" s="691" t="s">
        <v>1197</v>
      </c>
      <c r="F121" s="690">
        <f>+D121*5</f>
        <v>36000</v>
      </c>
      <c r="G121" s="692">
        <v>7200000000</v>
      </c>
      <c r="H121" s="693">
        <v>0.06</v>
      </c>
      <c r="I121" s="665"/>
    </row>
    <row r="122" spans="1:9" s="683" customFormat="1" ht="15" thickBot="1">
      <c r="A122" s="687">
        <f>+A121+1</f>
        <v>2</v>
      </c>
      <c r="B122" s="694" t="s">
        <v>1134</v>
      </c>
      <c r="C122" s="689" t="s">
        <v>1233</v>
      </c>
      <c r="D122" s="695">
        <v>8200</v>
      </c>
      <c r="E122" s="696" t="s">
        <v>1197</v>
      </c>
      <c r="F122" s="695">
        <f>+D122*5</f>
        <v>41000</v>
      </c>
      <c r="G122" s="692">
        <v>8200000000</v>
      </c>
      <c r="H122" s="693">
        <v>0.06833333333333333</v>
      </c>
      <c r="I122" s="665"/>
    </row>
    <row r="123" spans="1:9" s="683" customFormat="1" ht="15" thickBot="1">
      <c r="A123" s="687">
        <f aca="true" t="shared" si="2" ref="A123:A166">+A122+1</f>
        <v>3</v>
      </c>
      <c r="B123" s="694" t="s">
        <v>1195</v>
      </c>
      <c r="C123" s="689" t="s">
        <v>1196</v>
      </c>
      <c r="D123" s="695">
        <v>3800</v>
      </c>
      <c r="E123" s="696" t="s">
        <v>1197</v>
      </c>
      <c r="F123" s="695">
        <f>+D123*5</f>
        <v>19000</v>
      </c>
      <c r="G123" s="692">
        <v>3800000000</v>
      </c>
      <c r="H123" s="693">
        <v>0.03166666666666667</v>
      </c>
      <c r="I123" s="665"/>
    </row>
    <row r="124" spans="1:9" s="683" customFormat="1" ht="15" thickBot="1">
      <c r="A124" s="687">
        <f t="shared" si="2"/>
        <v>4</v>
      </c>
      <c r="B124" s="694" t="s">
        <v>1195</v>
      </c>
      <c r="C124" s="689" t="s">
        <v>1198</v>
      </c>
      <c r="D124" s="695">
        <v>400</v>
      </c>
      <c r="E124" s="696" t="s">
        <v>1197</v>
      </c>
      <c r="F124" s="695">
        <f>+D124*5</f>
        <v>2000</v>
      </c>
      <c r="G124" s="692">
        <v>400000000</v>
      </c>
      <c r="H124" s="693">
        <v>0.0033333333333333335</v>
      </c>
      <c r="I124" s="665"/>
    </row>
    <row r="125" spans="1:9" s="683" customFormat="1" ht="15" thickBot="1">
      <c r="A125" s="687">
        <f t="shared" si="2"/>
        <v>5</v>
      </c>
      <c r="B125" s="694" t="s">
        <v>1134</v>
      </c>
      <c r="C125" s="689" t="s">
        <v>1234</v>
      </c>
      <c r="D125" s="695">
        <v>400</v>
      </c>
      <c r="E125" s="696" t="s">
        <v>1197</v>
      </c>
      <c r="F125" s="695">
        <f>+D125*5</f>
        <v>2000</v>
      </c>
      <c r="G125" s="692">
        <v>400000000</v>
      </c>
      <c r="H125" s="693">
        <v>0.0033333333333333335</v>
      </c>
      <c r="I125" s="665"/>
    </row>
    <row r="126" spans="1:9" s="683" customFormat="1" ht="26.25" thickBot="1">
      <c r="A126" s="687">
        <f t="shared" si="2"/>
        <v>6</v>
      </c>
      <c r="B126" s="694" t="s">
        <v>1250</v>
      </c>
      <c r="C126" s="689" t="s">
        <v>1251</v>
      </c>
      <c r="D126" s="695">
        <v>700</v>
      </c>
      <c r="E126" s="696" t="s">
        <v>1200</v>
      </c>
      <c r="F126" s="695">
        <v>0</v>
      </c>
      <c r="G126" s="692">
        <v>700000000</v>
      </c>
      <c r="H126" s="693">
        <v>0.005833333333333334</v>
      </c>
      <c r="I126" s="665"/>
    </row>
    <row r="127" spans="1:9" s="683" customFormat="1" ht="15" thickBot="1">
      <c r="A127" s="687">
        <f t="shared" si="2"/>
        <v>7</v>
      </c>
      <c r="B127" s="694" t="s">
        <v>1195</v>
      </c>
      <c r="C127" s="689" t="s">
        <v>1199</v>
      </c>
      <c r="D127" s="695">
        <v>400</v>
      </c>
      <c r="E127" s="696" t="s">
        <v>1200</v>
      </c>
      <c r="F127" s="695">
        <v>0</v>
      </c>
      <c r="G127" s="692">
        <v>400000000</v>
      </c>
      <c r="H127" s="693">
        <v>0.0033333333333333335</v>
      </c>
      <c r="I127" s="665"/>
    </row>
    <row r="128" spans="1:9" s="683" customFormat="1" ht="15" thickBot="1">
      <c r="A128" s="687">
        <f t="shared" si="2"/>
        <v>8</v>
      </c>
      <c r="B128" s="694" t="s">
        <v>1252</v>
      </c>
      <c r="C128" s="689" t="s">
        <v>1253</v>
      </c>
      <c r="D128" s="695">
        <v>1260</v>
      </c>
      <c r="E128" s="696" t="s">
        <v>1202</v>
      </c>
      <c r="F128" s="695">
        <v>0</v>
      </c>
      <c r="G128" s="692">
        <v>1260000000</v>
      </c>
      <c r="H128" s="693">
        <v>0.0105</v>
      </c>
      <c r="I128" s="665"/>
    </row>
    <row r="129" spans="1:9" s="683" customFormat="1" ht="15" thickBot="1">
      <c r="A129" s="687">
        <f t="shared" si="2"/>
        <v>9</v>
      </c>
      <c r="B129" s="694" t="s">
        <v>1195</v>
      </c>
      <c r="C129" s="689" t="s">
        <v>1201</v>
      </c>
      <c r="D129" s="695">
        <v>940</v>
      </c>
      <c r="E129" s="696" t="s">
        <v>1202</v>
      </c>
      <c r="F129" s="695">
        <v>0</v>
      </c>
      <c r="G129" s="692">
        <v>940000000</v>
      </c>
      <c r="H129" s="693">
        <v>0.007833333333333333</v>
      </c>
      <c r="I129" s="665"/>
    </row>
    <row r="130" spans="1:9" s="683" customFormat="1" ht="15" thickBot="1">
      <c r="A130" s="687">
        <f t="shared" si="2"/>
        <v>10</v>
      </c>
      <c r="B130" s="694" t="s">
        <v>1254</v>
      </c>
      <c r="C130" s="689" t="s">
        <v>1255</v>
      </c>
      <c r="D130" s="695">
        <v>200</v>
      </c>
      <c r="E130" s="696" t="s">
        <v>1202</v>
      </c>
      <c r="F130" s="695">
        <v>0</v>
      </c>
      <c r="G130" s="692">
        <v>200000000</v>
      </c>
      <c r="H130" s="693">
        <v>0.0016666666666666668</v>
      </c>
      <c r="I130" s="665"/>
    </row>
    <row r="131" spans="1:9" s="683" customFormat="1" ht="15" thickBot="1">
      <c r="A131" s="687">
        <f t="shared" si="2"/>
        <v>11</v>
      </c>
      <c r="B131" s="688" t="s">
        <v>1256</v>
      </c>
      <c r="C131" s="689" t="s">
        <v>1257</v>
      </c>
      <c r="D131" s="695">
        <v>1200</v>
      </c>
      <c r="E131" s="696" t="s">
        <v>1258</v>
      </c>
      <c r="F131" s="695">
        <v>0</v>
      </c>
      <c r="G131" s="692">
        <v>1200000000</v>
      </c>
      <c r="H131" s="693">
        <v>0.01</v>
      </c>
      <c r="I131" s="665"/>
    </row>
    <row r="132" spans="1:9" s="683" customFormat="1" ht="26.25" thickBot="1">
      <c r="A132" s="687">
        <f t="shared" si="2"/>
        <v>12</v>
      </c>
      <c r="B132" s="694" t="s">
        <v>1259</v>
      </c>
      <c r="C132" s="689" t="s">
        <v>1260</v>
      </c>
      <c r="D132" s="695">
        <v>365</v>
      </c>
      <c r="E132" s="696" t="s">
        <v>1204</v>
      </c>
      <c r="F132" s="695">
        <v>0</v>
      </c>
      <c r="G132" s="692">
        <v>365000000</v>
      </c>
      <c r="H132" s="693">
        <v>0.0030416666666666665</v>
      </c>
      <c r="I132" s="665"/>
    </row>
    <row r="133" spans="1:9" s="683" customFormat="1" ht="15" thickBot="1">
      <c r="A133" s="687">
        <f t="shared" si="2"/>
        <v>13</v>
      </c>
      <c r="B133" s="694" t="s">
        <v>1261</v>
      </c>
      <c r="C133" s="689" t="s">
        <v>1262</v>
      </c>
      <c r="D133" s="695">
        <v>135</v>
      </c>
      <c r="E133" s="696" t="s">
        <v>1204</v>
      </c>
      <c r="F133" s="695">
        <v>0</v>
      </c>
      <c r="G133" s="692">
        <v>135000000</v>
      </c>
      <c r="H133" s="693">
        <v>0.001125</v>
      </c>
      <c r="I133" s="665"/>
    </row>
    <row r="134" spans="1:9" s="683" customFormat="1" ht="15" thickBot="1">
      <c r="A134" s="687">
        <f t="shared" si="2"/>
        <v>14</v>
      </c>
      <c r="B134" s="694" t="s">
        <v>1195</v>
      </c>
      <c r="C134" s="689" t="s">
        <v>1203</v>
      </c>
      <c r="D134" s="695">
        <v>400</v>
      </c>
      <c r="E134" s="696" t="s">
        <v>1204</v>
      </c>
      <c r="F134" s="695">
        <v>0</v>
      </c>
      <c r="G134" s="692">
        <v>400000000</v>
      </c>
      <c r="H134" s="693">
        <v>0.0033333333333333335</v>
      </c>
      <c r="I134" s="665"/>
    </row>
    <row r="135" spans="1:9" s="683" customFormat="1" ht="15" thickBot="1">
      <c r="A135" s="687">
        <f t="shared" si="2"/>
        <v>15</v>
      </c>
      <c r="B135" s="694" t="s">
        <v>1263</v>
      </c>
      <c r="C135" s="689" t="s">
        <v>1264</v>
      </c>
      <c r="D135" s="695">
        <v>2410</v>
      </c>
      <c r="E135" s="696" t="s">
        <v>1265</v>
      </c>
      <c r="F135" s="695">
        <v>0</v>
      </c>
      <c r="G135" s="692">
        <v>2410000000</v>
      </c>
      <c r="H135" s="693">
        <v>0.020083333333333335</v>
      </c>
      <c r="I135" s="665"/>
    </row>
    <row r="136" spans="1:9" s="683" customFormat="1" ht="15" thickBot="1">
      <c r="A136" s="687">
        <f t="shared" si="2"/>
        <v>16</v>
      </c>
      <c r="B136" s="694" t="s">
        <v>1266</v>
      </c>
      <c r="C136" s="689" t="s">
        <v>1267</v>
      </c>
      <c r="D136" s="695">
        <v>200</v>
      </c>
      <c r="E136" s="696" t="s">
        <v>1265</v>
      </c>
      <c r="F136" s="695">
        <v>0</v>
      </c>
      <c r="G136" s="692">
        <v>200000000</v>
      </c>
      <c r="H136" s="693">
        <v>0.0016666666666666668</v>
      </c>
      <c r="I136" s="665"/>
    </row>
    <row r="137" spans="1:9" s="683" customFormat="1" ht="15" thickBot="1">
      <c r="A137" s="687">
        <f t="shared" si="2"/>
        <v>17</v>
      </c>
      <c r="B137" s="694" t="s">
        <v>1268</v>
      </c>
      <c r="C137" s="689" t="s">
        <v>1269</v>
      </c>
      <c r="D137" s="695">
        <v>200</v>
      </c>
      <c r="E137" s="696" t="s">
        <v>1265</v>
      </c>
      <c r="F137" s="695">
        <v>0</v>
      </c>
      <c r="G137" s="692">
        <v>200000000</v>
      </c>
      <c r="H137" s="693">
        <v>0.0016666666666666668</v>
      </c>
      <c r="I137" s="665"/>
    </row>
    <row r="138" spans="1:9" s="683" customFormat="1" ht="15" thickBot="1">
      <c r="A138" s="687">
        <f t="shared" si="2"/>
        <v>18</v>
      </c>
      <c r="B138" s="694" t="s">
        <v>1270</v>
      </c>
      <c r="C138" s="689" t="s">
        <v>1271</v>
      </c>
      <c r="D138" s="695">
        <v>70</v>
      </c>
      <c r="E138" s="696" t="s">
        <v>1265</v>
      </c>
      <c r="F138" s="695">
        <v>0</v>
      </c>
      <c r="G138" s="692">
        <v>70000000</v>
      </c>
      <c r="H138" s="693">
        <v>0.0005833333333333334</v>
      </c>
      <c r="I138" s="665"/>
    </row>
    <row r="139" spans="1:9" s="683" customFormat="1" ht="15" thickBot="1">
      <c r="A139" s="687">
        <f t="shared" si="2"/>
        <v>19</v>
      </c>
      <c r="B139" s="694" t="s">
        <v>1270</v>
      </c>
      <c r="C139" s="689" t="s">
        <v>1272</v>
      </c>
      <c r="D139" s="695">
        <v>200</v>
      </c>
      <c r="E139" s="696" t="s">
        <v>1265</v>
      </c>
      <c r="F139" s="695">
        <v>0</v>
      </c>
      <c r="G139" s="692">
        <v>200000000</v>
      </c>
      <c r="H139" s="693">
        <v>0.0016666666666666668</v>
      </c>
      <c r="I139" s="665"/>
    </row>
    <row r="140" spans="1:9" s="683" customFormat="1" ht="15" thickBot="1">
      <c r="A140" s="687">
        <f t="shared" si="2"/>
        <v>20</v>
      </c>
      <c r="B140" s="688" t="s">
        <v>1273</v>
      </c>
      <c r="C140" s="689" t="s">
        <v>1274</v>
      </c>
      <c r="D140" s="695">
        <v>220</v>
      </c>
      <c r="E140" s="696" t="s">
        <v>1265</v>
      </c>
      <c r="F140" s="695">
        <v>0</v>
      </c>
      <c r="G140" s="692">
        <v>220000000</v>
      </c>
      <c r="H140" s="693">
        <v>0.0018333333333333333</v>
      </c>
      <c r="I140" s="665"/>
    </row>
    <row r="141" spans="1:9" s="683" customFormat="1" ht="15" thickBot="1">
      <c r="A141" s="687">
        <f t="shared" si="2"/>
        <v>21</v>
      </c>
      <c r="B141" s="697" t="s">
        <v>1147</v>
      </c>
      <c r="C141" s="698" t="s">
        <v>1226</v>
      </c>
      <c r="D141" s="699">
        <v>1000</v>
      </c>
      <c r="E141" s="700" t="s">
        <v>1214</v>
      </c>
      <c r="F141" s="699"/>
      <c r="G141" s="701">
        <f>+D141*1000000</f>
        <v>1000000000</v>
      </c>
      <c r="H141" s="693">
        <v>0.008333333333333333</v>
      </c>
      <c r="I141" s="665"/>
    </row>
    <row r="142" spans="1:9" s="683" customFormat="1" ht="15" thickBot="1">
      <c r="A142" s="687">
        <f t="shared" si="2"/>
        <v>22</v>
      </c>
      <c r="B142" s="697" t="s">
        <v>1147</v>
      </c>
      <c r="C142" s="698" t="s">
        <v>1227</v>
      </c>
      <c r="D142" s="699">
        <v>944</v>
      </c>
      <c r="E142" s="700" t="s">
        <v>1214</v>
      </c>
      <c r="F142" s="699"/>
      <c r="G142" s="701">
        <f>+D142*1000000</f>
        <v>944000000</v>
      </c>
      <c r="H142" s="693">
        <v>0.007866666666666666</v>
      </c>
      <c r="I142" s="665"/>
    </row>
    <row r="143" spans="1:9" s="683" customFormat="1" ht="15" thickBot="1">
      <c r="A143" s="687">
        <f t="shared" si="2"/>
        <v>23</v>
      </c>
      <c r="B143" s="697" t="s">
        <v>1228</v>
      </c>
      <c r="C143" s="698" t="s">
        <v>1229</v>
      </c>
      <c r="D143" s="699">
        <v>2322</v>
      </c>
      <c r="E143" s="700" t="s">
        <v>1214</v>
      </c>
      <c r="F143" s="699"/>
      <c r="G143" s="701">
        <f>+D143*1000000</f>
        <v>2322000000</v>
      </c>
      <c r="H143" s="693">
        <v>0.01935</v>
      </c>
      <c r="I143" s="665"/>
    </row>
    <row r="144" spans="1:9" s="683" customFormat="1" ht="15" thickBot="1">
      <c r="A144" s="687">
        <f t="shared" si="2"/>
        <v>24</v>
      </c>
      <c r="B144" s="697" t="s">
        <v>1275</v>
      </c>
      <c r="C144" s="698" t="s">
        <v>1213</v>
      </c>
      <c r="D144" s="699">
        <v>1134</v>
      </c>
      <c r="E144" s="700" t="s">
        <v>1214</v>
      </c>
      <c r="F144" s="699"/>
      <c r="G144" s="701">
        <f>+D144*1000000</f>
        <v>1134000000</v>
      </c>
      <c r="H144" s="693">
        <v>0.00945</v>
      </c>
      <c r="I144" s="665"/>
    </row>
    <row r="145" spans="1:9" s="683" customFormat="1" ht="15" thickBot="1">
      <c r="A145" s="687">
        <f t="shared" si="2"/>
        <v>25</v>
      </c>
      <c r="B145" s="694" t="s">
        <v>1276</v>
      </c>
      <c r="C145" s="689" t="s">
        <v>1277</v>
      </c>
      <c r="D145" s="695">
        <v>3750</v>
      </c>
      <c r="E145" s="696" t="s">
        <v>1222</v>
      </c>
      <c r="F145" s="695">
        <v>0</v>
      </c>
      <c r="G145" s="692">
        <v>3750000000</v>
      </c>
      <c r="H145" s="693">
        <v>0.03125</v>
      </c>
      <c r="I145" s="665"/>
    </row>
    <row r="146" spans="1:9" s="683" customFormat="1" ht="15" thickBot="1">
      <c r="A146" s="687">
        <f t="shared" si="2"/>
        <v>26</v>
      </c>
      <c r="B146" s="694" t="s">
        <v>1278</v>
      </c>
      <c r="C146" s="689" t="s">
        <v>1279</v>
      </c>
      <c r="D146" s="695">
        <v>1950</v>
      </c>
      <c r="E146" s="696" t="s">
        <v>1222</v>
      </c>
      <c r="F146" s="695">
        <v>0</v>
      </c>
      <c r="G146" s="692">
        <v>1950000000</v>
      </c>
      <c r="H146" s="693">
        <v>0.01625</v>
      </c>
      <c r="I146" s="665"/>
    </row>
    <row r="147" spans="1:9" s="683" customFormat="1" ht="15" thickBot="1">
      <c r="A147" s="687">
        <f t="shared" si="2"/>
        <v>27</v>
      </c>
      <c r="B147" s="702" t="s">
        <v>1217</v>
      </c>
      <c r="C147" s="689" t="s">
        <v>1219</v>
      </c>
      <c r="D147" s="695">
        <f>3750+1950</f>
        <v>5700</v>
      </c>
      <c r="E147" s="696" t="s">
        <v>1214</v>
      </c>
      <c r="F147" s="695">
        <v>0</v>
      </c>
      <c r="G147" s="692">
        <v>5700000000</v>
      </c>
      <c r="H147" s="693">
        <v>0.0475</v>
      </c>
      <c r="I147" s="665"/>
    </row>
    <row r="148" spans="1:9" s="683" customFormat="1" ht="15" thickBot="1">
      <c r="A148" s="687">
        <f t="shared" si="2"/>
        <v>28</v>
      </c>
      <c r="B148" s="702" t="s">
        <v>1217</v>
      </c>
      <c r="C148" s="698" t="s">
        <v>1220</v>
      </c>
      <c r="D148" s="699">
        <v>3600</v>
      </c>
      <c r="E148" s="700" t="s">
        <v>1206</v>
      </c>
      <c r="F148" s="699">
        <v>0</v>
      </c>
      <c r="G148" s="701">
        <v>3600000000</v>
      </c>
      <c r="H148" s="653">
        <v>0.03</v>
      </c>
      <c r="I148" s="665"/>
    </row>
    <row r="149" spans="1:9" s="683" customFormat="1" ht="15" thickBot="1">
      <c r="A149" s="687">
        <f t="shared" si="2"/>
        <v>29</v>
      </c>
      <c r="B149" s="697" t="s">
        <v>1228</v>
      </c>
      <c r="C149" s="698" t="s">
        <v>1230</v>
      </c>
      <c r="D149" s="699">
        <v>4300</v>
      </c>
      <c r="E149" s="700" t="s">
        <v>1206</v>
      </c>
      <c r="F149" s="699">
        <v>0</v>
      </c>
      <c r="G149" s="701">
        <v>4300000000</v>
      </c>
      <c r="H149" s="653">
        <v>0.035833333333333335</v>
      </c>
      <c r="I149" s="665"/>
    </row>
    <row r="150" spans="1:9" s="683" customFormat="1" ht="15" thickBot="1">
      <c r="A150" s="687">
        <f t="shared" si="2"/>
        <v>30</v>
      </c>
      <c r="B150" s="697" t="s">
        <v>1195</v>
      </c>
      <c r="C150" s="698" t="s">
        <v>1205</v>
      </c>
      <c r="D150" s="699">
        <v>2100</v>
      </c>
      <c r="E150" s="700" t="s">
        <v>1206</v>
      </c>
      <c r="F150" s="699">
        <v>0</v>
      </c>
      <c r="G150" s="701">
        <v>2100000000</v>
      </c>
      <c r="H150" s="653">
        <v>0.0175</v>
      </c>
      <c r="I150" s="665"/>
    </row>
    <row r="151" spans="1:9" s="683" customFormat="1" ht="15" thickBot="1">
      <c r="A151" s="687">
        <f t="shared" si="2"/>
        <v>31</v>
      </c>
      <c r="B151" s="702" t="s">
        <v>1217</v>
      </c>
      <c r="C151" s="698" t="s">
        <v>1221</v>
      </c>
      <c r="D151" s="699">
        <v>4300</v>
      </c>
      <c r="E151" s="700" t="s">
        <v>1222</v>
      </c>
      <c r="F151" s="701">
        <v>0</v>
      </c>
      <c r="G151" s="701">
        <f aca="true" t="shared" si="3" ref="G151:G158">+D151*1000000</f>
        <v>4300000000</v>
      </c>
      <c r="H151" s="653">
        <v>0.035833333333333335</v>
      </c>
      <c r="I151" s="665"/>
    </row>
    <row r="152" spans="1:9" s="683" customFormat="1" ht="15" thickBot="1">
      <c r="A152" s="687">
        <f t="shared" si="2"/>
        <v>32</v>
      </c>
      <c r="B152" s="702" t="s">
        <v>1217</v>
      </c>
      <c r="C152" s="698" t="s">
        <v>1223</v>
      </c>
      <c r="D152" s="699">
        <v>3600</v>
      </c>
      <c r="E152" s="703" t="s">
        <v>1197</v>
      </c>
      <c r="F152" s="701">
        <f>+D152*5</f>
        <v>18000</v>
      </c>
      <c r="G152" s="701">
        <f t="shared" si="3"/>
        <v>3600000000</v>
      </c>
      <c r="H152" s="653">
        <v>0.03</v>
      </c>
      <c r="I152" s="665"/>
    </row>
    <row r="153" spans="1:9" s="683" customFormat="1" ht="15" thickBot="1">
      <c r="A153" s="687">
        <f t="shared" si="2"/>
        <v>33</v>
      </c>
      <c r="B153" s="694" t="s">
        <v>1134</v>
      </c>
      <c r="C153" s="698" t="s">
        <v>1235</v>
      </c>
      <c r="D153" s="699">
        <v>4100</v>
      </c>
      <c r="E153" s="703" t="s">
        <v>1197</v>
      </c>
      <c r="F153" s="701">
        <f>+D153*5</f>
        <v>20500</v>
      </c>
      <c r="G153" s="701">
        <f t="shared" si="3"/>
        <v>4100000000</v>
      </c>
      <c r="H153" s="653">
        <v>0.034166666666666665</v>
      </c>
      <c r="I153" s="665"/>
    </row>
    <row r="154" spans="1:9" s="683" customFormat="1" ht="15" thickBot="1">
      <c r="A154" s="687">
        <f t="shared" si="2"/>
        <v>34</v>
      </c>
      <c r="B154" s="697" t="s">
        <v>1195</v>
      </c>
      <c r="C154" s="698" t="s">
        <v>1207</v>
      </c>
      <c r="D154" s="699">
        <v>1900</v>
      </c>
      <c r="E154" s="703" t="s">
        <v>1197</v>
      </c>
      <c r="F154" s="701">
        <f>+D154*5</f>
        <v>9500</v>
      </c>
      <c r="G154" s="701">
        <f t="shared" si="3"/>
        <v>1900000000</v>
      </c>
      <c r="H154" s="653">
        <v>0.015833333333333335</v>
      </c>
      <c r="I154" s="665"/>
    </row>
    <row r="155" spans="1:9" s="683" customFormat="1" ht="15" thickBot="1">
      <c r="A155" s="687">
        <f t="shared" si="2"/>
        <v>35</v>
      </c>
      <c r="B155" s="697" t="s">
        <v>1195</v>
      </c>
      <c r="C155" s="698" t="s">
        <v>1208</v>
      </c>
      <c r="D155" s="699">
        <v>200</v>
      </c>
      <c r="E155" s="703" t="s">
        <v>1197</v>
      </c>
      <c r="F155" s="701">
        <f>+D155*5</f>
        <v>1000</v>
      </c>
      <c r="G155" s="701">
        <f t="shared" si="3"/>
        <v>200000000</v>
      </c>
      <c r="H155" s="653">
        <v>0.0016666666666666668</v>
      </c>
      <c r="I155" s="665"/>
    </row>
    <row r="156" spans="1:9" s="683" customFormat="1" ht="15" thickBot="1">
      <c r="A156" s="687">
        <f t="shared" si="2"/>
        <v>36</v>
      </c>
      <c r="B156" s="694" t="s">
        <v>1134</v>
      </c>
      <c r="C156" s="698" t="s">
        <v>1236</v>
      </c>
      <c r="D156" s="699">
        <v>200</v>
      </c>
      <c r="E156" s="703" t="s">
        <v>1197</v>
      </c>
      <c r="F156" s="701">
        <f>+D156*5</f>
        <v>1000</v>
      </c>
      <c r="G156" s="701">
        <f t="shared" si="3"/>
        <v>200000000</v>
      </c>
      <c r="H156" s="653">
        <v>0.0016666666666666668</v>
      </c>
      <c r="I156" s="665"/>
    </row>
    <row r="157" spans="1:9" s="683" customFormat="1" ht="15" thickBot="1">
      <c r="A157" s="687">
        <f t="shared" si="2"/>
        <v>37</v>
      </c>
      <c r="B157" s="702" t="s">
        <v>1217</v>
      </c>
      <c r="C157" s="698" t="s">
        <v>1224</v>
      </c>
      <c r="D157" s="699">
        <v>5000</v>
      </c>
      <c r="E157" s="700" t="s">
        <v>1222</v>
      </c>
      <c r="F157" s="701">
        <v>0</v>
      </c>
      <c r="G157" s="701">
        <f t="shared" si="3"/>
        <v>5000000000</v>
      </c>
      <c r="H157" s="653">
        <v>0.041666666666666664</v>
      </c>
      <c r="I157" s="665"/>
    </row>
    <row r="158" spans="1:9" s="683" customFormat="1" ht="15" thickBot="1">
      <c r="A158" s="687">
        <f t="shared" si="2"/>
        <v>38</v>
      </c>
      <c r="B158" s="697" t="s">
        <v>1228</v>
      </c>
      <c r="C158" s="698" t="s">
        <v>1231</v>
      </c>
      <c r="D158" s="699">
        <v>17000</v>
      </c>
      <c r="E158" s="700" t="s">
        <v>1232</v>
      </c>
      <c r="F158" s="701">
        <v>0</v>
      </c>
      <c r="G158" s="701">
        <f t="shared" si="3"/>
        <v>17000000000</v>
      </c>
      <c r="H158" s="653">
        <v>0.14166666666666666</v>
      </c>
      <c r="I158" s="665"/>
    </row>
    <row r="159" spans="1:9" s="683" customFormat="1" ht="26.25" thickBot="1">
      <c r="A159" s="687">
        <f t="shared" si="2"/>
        <v>39</v>
      </c>
      <c r="B159" s="697" t="s">
        <v>1296</v>
      </c>
      <c r="C159" s="704" t="s">
        <v>1209</v>
      </c>
      <c r="D159" s="705">
        <v>5000</v>
      </c>
      <c r="E159" s="703" t="s">
        <v>1210</v>
      </c>
      <c r="F159" s="706">
        <v>0</v>
      </c>
      <c r="G159" s="706">
        <f>+D159*1000000</f>
        <v>5000000000</v>
      </c>
      <c r="H159" s="707">
        <v>0.041666666666666664</v>
      </c>
      <c r="I159" s="665"/>
    </row>
    <row r="160" spans="1:9" s="683" customFormat="1" ht="15" thickBot="1">
      <c r="A160" s="687">
        <f t="shared" si="2"/>
        <v>40</v>
      </c>
      <c r="B160" s="697" t="s">
        <v>1195</v>
      </c>
      <c r="C160" s="698" t="s">
        <v>1211</v>
      </c>
      <c r="D160" s="699">
        <v>2188</v>
      </c>
      <c r="E160" s="700" t="s">
        <v>1210</v>
      </c>
      <c r="F160" s="701">
        <v>0</v>
      </c>
      <c r="G160" s="701">
        <f aca="true" t="shared" si="4" ref="G160:G166">+D160*1000000</f>
        <v>2188000000</v>
      </c>
      <c r="H160" s="653">
        <v>0.018233333333333334</v>
      </c>
      <c r="I160" s="665"/>
    </row>
    <row r="161" spans="1:9" s="683" customFormat="1" ht="15" thickBot="1">
      <c r="A161" s="687">
        <f t="shared" si="2"/>
        <v>41</v>
      </c>
      <c r="B161" s="697" t="s">
        <v>1195</v>
      </c>
      <c r="C161" s="698" t="s">
        <v>1216</v>
      </c>
      <c r="D161" s="699">
        <v>132</v>
      </c>
      <c r="E161" s="700" t="s">
        <v>1210</v>
      </c>
      <c r="F161" s="701">
        <v>0</v>
      </c>
      <c r="G161" s="706">
        <f t="shared" si="4"/>
        <v>132000000</v>
      </c>
      <c r="H161" s="707">
        <v>0.0011</v>
      </c>
      <c r="I161" s="665"/>
    </row>
    <row r="162" spans="1:9" s="683" customFormat="1" ht="15" thickBot="1">
      <c r="A162" s="687">
        <f t="shared" si="2"/>
        <v>42</v>
      </c>
      <c r="B162" s="697" t="s">
        <v>1280</v>
      </c>
      <c r="C162" s="704" t="s">
        <v>1281</v>
      </c>
      <c r="D162" s="705">
        <v>300</v>
      </c>
      <c r="E162" s="700" t="s">
        <v>1210</v>
      </c>
      <c r="F162" s="706">
        <v>0</v>
      </c>
      <c r="G162" s="706">
        <f t="shared" si="4"/>
        <v>300000000</v>
      </c>
      <c r="H162" s="707">
        <v>0.0025</v>
      </c>
      <c r="I162" s="665"/>
    </row>
    <row r="163" spans="1:9" s="683" customFormat="1" ht="15" thickBot="1">
      <c r="A163" s="687">
        <f>+A162+1</f>
        <v>43</v>
      </c>
      <c r="B163" s="697" t="s">
        <v>1195</v>
      </c>
      <c r="C163" s="698" t="s">
        <v>1215</v>
      </c>
      <c r="D163" s="699">
        <v>380</v>
      </c>
      <c r="E163" s="700" t="s">
        <v>1210</v>
      </c>
      <c r="F163" s="701">
        <v>0</v>
      </c>
      <c r="G163" s="706">
        <f t="shared" si="4"/>
        <v>380000000</v>
      </c>
      <c r="H163" s="707">
        <v>0.0031666666666666666</v>
      </c>
      <c r="I163" s="665"/>
    </row>
    <row r="164" spans="1:9" s="683" customFormat="1" ht="15" thickBot="1">
      <c r="A164" s="687">
        <f t="shared" si="2"/>
        <v>44</v>
      </c>
      <c r="B164" s="702" t="s">
        <v>1217</v>
      </c>
      <c r="C164" s="698" t="s">
        <v>1225</v>
      </c>
      <c r="D164" s="699">
        <v>7200</v>
      </c>
      <c r="E164" s="703" t="s">
        <v>1197</v>
      </c>
      <c r="F164" s="701">
        <f>+D164*5</f>
        <v>36000</v>
      </c>
      <c r="G164" s="706">
        <f t="shared" si="4"/>
        <v>7200000000</v>
      </c>
      <c r="H164" s="707">
        <v>0.06</v>
      </c>
      <c r="I164" s="665"/>
    </row>
    <row r="165" spans="1:9" s="683" customFormat="1" ht="15" thickBot="1">
      <c r="A165" s="687">
        <f t="shared" si="2"/>
        <v>45</v>
      </c>
      <c r="B165" s="694" t="s">
        <v>1134</v>
      </c>
      <c r="C165" s="698" t="s">
        <v>1237</v>
      </c>
      <c r="D165" s="699">
        <v>8600</v>
      </c>
      <c r="E165" s="703" t="s">
        <v>1197</v>
      </c>
      <c r="F165" s="701">
        <f>+D165*5</f>
        <v>43000</v>
      </c>
      <c r="G165" s="706">
        <f t="shared" si="4"/>
        <v>8600000000</v>
      </c>
      <c r="H165" s="707">
        <v>0.07166666666666667</v>
      </c>
      <c r="I165" s="665"/>
    </row>
    <row r="166" spans="1:9" s="683" customFormat="1" ht="15" thickBot="1">
      <c r="A166" s="687">
        <f t="shared" si="2"/>
        <v>46</v>
      </c>
      <c r="B166" s="697" t="s">
        <v>1195</v>
      </c>
      <c r="C166" s="698" t="s">
        <v>1212</v>
      </c>
      <c r="D166" s="699">
        <v>4200</v>
      </c>
      <c r="E166" s="703" t="s">
        <v>1197</v>
      </c>
      <c r="F166" s="701">
        <f>+D166*5</f>
        <v>21000</v>
      </c>
      <c r="G166" s="706">
        <f t="shared" si="4"/>
        <v>4200000000</v>
      </c>
      <c r="H166" s="707">
        <v>0.035</v>
      </c>
      <c r="I166" s="665"/>
    </row>
    <row r="167" spans="1:9" s="683" customFormat="1" ht="15" thickBot="1">
      <c r="A167" s="708"/>
      <c r="B167" s="709" t="s">
        <v>318</v>
      </c>
      <c r="C167" s="710"/>
      <c r="D167" s="690">
        <f>SUM(D121:D166)</f>
        <v>120000</v>
      </c>
      <c r="E167" s="691"/>
      <c r="F167" s="690">
        <f>SUM(F121:F166)</f>
        <v>250000</v>
      </c>
      <c r="G167" s="690">
        <f>SUM(G121:G166)</f>
        <v>120000000000</v>
      </c>
      <c r="H167" s="711">
        <v>0.9999999999999998</v>
      </c>
      <c r="I167" s="665"/>
    </row>
    <row r="168" spans="1:9" s="683" customFormat="1" ht="14.25">
      <c r="A168" s="684"/>
      <c r="B168" s="684"/>
      <c r="C168" s="684"/>
      <c r="D168" s="684"/>
      <c r="E168" s="684"/>
      <c r="F168" s="684"/>
      <c r="I168" s="665"/>
    </row>
    <row r="169" spans="1:6" ht="14.25">
      <c r="A169" s="464"/>
      <c r="B169" s="464"/>
      <c r="C169" s="464"/>
      <c r="D169" s="464"/>
      <c r="E169" s="464"/>
      <c r="F169" s="464"/>
    </row>
    <row r="170" spans="1:6" ht="14.25">
      <c r="A170" s="464" t="s">
        <v>1186</v>
      </c>
      <c r="B170" s="464"/>
      <c r="C170" s="464"/>
      <c r="D170" s="464"/>
      <c r="E170" s="464"/>
      <c r="F170" s="464"/>
    </row>
    <row r="171" spans="1:6" ht="14.25">
      <c r="A171" s="464"/>
      <c r="B171" s="464"/>
      <c r="C171" s="464"/>
      <c r="D171" s="464"/>
      <c r="E171" s="464"/>
      <c r="F171" s="464"/>
    </row>
    <row r="172" ht="15" thickBot="1"/>
    <row r="173" spans="1:9" ht="39" thickBot="1">
      <c r="A173" s="628" t="s">
        <v>1187</v>
      </c>
      <c r="B173" s="629" t="s">
        <v>1188</v>
      </c>
      <c r="C173" s="629" t="s">
        <v>1189</v>
      </c>
      <c r="D173" s="629" t="s">
        <v>1190</v>
      </c>
      <c r="E173" s="629" t="s">
        <v>1191</v>
      </c>
      <c r="F173" s="629" t="s">
        <v>1192</v>
      </c>
      <c r="G173" s="629" t="s">
        <v>885</v>
      </c>
      <c r="H173" s="629" t="s">
        <v>1193</v>
      </c>
      <c r="I173" s="668" t="s">
        <v>1194</v>
      </c>
    </row>
    <row r="174" spans="1:9" ht="14.25">
      <c r="A174" s="630"/>
      <c r="B174" s="631" t="s">
        <v>1195</v>
      </c>
      <c r="C174" s="632" t="s">
        <v>1196</v>
      </c>
      <c r="D174" s="633">
        <v>3800</v>
      </c>
      <c r="E174" s="632" t="s">
        <v>1197</v>
      </c>
      <c r="F174" s="633">
        <f>+D174*5</f>
        <v>19000</v>
      </c>
      <c r="G174" s="633">
        <v>3800000000</v>
      </c>
      <c r="H174" s="634">
        <v>0.03166666666666667</v>
      </c>
      <c r="I174" s="635"/>
    </row>
    <row r="175" spans="1:9" ht="14.25">
      <c r="A175" s="636"/>
      <c r="B175" s="637" t="s">
        <v>1195</v>
      </c>
      <c r="C175" s="638" t="s">
        <v>1198</v>
      </c>
      <c r="D175" s="639">
        <v>400</v>
      </c>
      <c r="E175" s="638" t="s">
        <v>1197</v>
      </c>
      <c r="F175" s="639">
        <f>+D175*5</f>
        <v>2000</v>
      </c>
      <c r="G175" s="639">
        <v>400000000</v>
      </c>
      <c r="H175" s="640">
        <v>0.0033333333333333335</v>
      </c>
      <c r="I175" s="641"/>
    </row>
    <row r="176" spans="1:9" ht="14.25">
      <c r="A176" s="636"/>
      <c r="B176" s="637" t="s">
        <v>1195</v>
      </c>
      <c r="C176" s="638" t="s">
        <v>1199</v>
      </c>
      <c r="D176" s="639">
        <v>400</v>
      </c>
      <c r="E176" s="638" t="s">
        <v>1200</v>
      </c>
      <c r="F176" s="639">
        <v>0</v>
      </c>
      <c r="G176" s="639">
        <v>400000000</v>
      </c>
      <c r="H176" s="640">
        <v>0.0033333333333333335</v>
      </c>
      <c r="I176" s="641"/>
    </row>
    <row r="177" spans="1:9" ht="14.25">
      <c r="A177" s="636"/>
      <c r="B177" s="637" t="s">
        <v>1195</v>
      </c>
      <c r="C177" s="638" t="s">
        <v>1201</v>
      </c>
      <c r="D177" s="639">
        <v>940</v>
      </c>
      <c r="E177" s="638" t="s">
        <v>1202</v>
      </c>
      <c r="F177" s="639">
        <v>0</v>
      </c>
      <c r="G177" s="639">
        <v>940000000</v>
      </c>
      <c r="H177" s="640">
        <v>0.007833333333333333</v>
      </c>
      <c r="I177" s="641"/>
    </row>
    <row r="178" spans="1:9" ht="14.25">
      <c r="A178" s="636">
        <v>1</v>
      </c>
      <c r="B178" s="637" t="s">
        <v>1195</v>
      </c>
      <c r="C178" s="638" t="s">
        <v>1203</v>
      </c>
      <c r="D178" s="639">
        <v>400</v>
      </c>
      <c r="E178" s="638" t="s">
        <v>1204</v>
      </c>
      <c r="F178" s="639">
        <v>0</v>
      </c>
      <c r="G178" s="639">
        <v>400000000</v>
      </c>
      <c r="H178" s="640">
        <v>0.0033333333333333335</v>
      </c>
      <c r="I178" s="641">
        <f>SUM(H174:H186)</f>
        <v>0.15145</v>
      </c>
    </row>
    <row r="179" spans="1:9" ht="14.25">
      <c r="A179" s="636"/>
      <c r="B179" s="637" t="s">
        <v>1195</v>
      </c>
      <c r="C179" s="638" t="s">
        <v>1205</v>
      </c>
      <c r="D179" s="639">
        <v>2100</v>
      </c>
      <c r="E179" s="638" t="s">
        <v>1206</v>
      </c>
      <c r="F179" s="639">
        <v>0</v>
      </c>
      <c r="G179" s="639">
        <v>2100000000</v>
      </c>
      <c r="H179" s="640">
        <v>0.0175</v>
      </c>
      <c r="I179" s="641"/>
    </row>
    <row r="180" spans="1:9" ht="14.25">
      <c r="A180" s="636"/>
      <c r="B180" s="637" t="s">
        <v>1195</v>
      </c>
      <c r="C180" s="638" t="s">
        <v>1207</v>
      </c>
      <c r="D180" s="639">
        <v>1900</v>
      </c>
      <c r="E180" s="638" t="s">
        <v>1197</v>
      </c>
      <c r="F180" s="639">
        <f>+D180*5</f>
        <v>9500</v>
      </c>
      <c r="G180" s="639">
        <f aca="true" t="shared" si="5" ref="G180:G186">+D180*1000000</f>
        <v>1900000000</v>
      </c>
      <c r="H180" s="640">
        <v>0.015833333333333335</v>
      </c>
      <c r="I180" s="641"/>
    </row>
    <row r="181" spans="1:9" ht="14.25">
      <c r="A181" s="636"/>
      <c r="B181" s="637" t="s">
        <v>1195</v>
      </c>
      <c r="C181" s="638" t="s">
        <v>1208</v>
      </c>
      <c r="D181" s="639">
        <v>200</v>
      </c>
      <c r="E181" s="638" t="s">
        <v>1197</v>
      </c>
      <c r="F181" s="639">
        <f>+D181*5</f>
        <v>1000</v>
      </c>
      <c r="G181" s="639">
        <f t="shared" si="5"/>
        <v>200000000</v>
      </c>
      <c r="H181" s="640">
        <v>0.0016666666666666668</v>
      </c>
      <c r="I181" s="641"/>
    </row>
    <row r="182" spans="1:9" ht="14.25">
      <c r="A182" s="636"/>
      <c r="B182" s="637" t="s">
        <v>1195</v>
      </c>
      <c r="C182" s="638" t="s">
        <v>1211</v>
      </c>
      <c r="D182" s="639">
        <v>2188</v>
      </c>
      <c r="E182" s="638" t="s">
        <v>1210</v>
      </c>
      <c r="F182" s="639">
        <v>0</v>
      </c>
      <c r="G182" s="639">
        <f t="shared" si="5"/>
        <v>2188000000</v>
      </c>
      <c r="H182" s="640">
        <v>0.018233333333333334</v>
      </c>
      <c r="I182" s="641"/>
    </row>
    <row r="183" spans="1:9" ht="14.25">
      <c r="A183" s="636"/>
      <c r="B183" s="637" t="s">
        <v>1195</v>
      </c>
      <c r="C183" s="638" t="s">
        <v>1212</v>
      </c>
      <c r="D183" s="639">
        <v>4200</v>
      </c>
      <c r="E183" s="638" t="s">
        <v>1197</v>
      </c>
      <c r="F183" s="639">
        <f>+D183*5</f>
        <v>21000</v>
      </c>
      <c r="G183" s="639">
        <f t="shared" si="5"/>
        <v>4200000000</v>
      </c>
      <c r="H183" s="640">
        <v>0.035</v>
      </c>
      <c r="I183" s="641"/>
    </row>
    <row r="184" spans="1:9" ht="14.25">
      <c r="A184" s="636"/>
      <c r="B184" s="637" t="s">
        <v>1195</v>
      </c>
      <c r="C184" s="638" t="s">
        <v>1213</v>
      </c>
      <c r="D184" s="639">
        <v>1134</v>
      </c>
      <c r="E184" s="638" t="s">
        <v>1214</v>
      </c>
      <c r="F184" s="639"/>
      <c r="G184" s="639">
        <f t="shared" si="5"/>
        <v>1134000000</v>
      </c>
      <c r="H184" s="640">
        <v>0.00945</v>
      </c>
      <c r="I184" s="641"/>
    </row>
    <row r="185" spans="1:9" ht="14.25">
      <c r="A185" s="636"/>
      <c r="B185" s="637" t="s">
        <v>1195</v>
      </c>
      <c r="C185" s="638" t="s">
        <v>1215</v>
      </c>
      <c r="D185" s="639">
        <v>380</v>
      </c>
      <c r="E185" s="638" t="s">
        <v>1210</v>
      </c>
      <c r="F185" s="639">
        <v>0</v>
      </c>
      <c r="G185" s="639">
        <f t="shared" si="5"/>
        <v>380000000</v>
      </c>
      <c r="H185" s="640">
        <v>0.0031666666666666666</v>
      </c>
      <c r="I185" s="641"/>
    </row>
    <row r="186" spans="1:9" ht="15" thickBot="1">
      <c r="A186" s="642"/>
      <c r="B186" s="643" t="s">
        <v>1195</v>
      </c>
      <c r="C186" s="644" t="s">
        <v>1216</v>
      </c>
      <c r="D186" s="645">
        <v>132</v>
      </c>
      <c r="E186" s="644" t="s">
        <v>1210</v>
      </c>
      <c r="F186" s="645">
        <v>0</v>
      </c>
      <c r="G186" s="645">
        <f t="shared" si="5"/>
        <v>132000000</v>
      </c>
      <c r="H186" s="646">
        <v>0.0011</v>
      </c>
      <c r="I186" s="647"/>
    </row>
    <row r="187" spans="1:9" ht="15" thickTop="1">
      <c r="A187" s="636"/>
      <c r="B187" s="637" t="s">
        <v>1217</v>
      </c>
      <c r="C187" s="638" t="s">
        <v>1218</v>
      </c>
      <c r="D187" s="639">
        <v>7200</v>
      </c>
      <c r="E187" s="638" t="s">
        <v>1197</v>
      </c>
      <c r="F187" s="639">
        <f>+D187*5</f>
        <v>36000</v>
      </c>
      <c r="G187" s="639">
        <v>7200000000</v>
      </c>
      <c r="H187" s="640">
        <v>0.06</v>
      </c>
      <c r="I187" s="641"/>
    </row>
    <row r="188" spans="1:9" ht="14.25">
      <c r="A188" s="636"/>
      <c r="B188" s="637" t="s">
        <v>1217</v>
      </c>
      <c r="C188" s="638" t="s">
        <v>1219</v>
      </c>
      <c r="D188" s="639">
        <f>3750+1950</f>
        <v>5700</v>
      </c>
      <c r="E188" s="638" t="s">
        <v>1214</v>
      </c>
      <c r="F188" s="639">
        <v>0</v>
      </c>
      <c r="G188" s="639">
        <v>5700000000</v>
      </c>
      <c r="H188" s="640">
        <v>0.0475</v>
      </c>
      <c r="I188" s="641"/>
    </row>
    <row r="189" spans="1:9" ht="14.25">
      <c r="A189" s="636"/>
      <c r="B189" s="637" t="s">
        <v>1217</v>
      </c>
      <c r="C189" s="638" t="s">
        <v>1220</v>
      </c>
      <c r="D189" s="639">
        <v>3600</v>
      </c>
      <c r="E189" s="638" t="s">
        <v>1206</v>
      </c>
      <c r="F189" s="639">
        <v>0</v>
      </c>
      <c r="G189" s="639">
        <v>3600000000</v>
      </c>
      <c r="H189" s="640">
        <v>0.03</v>
      </c>
      <c r="I189" s="641"/>
    </row>
    <row r="190" spans="1:9" ht="14.25">
      <c r="A190" s="636">
        <v>2</v>
      </c>
      <c r="B190" s="637" t="s">
        <v>1217</v>
      </c>
      <c r="C190" s="638" t="s">
        <v>1221</v>
      </c>
      <c r="D190" s="639">
        <v>4300</v>
      </c>
      <c r="E190" s="638" t="s">
        <v>1222</v>
      </c>
      <c r="F190" s="639">
        <v>0</v>
      </c>
      <c r="G190" s="639">
        <f aca="true" t="shared" si="6" ref="G190:G196">+D190*1000000</f>
        <v>4300000000</v>
      </c>
      <c r="H190" s="640">
        <v>0.035833333333333335</v>
      </c>
      <c r="I190" s="641">
        <f>SUM(H187:H195)</f>
        <v>0.32120000000000004</v>
      </c>
    </row>
    <row r="191" spans="1:9" ht="14.25">
      <c r="A191" s="636"/>
      <c r="B191" s="637" t="s">
        <v>1217</v>
      </c>
      <c r="C191" s="638" t="s">
        <v>1223</v>
      </c>
      <c r="D191" s="639">
        <v>3600</v>
      </c>
      <c r="E191" s="638" t="s">
        <v>1197</v>
      </c>
      <c r="F191" s="639">
        <f>+D191*5</f>
        <v>18000</v>
      </c>
      <c r="G191" s="639">
        <f t="shared" si="6"/>
        <v>3600000000</v>
      </c>
      <c r="H191" s="640">
        <v>0.03</v>
      </c>
      <c r="I191" s="641"/>
    </row>
    <row r="192" spans="1:9" ht="14.25">
      <c r="A192" s="636"/>
      <c r="B192" s="637" t="s">
        <v>1217</v>
      </c>
      <c r="C192" s="638" t="s">
        <v>1224</v>
      </c>
      <c r="D192" s="639">
        <v>5000</v>
      </c>
      <c r="E192" s="638" t="s">
        <v>1222</v>
      </c>
      <c r="F192" s="639">
        <v>0</v>
      </c>
      <c r="G192" s="639">
        <f t="shared" si="6"/>
        <v>5000000000</v>
      </c>
      <c r="H192" s="640">
        <v>0.041666666666666664</v>
      </c>
      <c r="I192" s="641"/>
    </row>
    <row r="193" spans="1:9" ht="14.25">
      <c r="A193" s="636"/>
      <c r="B193" s="637" t="s">
        <v>1217</v>
      </c>
      <c r="C193" s="638" t="s">
        <v>1225</v>
      </c>
      <c r="D193" s="639">
        <v>7200</v>
      </c>
      <c r="E193" s="638" t="s">
        <v>1197</v>
      </c>
      <c r="F193" s="639">
        <f>+D193*5</f>
        <v>36000</v>
      </c>
      <c r="G193" s="639">
        <f t="shared" si="6"/>
        <v>7200000000</v>
      </c>
      <c r="H193" s="640">
        <v>0.06</v>
      </c>
      <c r="I193" s="641"/>
    </row>
    <row r="194" spans="1:9" ht="14.25">
      <c r="A194" s="636"/>
      <c r="B194" s="637" t="s">
        <v>1147</v>
      </c>
      <c r="C194" s="638" t="s">
        <v>1226</v>
      </c>
      <c r="D194" s="639">
        <v>1000</v>
      </c>
      <c r="E194" s="638" t="s">
        <v>1214</v>
      </c>
      <c r="F194" s="639"/>
      <c r="G194" s="639">
        <f t="shared" si="6"/>
        <v>1000000000</v>
      </c>
      <c r="H194" s="640">
        <v>0.008333333333333333</v>
      </c>
      <c r="I194" s="641"/>
    </row>
    <row r="195" spans="1:9" ht="15" thickBot="1">
      <c r="A195" s="636"/>
      <c r="B195" s="637" t="s">
        <v>1147</v>
      </c>
      <c r="C195" s="638" t="s">
        <v>1227</v>
      </c>
      <c r="D195" s="639">
        <v>944</v>
      </c>
      <c r="E195" s="638" t="s">
        <v>1214</v>
      </c>
      <c r="F195" s="639"/>
      <c r="G195" s="639">
        <f t="shared" si="6"/>
        <v>944000000</v>
      </c>
      <c r="H195" s="640">
        <v>0.007866666666666666</v>
      </c>
      <c r="I195" s="641"/>
    </row>
    <row r="196" spans="1:9" ht="14.25">
      <c r="A196" s="630"/>
      <c r="B196" s="631" t="s">
        <v>1228</v>
      </c>
      <c r="C196" s="632" t="s">
        <v>1229</v>
      </c>
      <c r="D196" s="633">
        <v>2322</v>
      </c>
      <c r="E196" s="632" t="s">
        <v>1214</v>
      </c>
      <c r="F196" s="633"/>
      <c r="G196" s="633">
        <f t="shared" si="6"/>
        <v>2322000000</v>
      </c>
      <c r="H196" s="634">
        <v>0.01935</v>
      </c>
      <c r="I196" s="635"/>
    </row>
    <row r="197" spans="1:9" ht="14.25">
      <c r="A197" s="636">
        <v>3</v>
      </c>
      <c r="B197" s="637" t="s">
        <v>1228</v>
      </c>
      <c r="C197" s="638" t="s">
        <v>1230</v>
      </c>
      <c r="D197" s="639">
        <v>4300</v>
      </c>
      <c r="E197" s="638" t="s">
        <v>1206</v>
      </c>
      <c r="F197" s="639">
        <v>0</v>
      </c>
      <c r="G197" s="639">
        <v>4300000000</v>
      </c>
      <c r="H197" s="640">
        <v>0.035833333333333335</v>
      </c>
      <c r="I197" s="641">
        <f>SUM(H196:H198)</f>
        <v>0.19685</v>
      </c>
    </row>
    <row r="198" spans="1:9" ht="15" thickBot="1">
      <c r="A198" s="636"/>
      <c r="B198" s="637" t="s">
        <v>1228</v>
      </c>
      <c r="C198" s="638" t="s">
        <v>1231</v>
      </c>
      <c r="D198" s="639">
        <v>17000</v>
      </c>
      <c r="E198" s="638" t="s">
        <v>1232</v>
      </c>
      <c r="F198" s="639">
        <v>0</v>
      </c>
      <c r="G198" s="639">
        <f>+D198*1000000</f>
        <v>17000000000</v>
      </c>
      <c r="H198" s="640">
        <v>0.14166666666666666</v>
      </c>
      <c r="I198" s="641"/>
    </row>
    <row r="199" spans="1:9" ht="14.25">
      <c r="A199" s="630"/>
      <c r="B199" s="631" t="s">
        <v>1134</v>
      </c>
      <c r="C199" s="632" t="s">
        <v>1233</v>
      </c>
      <c r="D199" s="633">
        <v>8200</v>
      </c>
      <c r="E199" s="632" t="s">
        <v>1197</v>
      </c>
      <c r="F199" s="633">
        <f>+D199*5</f>
        <v>41000</v>
      </c>
      <c r="G199" s="633">
        <v>8200000000</v>
      </c>
      <c r="H199" s="634">
        <v>0.06833333333333333</v>
      </c>
      <c r="I199" s="635"/>
    </row>
    <row r="200" spans="1:9" ht="14.25">
      <c r="A200" s="636"/>
      <c r="B200" s="637" t="s">
        <v>1134</v>
      </c>
      <c r="C200" s="638" t="s">
        <v>1234</v>
      </c>
      <c r="D200" s="639">
        <v>400</v>
      </c>
      <c r="E200" s="638" t="s">
        <v>1197</v>
      </c>
      <c r="F200" s="639">
        <f>+D200*5</f>
        <v>2000</v>
      </c>
      <c r="G200" s="639">
        <v>400000000</v>
      </c>
      <c r="H200" s="640">
        <v>0.0033333333333333335</v>
      </c>
      <c r="I200" s="641"/>
    </row>
    <row r="201" spans="1:9" ht="14.25">
      <c r="A201" s="636">
        <v>4</v>
      </c>
      <c r="B201" s="637" t="s">
        <v>1134</v>
      </c>
      <c r="C201" s="638" t="s">
        <v>1235</v>
      </c>
      <c r="D201" s="639">
        <v>4100</v>
      </c>
      <c r="E201" s="638" t="s">
        <v>1197</v>
      </c>
      <c r="F201" s="639">
        <f>+D201*5</f>
        <v>20500</v>
      </c>
      <c r="G201" s="639">
        <f>+D201*1000000</f>
        <v>4100000000</v>
      </c>
      <c r="H201" s="640">
        <v>0.034166666666666665</v>
      </c>
      <c r="I201" s="641">
        <f>SUM(H199:H203)</f>
        <v>0.17916666666666664</v>
      </c>
    </row>
    <row r="202" spans="1:9" ht="14.25">
      <c r="A202" s="636"/>
      <c r="B202" s="637" t="s">
        <v>1134</v>
      </c>
      <c r="C202" s="638" t="s">
        <v>1236</v>
      </c>
      <c r="D202" s="639">
        <v>200</v>
      </c>
      <c r="E202" s="638" t="s">
        <v>1197</v>
      </c>
      <c r="F202" s="639">
        <f>+D202*5</f>
        <v>1000</v>
      </c>
      <c r="G202" s="639">
        <f>+D202*1000000</f>
        <v>200000000</v>
      </c>
      <c r="H202" s="640">
        <v>0.0016666666666666668</v>
      </c>
      <c r="I202" s="641"/>
    </row>
    <row r="203" spans="1:9" ht="15" thickBot="1">
      <c r="A203" s="648"/>
      <c r="B203" s="649" t="s">
        <v>1134</v>
      </c>
      <c r="C203" s="650" t="s">
        <v>1237</v>
      </c>
      <c r="D203" s="651">
        <v>8600</v>
      </c>
      <c r="E203" s="650" t="s">
        <v>1197</v>
      </c>
      <c r="F203" s="651">
        <f>+D203*5</f>
        <v>43000</v>
      </c>
      <c r="G203" s="651">
        <f>+D203*1000000</f>
        <v>8600000000</v>
      </c>
      <c r="H203" s="652">
        <v>0.07166666666666667</v>
      </c>
      <c r="I203" s="653"/>
    </row>
    <row r="205" ht="24" customHeight="1"/>
    <row r="206" spans="1:2" ht="15">
      <c r="A206" s="712" t="s">
        <v>1283</v>
      </c>
      <c r="B206" s="712"/>
    </row>
    <row r="207" s="463" customFormat="1" ht="14.25">
      <c r="I207" s="665"/>
    </row>
    <row r="208" ht="14.25">
      <c r="A208" s="33" t="s">
        <v>1238</v>
      </c>
    </row>
    <row r="210" ht="14.25">
      <c r="A210" s="33" t="s">
        <v>1239</v>
      </c>
    </row>
  </sheetData>
  <sheetProtection/>
  <mergeCells count="17">
    <mergeCell ref="A68:H68"/>
    <mergeCell ref="A69:H69"/>
    <mergeCell ref="A118:H118"/>
    <mergeCell ref="A119:H119"/>
    <mergeCell ref="A63:E63"/>
    <mergeCell ref="A12:F12"/>
    <mergeCell ref="A32:F32"/>
    <mergeCell ref="J13:O14"/>
    <mergeCell ref="J16:O26"/>
    <mergeCell ref="A8:F8"/>
    <mergeCell ref="G11:I11"/>
    <mergeCell ref="J28:O29"/>
    <mergeCell ref="J31:O32"/>
    <mergeCell ref="A28:F28"/>
    <mergeCell ref="A29:F29"/>
    <mergeCell ref="A30:F30"/>
    <mergeCell ref="A31:F31"/>
  </mergeCells>
  <hyperlinks>
    <hyperlink ref="F1" location="BG!A1" display="BG"/>
  </hyperlinks>
  <printOptions/>
  <pageMargins left="0.7086614173228347" right="0.7086614173228347" top="0.7480314960629921" bottom="0.7480314960629921" header="0.31496062992125984" footer="0.31496062992125984"/>
  <pageSetup fitToHeight="0" fitToWidth="1" horizontalDpi="1200" verticalDpi="1200" orientation="portrait" paperSize="5" scale="37" r:id="rId2"/>
  <drawing r:id="rId1"/>
</worksheet>
</file>

<file path=xl/worksheets/sheet7.xml><?xml version="1.0" encoding="utf-8"?>
<worksheet xmlns="http://schemas.openxmlformats.org/spreadsheetml/2006/main" xmlns:r="http://schemas.openxmlformats.org/officeDocument/2006/relationships">
  <dimension ref="A1:N115"/>
  <sheetViews>
    <sheetView showGridLines="0" zoomScalePageLayoutView="0" workbookViewId="0" topLeftCell="A91">
      <selection activeCell="A91" sqref="A91:I91"/>
    </sheetView>
  </sheetViews>
  <sheetFormatPr defaultColWidth="11.421875" defaultRowHeight="15"/>
  <cols>
    <col min="1" max="1" width="31.421875" style="2" customWidth="1"/>
    <col min="2" max="2" width="14.8515625" style="2" customWidth="1"/>
    <col min="3" max="3" width="15.421875" style="2" customWidth="1"/>
    <col min="4" max="5" width="11.421875" style="2" customWidth="1"/>
    <col min="6" max="6" width="14.421875" style="2" customWidth="1"/>
    <col min="7" max="7" width="15.421875" style="2" customWidth="1"/>
    <col min="8" max="8" width="11.421875" style="2" customWidth="1"/>
    <col min="9" max="9" width="16.8515625" style="2" customWidth="1"/>
    <col min="10" max="16384" width="11.421875" style="2" customWidth="1"/>
  </cols>
  <sheetData>
    <row r="1" ht="15" customHeight="1">
      <c r="I1" s="149" t="s">
        <v>132</v>
      </c>
    </row>
    <row r="2" ht="15" customHeight="1"/>
    <row r="3" ht="15" customHeight="1"/>
    <row r="4" ht="15" customHeight="1"/>
    <row r="5" ht="15" customHeight="1"/>
    <row r="6" spans="1:9" s="38" customFormat="1" ht="15" customHeight="1">
      <c r="A6" s="794" t="s">
        <v>1</v>
      </c>
      <c r="B6" s="795"/>
      <c r="C6" s="795"/>
      <c r="D6" s="795"/>
      <c r="E6" s="795"/>
      <c r="F6" s="795"/>
      <c r="G6" s="795"/>
      <c r="H6" s="795"/>
      <c r="I6" s="796"/>
    </row>
    <row r="7" spans="1:11" s="38" customFormat="1" ht="26.25" customHeight="1">
      <c r="A7" s="797" t="s">
        <v>166</v>
      </c>
      <c r="B7" s="798"/>
      <c r="C7" s="798"/>
      <c r="D7" s="798"/>
      <c r="E7" s="798"/>
      <c r="F7" s="798"/>
      <c r="G7" s="798"/>
      <c r="H7" s="798"/>
      <c r="I7" s="799"/>
      <c r="J7" s="58"/>
      <c r="K7" s="58"/>
    </row>
    <row r="8" spans="1:9" s="38" customFormat="1" ht="15" customHeight="1">
      <c r="A8" s="97"/>
      <c r="B8" s="56"/>
      <c r="C8" s="56"/>
      <c r="D8" s="56"/>
      <c r="E8" s="56"/>
      <c r="F8" s="56"/>
      <c r="G8" s="56"/>
      <c r="H8" s="56"/>
      <c r="I8" s="98"/>
    </row>
    <row r="9" spans="1:9" s="38" customFormat="1" ht="15" customHeight="1">
      <c r="A9" s="97"/>
      <c r="B9" s="56"/>
      <c r="C9" s="56"/>
      <c r="D9" s="56"/>
      <c r="E9" s="56"/>
      <c r="F9" s="56"/>
      <c r="G9" s="56"/>
      <c r="H9" s="56"/>
      <c r="I9" s="98"/>
    </row>
    <row r="10" spans="1:11" s="38" customFormat="1" ht="15" customHeight="1">
      <c r="A10" s="780" t="s">
        <v>220</v>
      </c>
      <c r="B10" s="781"/>
      <c r="C10" s="781"/>
      <c r="D10" s="781"/>
      <c r="E10" s="781"/>
      <c r="F10" s="781"/>
      <c r="G10" s="781"/>
      <c r="H10" s="781"/>
      <c r="I10" s="782"/>
      <c r="J10" s="58"/>
      <c r="K10" s="58"/>
    </row>
    <row r="11" spans="1:9" s="59" customFormat="1" ht="55.5" customHeight="1">
      <c r="A11" s="760" t="s">
        <v>911</v>
      </c>
      <c r="B11" s="761"/>
      <c r="C11" s="761"/>
      <c r="D11" s="761"/>
      <c r="E11" s="761"/>
      <c r="F11" s="761"/>
      <c r="G11" s="761"/>
      <c r="H11" s="761"/>
      <c r="I11" s="762"/>
    </row>
    <row r="12" spans="1:9" s="59" customFormat="1" ht="37.5" customHeight="1">
      <c r="A12" s="791" t="s">
        <v>924</v>
      </c>
      <c r="B12" s="792"/>
      <c r="C12" s="792"/>
      <c r="D12" s="792"/>
      <c r="E12" s="792"/>
      <c r="F12" s="792"/>
      <c r="G12" s="792"/>
      <c r="H12" s="792"/>
      <c r="I12" s="793"/>
    </row>
    <row r="13" spans="1:9" s="59" customFormat="1" ht="15" customHeight="1">
      <c r="A13" s="239"/>
      <c r="B13" s="240"/>
      <c r="C13" s="240"/>
      <c r="D13" s="240"/>
      <c r="E13" s="240"/>
      <c r="F13" s="240"/>
      <c r="G13" s="240"/>
      <c r="H13" s="240"/>
      <c r="I13" s="241"/>
    </row>
    <row r="14" spans="1:9" s="38" customFormat="1" ht="15" customHeight="1">
      <c r="A14" s="764"/>
      <c r="B14" s="765"/>
      <c r="C14" s="765"/>
      <c r="D14" s="765"/>
      <c r="E14" s="765"/>
      <c r="F14" s="765"/>
      <c r="G14" s="765"/>
      <c r="H14" s="765"/>
      <c r="I14" s="766"/>
    </row>
    <row r="15" spans="1:11" s="38" customFormat="1" ht="15" customHeight="1">
      <c r="A15" s="767" t="s">
        <v>104</v>
      </c>
      <c r="B15" s="768"/>
      <c r="C15" s="768"/>
      <c r="D15" s="768"/>
      <c r="E15" s="768"/>
      <c r="F15" s="768"/>
      <c r="G15" s="768"/>
      <c r="H15" s="768"/>
      <c r="I15" s="769"/>
      <c r="J15" s="58"/>
      <c r="K15" s="58"/>
    </row>
    <row r="16" spans="1:9" s="38" customFormat="1" ht="42.75" customHeight="1">
      <c r="A16" s="791" t="s">
        <v>167</v>
      </c>
      <c r="B16" s="792"/>
      <c r="C16" s="792"/>
      <c r="D16" s="792"/>
      <c r="E16" s="792"/>
      <c r="F16" s="792"/>
      <c r="G16" s="792"/>
      <c r="H16" s="792"/>
      <c r="I16" s="793"/>
    </row>
    <row r="17" spans="1:9" s="38" customFormat="1" ht="15" customHeight="1">
      <c r="A17" s="764"/>
      <c r="B17" s="765"/>
      <c r="C17" s="765"/>
      <c r="D17" s="765"/>
      <c r="E17" s="765"/>
      <c r="F17" s="765"/>
      <c r="G17" s="765"/>
      <c r="H17" s="765"/>
      <c r="I17" s="766"/>
    </row>
    <row r="18" spans="1:11" s="38" customFormat="1" ht="15" customHeight="1">
      <c r="A18" s="767" t="s">
        <v>105</v>
      </c>
      <c r="B18" s="768"/>
      <c r="C18" s="768"/>
      <c r="D18" s="768"/>
      <c r="E18" s="768"/>
      <c r="F18" s="768"/>
      <c r="G18" s="768"/>
      <c r="H18" s="768"/>
      <c r="I18" s="769"/>
      <c r="J18" s="58"/>
      <c r="K18" s="58"/>
    </row>
    <row r="19" spans="1:9" s="38" customFormat="1" ht="15" customHeight="1">
      <c r="A19" s="791" t="s">
        <v>383</v>
      </c>
      <c r="B19" s="792"/>
      <c r="C19" s="792"/>
      <c r="D19" s="792"/>
      <c r="E19" s="792"/>
      <c r="F19" s="792"/>
      <c r="G19" s="792"/>
      <c r="H19" s="792"/>
      <c r="I19" s="793"/>
    </row>
    <row r="20" spans="1:9" s="38" customFormat="1" ht="28.5" customHeight="1">
      <c r="A20" s="791" t="s">
        <v>168</v>
      </c>
      <c r="B20" s="792"/>
      <c r="C20" s="792"/>
      <c r="D20" s="792"/>
      <c r="E20" s="792"/>
      <c r="F20" s="792"/>
      <c r="G20" s="792"/>
      <c r="H20" s="792"/>
      <c r="I20" s="793"/>
    </row>
    <row r="21" spans="1:9" s="38" customFormat="1" ht="15" customHeight="1">
      <c r="A21" s="267"/>
      <c r="B21" s="268"/>
      <c r="C21" s="268"/>
      <c r="D21" s="268"/>
      <c r="E21" s="268"/>
      <c r="F21" s="268"/>
      <c r="G21" s="268"/>
      <c r="H21" s="268"/>
      <c r="I21" s="269"/>
    </row>
    <row r="22" spans="1:9" s="38" customFormat="1" ht="15" customHeight="1">
      <c r="A22" s="180"/>
      <c r="B22" s="178"/>
      <c r="C22" s="56"/>
      <c r="D22" s="56"/>
      <c r="E22" s="56"/>
      <c r="F22" s="56"/>
      <c r="G22" s="178"/>
      <c r="H22" s="56"/>
      <c r="I22" s="98"/>
    </row>
    <row r="23" spans="1:11" s="38" customFormat="1" ht="15" customHeight="1">
      <c r="A23" s="180"/>
      <c r="B23" s="403"/>
      <c r="C23" s="403">
        <f>_xlfn.IFERROR(IF(Indice!B6="","2XX2",YEAR(Indice!B6)),"2XX2")</f>
        <v>2021</v>
      </c>
      <c r="D23" s="403"/>
      <c r="E23" s="275"/>
      <c r="F23" s="403"/>
      <c r="G23" s="403">
        <f>_xlfn.IFERROR(YEAR(Indice!B6-365),"2XX1")</f>
        <v>2020</v>
      </c>
      <c r="H23" s="403"/>
      <c r="I23" s="277"/>
      <c r="J23" s="275"/>
      <c r="K23" s="129"/>
    </row>
    <row r="24" spans="1:9" s="38" customFormat="1" ht="15" customHeight="1">
      <c r="A24" s="180"/>
      <c r="B24" s="133" t="s">
        <v>107</v>
      </c>
      <c r="C24" s="202" t="s">
        <v>182</v>
      </c>
      <c r="D24" s="202" t="s">
        <v>183</v>
      </c>
      <c r="E24" s="56"/>
      <c r="F24" s="133" t="s">
        <v>107</v>
      </c>
      <c r="G24" s="202" t="s">
        <v>182</v>
      </c>
      <c r="H24" s="202" t="s">
        <v>183</v>
      </c>
      <c r="I24" s="98"/>
    </row>
    <row r="25" spans="1:11" s="38" customFormat="1" ht="15" customHeight="1">
      <c r="A25" s="180" t="s">
        <v>106</v>
      </c>
      <c r="B25" s="178"/>
      <c r="C25" s="178"/>
      <c r="D25" s="178"/>
      <c r="E25" s="178"/>
      <c r="F25" s="278"/>
      <c r="G25" s="178"/>
      <c r="H25" s="178"/>
      <c r="I25" s="181"/>
      <c r="J25" s="129"/>
      <c r="K25" s="137"/>
    </row>
    <row r="26" spans="1:11" s="38" customFormat="1" ht="15" customHeight="1">
      <c r="A26" s="180"/>
      <c r="B26" s="178"/>
      <c r="C26" s="178"/>
      <c r="D26" s="178"/>
      <c r="E26" s="178"/>
      <c r="F26" s="278"/>
      <c r="G26" s="178"/>
      <c r="H26" s="178"/>
      <c r="I26" s="181"/>
      <c r="J26" s="129"/>
      <c r="K26" s="137"/>
    </row>
    <row r="27" spans="1:11" s="38" customFormat="1" ht="15" customHeight="1">
      <c r="A27" s="180" t="s">
        <v>108</v>
      </c>
      <c r="B27" s="178"/>
      <c r="C27" s="178"/>
      <c r="D27" s="178"/>
      <c r="E27" s="178"/>
      <c r="F27" s="278"/>
      <c r="G27" s="178"/>
      <c r="H27" s="178"/>
      <c r="I27" s="181"/>
      <c r="J27" s="129"/>
      <c r="K27" s="137"/>
    </row>
    <row r="28" spans="1:9" s="38" customFormat="1" ht="15" customHeight="1">
      <c r="A28" s="180"/>
      <c r="B28" s="132"/>
      <c r="C28" s="132"/>
      <c r="D28" s="179"/>
      <c r="E28" s="56"/>
      <c r="F28" s="132"/>
      <c r="G28" s="132"/>
      <c r="H28" s="179"/>
      <c r="I28" s="98"/>
    </row>
    <row r="29" spans="1:9" s="38" customFormat="1" ht="15" customHeight="1">
      <c r="A29" s="279" t="s">
        <v>109</v>
      </c>
      <c r="B29" s="280"/>
      <c r="C29" s="280"/>
      <c r="D29" s="281">
        <f>F25-F27</f>
        <v>0</v>
      </c>
      <c r="E29" s="56"/>
      <c r="F29" s="280"/>
      <c r="G29" s="280"/>
      <c r="H29" s="281">
        <f>K25-K27</f>
        <v>0</v>
      </c>
      <c r="I29" s="98"/>
    </row>
    <row r="30" spans="1:11" s="38" customFormat="1" ht="15" customHeight="1">
      <c r="A30" s="180"/>
      <c r="B30" s="178"/>
      <c r="C30" s="178"/>
      <c r="D30" s="178"/>
      <c r="E30" s="178"/>
      <c r="F30" s="178"/>
      <c r="G30" s="178"/>
      <c r="H30" s="178"/>
      <c r="I30" s="181"/>
      <c r="J30" s="129"/>
      <c r="K30" s="129"/>
    </row>
    <row r="31" spans="1:11" s="38" customFormat="1" ht="15" customHeight="1">
      <c r="A31" s="180"/>
      <c r="B31" s="178"/>
      <c r="C31" s="178"/>
      <c r="D31" s="178"/>
      <c r="E31" s="178"/>
      <c r="F31" s="178"/>
      <c r="G31" s="178"/>
      <c r="H31" s="178"/>
      <c r="I31" s="181"/>
      <c r="J31" s="129"/>
      <c r="K31" s="129"/>
    </row>
    <row r="32" spans="1:11" s="38" customFormat="1" ht="33" customHeight="1">
      <c r="A32" s="760" t="s">
        <v>384</v>
      </c>
      <c r="B32" s="761"/>
      <c r="C32" s="761"/>
      <c r="D32" s="761"/>
      <c r="E32" s="761"/>
      <c r="F32" s="761"/>
      <c r="G32" s="761"/>
      <c r="H32" s="761"/>
      <c r="I32" s="762"/>
      <c r="J32" s="276"/>
      <c r="K32" s="129"/>
    </row>
    <row r="33" spans="1:9" s="38" customFormat="1" ht="15" customHeight="1">
      <c r="A33" s="267"/>
      <c r="B33" s="268"/>
      <c r="C33" s="268"/>
      <c r="D33" s="268"/>
      <c r="E33" s="268"/>
      <c r="F33" s="268"/>
      <c r="G33" s="268"/>
      <c r="H33" s="268"/>
      <c r="I33" s="269"/>
    </row>
    <row r="34" spans="1:11" s="38" customFormat="1" ht="15" customHeight="1">
      <c r="A34" s="767" t="s">
        <v>42</v>
      </c>
      <c r="B34" s="768"/>
      <c r="C34" s="768"/>
      <c r="D34" s="768"/>
      <c r="E34" s="768"/>
      <c r="F34" s="768"/>
      <c r="G34" s="768"/>
      <c r="H34" s="768"/>
      <c r="I34" s="769"/>
      <c r="J34" s="58"/>
      <c r="K34" s="58"/>
    </row>
    <row r="35" spans="1:9" s="38" customFormat="1" ht="28.5" customHeight="1">
      <c r="A35" s="760" t="s">
        <v>288</v>
      </c>
      <c r="B35" s="761"/>
      <c r="C35" s="761"/>
      <c r="D35" s="761"/>
      <c r="E35" s="761"/>
      <c r="F35" s="761"/>
      <c r="G35" s="761"/>
      <c r="H35" s="761"/>
      <c r="I35" s="762"/>
    </row>
    <row r="36" spans="1:9" s="38" customFormat="1" ht="15" customHeight="1">
      <c r="A36" s="233"/>
      <c r="B36" s="234"/>
      <c r="C36" s="234"/>
      <c r="D36" s="234"/>
      <c r="E36" s="234"/>
      <c r="F36" s="234"/>
      <c r="G36" s="234"/>
      <c r="H36" s="234"/>
      <c r="I36" s="235"/>
    </row>
    <row r="37" spans="1:9" s="38" customFormat="1" ht="15" customHeight="1">
      <c r="A37" s="764"/>
      <c r="B37" s="765"/>
      <c r="C37" s="765"/>
      <c r="D37" s="765"/>
      <c r="E37" s="765"/>
      <c r="F37" s="765"/>
      <c r="G37" s="765"/>
      <c r="H37" s="765"/>
      <c r="I37" s="766"/>
    </row>
    <row r="38" spans="1:11" s="38" customFormat="1" ht="15" customHeight="1">
      <c r="A38" s="780" t="s">
        <v>170</v>
      </c>
      <c r="B38" s="781"/>
      <c r="C38" s="781"/>
      <c r="D38" s="781"/>
      <c r="E38" s="781"/>
      <c r="F38" s="781"/>
      <c r="G38" s="781"/>
      <c r="H38" s="781"/>
      <c r="I38" s="782"/>
      <c r="J38" s="58"/>
      <c r="K38" s="58"/>
    </row>
    <row r="39" spans="1:11" s="38" customFormat="1" ht="122.25" customHeight="1">
      <c r="A39" s="760" t="s">
        <v>289</v>
      </c>
      <c r="B39" s="786"/>
      <c r="C39" s="786"/>
      <c r="D39" s="786"/>
      <c r="E39" s="786"/>
      <c r="F39" s="786"/>
      <c r="G39" s="786"/>
      <c r="H39" s="786"/>
      <c r="I39" s="787"/>
      <c r="J39" s="58"/>
      <c r="K39" s="58"/>
    </row>
    <row r="40" spans="1:11" s="38" customFormat="1" ht="27" customHeight="1">
      <c r="A40" s="788" t="s">
        <v>385</v>
      </c>
      <c r="B40" s="789"/>
      <c r="C40" s="789"/>
      <c r="D40" s="789"/>
      <c r="E40" s="789"/>
      <c r="F40" s="789"/>
      <c r="G40" s="789"/>
      <c r="H40" s="789"/>
      <c r="I40" s="790"/>
      <c r="J40" s="58"/>
      <c r="K40" s="58"/>
    </row>
    <row r="41" spans="1:11" s="78" customFormat="1" ht="15" customHeight="1">
      <c r="A41" s="173"/>
      <c r="B41" s="174"/>
      <c r="C41" s="174"/>
      <c r="D41" s="174"/>
      <c r="E41" s="174"/>
      <c r="F41" s="174"/>
      <c r="G41" s="174"/>
      <c r="H41" s="174"/>
      <c r="I41" s="175"/>
      <c r="J41" s="176"/>
      <c r="K41" s="176"/>
    </row>
    <row r="42" spans="1:9" s="38" customFormat="1" ht="15" customHeight="1">
      <c r="A42" s="764"/>
      <c r="B42" s="765"/>
      <c r="C42" s="765"/>
      <c r="D42" s="765"/>
      <c r="E42" s="765"/>
      <c r="F42" s="765"/>
      <c r="G42" s="765"/>
      <c r="H42" s="765"/>
      <c r="I42" s="766"/>
    </row>
    <row r="43" spans="1:11" s="38" customFormat="1" ht="15" customHeight="1">
      <c r="A43" s="767" t="s">
        <v>169</v>
      </c>
      <c r="B43" s="768"/>
      <c r="C43" s="768"/>
      <c r="D43" s="768"/>
      <c r="E43" s="768"/>
      <c r="F43" s="768"/>
      <c r="G43" s="768"/>
      <c r="H43" s="768"/>
      <c r="I43" s="769"/>
      <c r="J43" s="58"/>
      <c r="K43" s="58"/>
    </row>
    <row r="44" spans="1:9" s="38" customFormat="1" ht="43.5" customHeight="1">
      <c r="A44" s="783" t="s">
        <v>290</v>
      </c>
      <c r="B44" s="784"/>
      <c r="C44" s="784"/>
      <c r="D44" s="784"/>
      <c r="E44" s="784"/>
      <c r="F44" s="784"/>
      <c r="G44" s="784"/>
      <c r="H44" s="784"/>
      <c r="I44" s="785"/>
    </row>
    <row r="45" spans="1:9" s="38" customFormat="1" ht="21" customHeight="1">
      <c r="A45" s="783" t="s">
        <v>1284</v>
      </c>
      <c r="B45" s="784"/>
      <c r="C45" s="784"/>
      <c r="D45" s="784"/>
      <c r="E45" s="784"/>
      <c r="F45" s="784"/>
      <c r="G45" s="784"/>
      <c r="H45" s="784"/>
      <c r="I45" s="785"/>
    </row>
    <row r="46" spans="1:9" s="38" customFormat="1" ht="28.5" customHeight="1">
      <c r="A46" s="715"/>
      <c r="B46" s="715"/>
      <c r="C46" s="715"/>
      <c r="D46" s="715"/>
      <c r="E46" s="715"/>
      <c r="F46" s="715"/>
      <c r="G46" s="715"/>
      <c r="H46" s="715"/>
      <c r="I46" s="716"/>
    </row>
    <row r="47" spans="1:9" s="38" customFormat="1" ht="43.5" customHeight="1">
      <c r="A47" s="715"/>
      <c r="B47" s="715"/>
      <c r="C47" s="715"/>
      <c r="D47" s="715"/>
      <c r="E47" s="715"/>
      <c r="F47" s="715"/>
      <c r="G47" s="715"/>
      <c r="H47" s="715"/>
      <c r="I47" s="716"/>
    </row>
    <row r="48" spans="1:9" s="38" customFormat="1" ht="43.5" customHeight="1">
      <c r="A48" s="715"/>
      <c r="B48" s="715"/>
      <c r="C48" s="715"/>
      <c r="D48" s="715"/>
      <c r="E48" s="715"/>
      <c r="F48" s="715"/>
      <c r="G48" s="715"/>
      <c r="H48" s="715"/>
      <c r="I48" s="716"/>
    </row>
    <row r="49" spans="1:9" s="38" customFormat="1" ht="15.75" customHeight="1">
      <c r="A49" s="715"/>
      <c r="B49" s="715"/>
      <c r="C49" s="715"/>
      <c r="D49" s="715"/>
      <c r="E49" s="715"/>
      <c r="F49" s="715"/>
      <c r="G49" s="715"/>
      <c r="H49" s="715"/>
      <c r="I49" s="716"/>
    </row>
    <row r="50" spans="1:9" s="38" customFormat="1" ht="24.75" customHeight="1">
      <c r="A50" s="715" t="s">
        <v>1285</v>
      </c>
      <c r="B50" s="715"/>
      <c r="C50" s="715"/>
      <c r="D50" s="715"/>
      <c r="E50" s="715"/>
      <c r="F50" s="715"/>
      <c r="G50" s="715"/>
      <c r="H50" s="715"/>
      <c r="I50" s="716"/>
    </row>
    <row r="51" spans="1:9" s="38" customFormat="1" ht="15" customHeight="1">
      <c r="A51" s="67" t="s">
        <v>1286</v>
      </c>
      <c r="B51" s="715"/>
      <c r="C51" s="715"/>
      <c r="D51" s="715"/>
      <c r="E51" s="715"/>
      <c r="F51" s="715"/>
      <c r="G51" s="715"/>
      <c r="H51" s="715"/>
      <c r="I51" s="716"/>
    </row>
    <row r="52" spans="1:9" s="38" customFormat="1" ht="15" customHeight="1">
      <c r="A52" s="715"/>
      <c r="B52" s="715"/>
      <c r="C52" s="715"/>
      <c r="D52" s="715"/>
      <c r="E52" s="715"/>
      <c r="F52" s="715"/>
      <c r="G52" s="715"/>
      <c r="H52" s="713"/>
      <c r="I52" s="714"/>
    </row>
    <row r="53" spans="1:11" s="38" customFormat="1" ht="15" customHeight="1">
      <c r="A53" s="767" t="s">
        <v>912</v>
      </c>
      <c r="B53" s="768"/>
      <c r="C53" s="768"/>
      <c r="D53" s="768"/>
      <c r="E53" s="768"/>
      <c r="F53" s="768"/>
      <c r="G53" s="768"/>
      <c r="H53" s="768"/>
      <c r="I53" s="769"/>
      <c r="J53" s="58"/>
      <c r="K53" s="58"/>
    </row>
    <row r="54" spans="1:11" s="38" customFormat="1" ht="40.5" customHeight="1">
      <c r="A54" s="783" t="s">
        <v>979</v>
      </c>
      <c r="B54" s="784"/>
      <c r="C54" s="784"/>
      <c r="D54" s="784"/>
      <c r="E54" s="784"/>
      <c r="F54" s="784"/>
      <c r="G54" s="784"/>
      <c r="H54" s="784"/>
      <c r="I54" s="785"/>
      <c r="J54" s="58"/>
      <c r="K54" s="58"/>
    </row>
    <row r="55" spans="1:9" s="38" customFormat="1" ht="15" customHeight="1">
      <c r="A55" s="97"/>
      <c r="B55" s="56"/>
      <c r="C55" s="56"/>
      <c r="D55" s="56"/>
      <c r="E55" s="56"/>
      <c r="F55" s="56"/>
      <c r="G55" s="56"/>
      <c r="H55" s="56"/>
      <c r="I55" s="98"/>
    </row>
    <row r="56" spans="1:9" s="38" customFormat="1" ht="15" customHeight="1">
      <c r="A56" s="236"/>
      <c r="B56" s="237"/>
      <c r="C56" s="237"/>
      <c r="D56" s="237"/>
      <c r="E56" s="237"/>
      <c r="F56" s="237"/>
      <c r="G56" s="237"/>
      <c r="H56" s="237"/>
      <c r="I56" s="238"/>
    </row>
    <row r="57" spans="1:11" s="38" customFormat="1" ht="15" customHeight="1">
      <c r="A57" s="767" t="s">
        <v>913</v>
      </c>
      <c r="B57" s="768"/>
      <c r="C57" s="768"/>
      <c r="D57" s="768"/>
      <c r="E57" s="768"/>
      <c r="F57" s="768"/>
      <c r="G57" s="768"/>
      <c r="H57" s="768"/>
      <c r="I57" s="769"/>
      <c r="J57" s="58"/>
      <c r="K57" s="58"/>
    </row>
    <row r="58" spans="1:9" s="38" customFormat="1" ht="27" customHeight="1">
      <c r="A58" s="760" t="s">
        <v>171</v>
      </c>
      <c r="B58" s="761"/>
      <c r="C58" s="761"/>
      <c r="D58" s="761"/>
      <c r="E58" s="761"/>
      <c r="F58" s="761"/>
      <c r="G58" s="761"/>
      <c r="H58" s="761"/>
      <c r="I58" s="762"/>
    </row>
    <row r="59" spans="1:9" s="38" customFormat="1" ht="15" customHeight="1">
      <c r="A59" s="245"/>
      <c r="B59" s="246"/>
      <c r="C59" s="246"/>
      <c r="D59" s="246"/>
      <c r="E59" s="246"/>
      <c r="F59" s="246"/>
      <c r="G59" s="246"/>
      <c r="H59" s="246"/>
      <c r="I59" s="247"/>
    </row>
    <row r="60" spans="1:9" s="38" customFormat="1" ht="15" customHeight="1">
      <c r="A60" s="97"/>
      <c r="B60" s="56"/>
      <c r="C60" s="56"/>
      <c r="D60" s="56"/>
      <c r="E60" s="56"/>
      <c r="F60" s="56"/>
      <c r="G60" s="56"/>
      <c r="H60" s="56"/>
      <c r="I60" s="98"/>
    </row>
    <row r="61" spans="1:11" s="38" customFormat="1" ht="15" customHeight="1">
      <c r="A61" s="767" t="s">
        <v>914</v>
      </c>
      <c r="B61" s="768"/>
      <c r="C61" s="768"/>
      <c r="D61" s="768"/>
      <c r="E61" s="768"/>
      <c r="F61" s="768"/>
      <c r="G61" s="768"/>
      <c r="H61" s="768"/>
      <c r="I61" s="769"/>
      <c r="J61" s="763"/>
      <c r="K61" s="763"/>
    </row>
    <row r="62" spans="1:11" s="38" customFormat="1" ht="30" customHeight="1">
      <c r="A62" s="760" t="s">
        <v>172</v>
      </c>
      <c r="B62" s="761"/>
      <c r="C62" s="761"/>
      <c r="D62" s="761"/>
      <c r="E62" s="761"/>
      <c r="F62" s="761"/>
      <c r="G62" s="761"/>
      <c r="H62" s="761"/>
      <c r="I62" s="762"/>
      <c r="J62" s="763"/>
      <c r="K62" s="763"/>
    </row>
    <row r="63" spans="1:11" s="38" customFormat="1" ht="15" customHeight="1">
      <c r="A63" s="764"/>
      <c r="B63" s="765"/>
      <c r="C63" s="765"/>
      <c r="D63" s="765"/>
      <c r="E63" s="765"/>
      <c r="F63" s="765"/>
      <c r="G63" s="765"/>
      <c r="H63" s="765"/>
      <c r="I63" s="766"/>
      <c r="J63" s="763"/>
      <c r="K63" s="763"/>
    </row>
    <row r="64" spans="1:11" s="38" customFormat="1" ht="15" customHeight="1">
      <c r="A64" s="767" t="s">
        <v>915</v>
      </c>
      <c r="B64" s="768"/>
      <c r="C64" s="768"/>
      <c r="D64" s="768"/>
      <c r="E64" s="768"/>
      <c r="F64" s="768"/>
      <c r="G64" s="768"/>
      <c r="H64" s="768"/>
      <c r="I64" s="769"/>
      <c r="J64" s="763"/>
      <c r="K64" s="763"/>
    </row>
    <row r="65" spans="1:11" s="38" customFormat="1" ht="22.5" customHeight="1">
      <c r="A65" s="760" t="s">
        <v>173</v>
      </c>
      <c r="B65" s="761"/>
      <c r="C65" s="761"/>
      <c r="D65" s="761"/>
      <c r="E65" s="761"/>
      <c r="F65" s="761"/>
      <c r="G65" s="761"/>
      <c r="H65" s="761"/>
      <c r="I65" s="762"/>
      <c r="J65" s="763"/>
      <c r="K65" s="763"/>
    </row>
    <row r="66" spans="1:11" s="38" customFormat="1" ht="25.5" customHeight="1">
      <c r="A66" s="760" t="s">
        <v>174</v>
      </c>
      <c r="B66" s="761"/>
      <c r="C66" s="761"/>
      <c r="D66" s="761"/>
      <c r="E66" s="761"/>
      <c r="F66" s="761"/>
      <c r="G66" s="761"/>
      <c r="H66" s="761"/>
      <c r="I66" s="762"/>
      <c r="J66" s="763"/>
      <c r="K66" s="763"/>
    </row>
    <row r="67" spans="1:11" s="38" customFormat="1" ht="39" customHeight="1">
      <c r="A67" s="760" t="s">
        <v>1287</v>
      </c>
      <c r="B67" s="761"/>
      <c r="C67" s="761"/>
      <c r="D67" s="761"/>
      <c r="E67" s="761"/>
      <c r="F67" s="761"/>
      <c r="G67" s="761"/>
      <c r="H67" s="761"/>
      <c r="I67" s="762"/>
      <c r="J67" s="172"/>
      <c r="K67" s="172"/>
    </row>
    <row r="68" spans="1:11" s="38" customFormat="1" ht="24.75" customHeight="1">
      <c r="A68" s="760" t="s">
        <v>1288</v>
      </c>
      <c r="B68" s="761"/>
      <c r="C68" s="761"/>
      <c r="D68" s="761"/>
      <c r="E68" s="761"/>
      <c r="F68" s="761"/>
      <c r="G68" s="761"/>
      <c r="H68" s="761"/>
      <c r="I68" s="762"/>
      <c r="J68" s="172"/>
      <c r="K68" s="172"/>
    </row>
    <row r="69" spans="1:11" s="38" customFormat="1" ht="15" customHeight="1">
      <c r="A69" s="245"/>
      <c r="B69" s="246"/>
      <c r="C69" s="246"/>
      <c r="D69" s="246"/>
      <c r="E69" s="246"/>
      <c r="F69" s="246"/>
      <c r="G69" s="246"/>
      <c r="H69" s="246"/>
      <c r="I69" s="247"/>
      <c r="J69" s="172"/>
      <c r="K69" s="172"/>
    </row>
    <row r="70" spans="1:11" s="38" customFormat="1" ht="15" customHeight="1">
      <c r="A70" s="764"/>
      <c r="B70" s="765"/>
      <c r="C70" s="765"/>
      <c r="D70" s="765"/>
      <c r="E70" s="765"/>
      <c r="F70" s="765"/>
      <c r="G70" s="765"/>
      <c r="H70" s="765"/>
      <c r="I70" s="766"/>
      <c r="J70" s="763"/>
      <c r="K70" s="763"/>
    </row>
    <row r="71" spans="1:11" s="38" customFormat="1" ht="15" customHeight="1">
      <c r="A71" s="767" t="s">
        <v>916</v>
      </c>
      <c r="B71" s="768"/>
      <c r="C71" s="768"/>
      <c r="D71" s="768"/>
      <c r="E71" s="768"/>
      <c r="F71" s="768"/>
      <c r="G71" s="768"/>
      <c r="H71" s="768"/>
      <c r="I71" s="769"/>
      <c r="J71" s="763"/>
      <c r="K71" s="763"/>
    </row>
    <row r="72" spans="1:11" s="59" customFormat="1" ht="15" customHeight="1">
      <c r="A72" s="760" t="s">
        <v>175</v>
      </c>
      <c r="B72" s="761"/>
      <c r="C72" s="761"/>
      <c r="D72" s="761"/>
      <c r="E72" s="761"/>
      <c r="F72" s="761"/>
      <c r="G72" s="761"/>
      <c r="H72" s="761"/>
      <c r="I72" s="762"/>
      <c r="J72" s="773"/>
      <c r="K72" s="773"/>
    </row>
    <row r="73" spans="1:11" s="59" customFormat="1" ht="24.75" customHeight="1">
      <c r="A73" s="760" t="s">
        <v>1289</v>
      </c>
      <c r="B73" s="761"/>
      <c r="C73" s="761"/>
      <c r="D73" s="761"/>
      <c r="E73" s="761"/>
      <c r="F73" s="761"/>
      <c r="G73" s="761"/>
      <c r="H73" s="761"/>
      <c r="I73" s="762"/>
      <c r="J73" s="773"/>
      <c r="K73" s="773"/>
    </row>
    <row r="74" spans="1:11" s="59" customFormat="1" ht="15" customHeight="1">
      <c r="A74" s="760" t="s">
        <v>176</v>
      </c>
      <c r="B74" s="761"/>
      <c r="C74" s="761"/>
      <c r="D74" s="761"/>
      <c r="E74" s="761"/>
      <c r="F74" s="761"/>
      <c r="G74" s="761"/>
      <c r="H74" s="761"/>
      <c r="I74" s="762"/>
      <c r="J74" s="773"/>
      <c r="K74" s="773"/>
    </row>
    <row r="75" spans="1:11" s="38" customFormat="1" ht="15" customHeight="1">
      <c r="A75" s="245"/>
      <c r="B75" s="246"/>
      <c r="C75" s="246"/>
      <c r="D75" s="246"/>
      <c r="E75" s="246"/>
      <c r="F75" s="246"/>
      <c r="G75" s="246"/>
      <c r="H75" s="246"/>
      <c r="I75" s="247"/>
      <c r="J75" s="200"/>
      <c r="K75" s="200"/>
    </row>
    <row r="76" spans="1:11" s="38" customFormat="1" ht="15" customHeight="1">
      <c r="A76" s="764"/>
      <c r="B76" s="765"/>
      <c r="C76" s="765"/>
      <c r="D76" s="765"/>
      <c r="E76" s="765"/>
      <c r="F76" s="765"/>
      <c r="G76" s="765"/>
      <c r="H76" s="765"/>
      <c r="I76" s="766"/>
      <c r="J76" s="763"/>
      <c r="K76" s="763"/>
    </row>
    <row r="77" spans="1:11" s="38" customFormat="1" ht="15" customHeight="1">
      <c r="A77" s="767" t="s">
        <v>917</v>
      </c>
      <c r="B77" s="768"/>
      <c r="C77" s="768"/>
      <c r="D77" s="768"/>
      <c r="E77" s="768"/>
      <c r="F77" s="768"/>
      <c r="G77" s="768"/>
      <c r="H77" s="768"/>
      <c r="I77" s="769"/>
      <c r="J77" s="763"/>
      <c r="K77" s="763"/>
    </row>
    <row r="78" spans="1:11" s="59" customFormat="1" ht="25.5" customHeight="1">
      <c r="A78" s="760" t="s">
        <v>979</v>
      </c>
      <c r="B78" s="761"/>
      <c r="C78" s="761"/>
      <c r="D78" s="761"/>
      <c r="E78" s="761"/>
      <c r="F78" s="761"/>
      <c r="G78" s="761"/>
      <c r="H78" s="761"/>
      <c r="I78" s="762"/>
      <c r="J78" s="201"/>
      <c r="K78" s="201"/>
    </row>
    <row r="79" spans="1:11" s="38" customFormat="1" ht="15" customHeight="1">
      <c r="A79" s="97"/>
      <c r="B79" s="56"/>
      <c r="C79" s="56"/>
      <c r="D79" s="56"/>
      <c r="E79" s="56"/>
      <c r="F79" s="56"/>
      <c r="G79" s="56"/>
      <c r="H79" s="56"/>
      <c r="I79" s="98"/>
      <c r="J79" s="172"/>
      <c r="K79" s="172"/>
    </row>
    <row r="80" spans="1:11" s="31" customFormat="1" ht="15" customHeight="1">
      <c r="A80" s="242"/>
      <c r="B80" s="243"/>
      <c r="C80" s="243"/>
      <c r="D80" s="243"/>
      <c r="E80" s="243"/>
      <c r="F80" s="243"/>
      <c r="G80" s="243"/>
      <c r="H80" s="243"/>
      <c r="I80" s="244"/>
      <c r="J80" s="177"/>
      <c r="K80" s="177"/>
    </row>
    <row r="81" spans="1:11" s="31" customFormat="1" ht="15" customHeight="1">
      <c r="A81" s="767" t="s">
        <v>918</v>
      </c>
      <c r="B81" s="768"/>
      <c r="C81" s="768"/>
      <c r="D81" s="768"/>
      <c r="E81" s="768"/>
      <c r="F81" s="768"/>
      <c r="G81" s="768"/>
      <c r="H81" s="768"/>
      <c r="I81" s="769"/>
      <c r="J81" s="177"/>
      <c r="K81" s="177"/>
    </row>
    <row r="82" spans="1:11" s="31" customFormat="1" ht="15" customHeight="1">
      <c r="A82" s="760" t="s">
        <v>177</v>
      </c>
      <c r="B82" s="761"/>
      <c r="C82" s="761"/>
      <c r="D82" s="761"/>
      <c r="E82" s="761"/>
      <c r="F82" s="761"/>
      <c r="G82" s="761"/>
      <c r="H82" s="761"/>
      <c r="I82" s="762"/>
      <c r="J82" s="177"/>
      <c r="K82" s="177"/>
    </row>
    <row r="83" spans="1:11" s="38" customFormat="1" ht="15" customHeight="1">
      <c r="A83" s="97"/>
      <c r="B83" s="56"/>
      <c r="C83" s="56"/>
      <c r="D83" s="56"/>
      <c r="E83" s="56"/>
      <c r="F83" s="56"/>
      <c r="G83" s="56"/>
      <c r="H83" s="56"/>
      <c r="I83" s="98"/>
      <c r="J83" s="763"/>
      <c r="K83" s="763"/>
    </row>
    <row r="84" spans="1:11" s="38" customFormat="1" ht="15" customHeight="1">
      <c r="A84" s="245"/>
      <c r="B84" s="246"/>
      <c r="C84" s="246"/>
      <c r="D84" s="246"/>
      <c r="E84" s="246"/>
      <c r="F84" s="246"/>
      <c r="G84" s="246"/>
      <c r="H84" s="246"/>
      <c r="I84" s="247"/>
      <c r="J84" s="172"/>
      <c r="K84" s="172"/>
    </row>
    <row r="85" spans="1:11" s="38" customFormat="1" ht="15" customHeight="1">
      <c r="A85" s="767" t="s">
        <v>919</v>
      </c>
      <c r="B85" s="768"/>
      <c r="C85" s="768"/>
      <c r="D85" s="768"/>
      <c r="E85" s="768"/>
      <c r="F85" s="768"/>
      <c r="G85" s="768"/>
      <c r="H85" s="768"/>
      <c r="I85" s="769"/>
      <c r="J85" s="763"/>
      <c r="K85" s="763"/>
    </row>
    <row r="86" spans="1:11" s="38" customFormat="1" ht="36.75" customHeight="1">
      <c r="A86" s="760" t="s">
        <v>178</v>
      </c>
      <c r="B86" s="761"/>
      <c r="C86" s="761"/>
      <c r="D86" s="761"/>
      <c r="E86" s="761"/>
      <c r="F86" s="761"/>
      <c r="G86" s="761"/>
      <c r="H86" s="761"/>
      <c r="I86" s="762"/>
      <c r="J86" s="172"/>
      <c r="K86" s="172"/>
    </row>
    <row r="87" spans="1:11" s="38" customFormat="1" ht="15" customHeight="1">
      <c r="A87" s="267"/>
      <c r="B87" s="268"/>
      <c r="C87" s="268"/>
      <c r="D87" s="268"/>
      <c r="E87" s="268"/>
      <c r="F87" s="268"/>
      <c r="G87" s="268"/>
      <c r="H87" s="268"/>
      <c r="I87" s="269"/>
      <c r="J87" s="266"/>
      <c r="K87" s="266"/>
    </row>
    <row r="88" spans="1:11" s="38" customFormat="1" ht="15" customHeight="1">
      <c r="A88" s="770" t="s">
        <v>920</v>
      </c>
      <c r="B88" s="771"/>
      <c r="C88" s="771"/>
      <c r="D88" s="771"/>
      <c r="E88" s="771"/>
      <c r="F88" s="771"/>
      <c r="G88" s="771"/>
      <c r="H88" s="771"/>
      <c r="I88" s="772"/>
      <c r="J88" s="57"/>
      <c r="K88" s="57"/>
    </row>
    <row r="89" spans="1:11" s="38" customFormat="1" ht="15" customHeight="1">
      <c r="A89" s="760" t="s">
        <v>184</v>
      </c>
      <c r="B89" s="761"/>
      <c r="C89" s="761"/>
      <c r="D89" s="761"/>
      <c r="E89" s="761"/>
      <c r="F89" s="761"/>
      <c r="G89" s="761"/>
      <c r="H89" s="761"/>
      <c r="I89" s="762"/>
      <c r="J89" s="282"/>
      <c r="K89" s="282"/>
    </row>
    <row r="90" spans="1:11" s="38" customFormat="1" ht="15" customHeight="1">
      <c r="A90" s="270"/>
      <c r="B90" s="271"/>
      <c r="C90" s="271"/>
      <c r="D90" s="271"/>
      <c r="E90" s="271"/>
      <c r="F90" s="271"/>
      <c r="G90" s="271"/>
      <c r="H90" s="271"/>
      <c r="I90" s="272"/>
      <c r="J90" s="172"/>
      <c r="K90" s="172"/>
    </row>
    <row r="91" spans="1:11" s="38" customFormat="1" ht="15" customHeight="1">
      <c r="A91" s="767" t="s">
        <v>921</v>
      </c>
      <c r="B91" s="768"/>
      <c r="C91" s="768"/>
      <c r="D91" s="768"/>
      <c r="E91" s="768"/>
      <c r="F91" s="768"/>
      <c r="G91" s="768"/>
      <c r="H91" s="768"/>
      <c r="I91" s="769"/>
      <c r="J91" s="172"/>
      <c r="K91" s="172"/>
    </row>
    <row r="92" spans="1:11" s="59" customFormat="1" ht="36" customHeight="1">
      <c r="A92" s="760" t="s">
        <v>179</v>
      </c>
      <c r="B92" s="761"/>
      <c r="C92" s="761"/>
      <c r="D92" s="761"/>
      <c r="E92" s="761"/>
      <c r="F92" s="761"/>
      <c r="G92" s="761"/>
      <c r="H92" s="761"/>
      <c r="I92" s="762"/>
      <c r="J92" s="201"/>
      <c r="K92" s="201"/>
    </row>
    <row r="93" spans="1:11" s="59" customFormat="1" ht="23.25" customHeight="1">
      <c r="A93" s="760" t="s">
        <v>180</v>
      </c>
      <c r="B93" s="761"/>
      <c r="C93" s="761"/>
      <c r="D93" s="761"/>
      <c r="E93" s="761"/>
      <c r="F93" s="761"/>
      <c r="G93" s="761"/>
      <c r="H93" s="761"/>
      <c r="I93" s="762"/>
      <c r="J93" s="201"/>
      <c r="K93" s="201"/>
    </row>
    <row r="94" spans="1:11" s="38" customFormat="1" ht="15" customHeight="1">
      <c r="A94" s="97"/>
      <c r="B94" s="56"/>
      <c r="C94" s="56"/>
      <c r="D94" s="56"/>
      <c r="E94" s="56"/>
      <c r="F94" s="56"/>
      <c r="G94" s="56"/>
      <c r="H94" s="56"/>
      <c r="I94" s="98"/>
      <c r="J94" s="200"/>
      <c r="K94" s="200"/>
    </row>
    <row r="95" spans="1:11" s="38" customFormat="1" ht="15" customHeight="1">
      <c r="A95" s="767" t="s">
        <v>922</v>
      </c>
      <c r="B95" s="768"/>
      <c r="C95" s="768"/>
      <c r="D95" s="768"/>
      <c r="E95" s="768"/>
      <c r="F95" s="768"/>
      <c r="G95" s="768"/>
      <c r="H95" s="768"/>
      <c r="I95" s="769"/>
      <c r="J95" s="172"/>
      <c r="K95" s="172"/>
    </row>
    <row r="96" spans="1:11" s="38" customFormat="1" ht="25.5" customHeight="1">
      <c r="A96" s="760" t="s">
        <v>181</v>
      </c>
      <c r="B96" s="761"/>
      <c r="C96" s="761"/>
      <c r="D96" s="761"/>
      <c r="E96" s="761"/>
      <c r="F96" s="761"/>
      <c r="G96" s="761"/>
      <c r="H96" s="761"/>
      <c r="I96" s="762"/>
      <c r="J96" s="172"/>
      <c r="K96" s="172"/>
    </row>
    <row r="97" spans="1:11" s="38" customFormat="1" ht="29.25" customHeight="1">
      <c r="A97" s="778" t="s">
        <v>412</v>
      </c>
      <c r="B97" s="778"/>
      <c r="C97" s="778"/>
      <c r="D97" s="778"/>
      <c r="E97" s="778"/>
      <c r="F97" s="778"/>
      <c r="G97" s="778"/>
      <c r="H97" s="778"/>
      <c r="I97" s="779"/>
      <c r="J97" s="172"/>
      <c r="K97" s="172"/>
    </row>
    <row r="98" spans="1:9" s="31" customFormat="1" ht="15" customHeight="1">
      <c r="A98" s="775"/>
      <c r="B98" s="776"/>
      <c r="C98" s="776"/>
      <c r="D98" s="776"/>
      <c r="E98" s="776"/>
      <c r="F98" s="776"/>
      <c r="G98" s="776"/>
      <c r="H98" s="776"/>
      <c r="I98" s="777"/>
    </row>
    <row r="99" s="38" customFormat="1" ht="15" customHeight="1"/>
    <row r="100" s="38" customFormat="1" ht="15" customHeight="1"/>
    <row r="101" s="38" customFormat="1" ht="15" customHeight="1">
      <c r="A101" s="284"/>
    </row>
    <row r="102" s="38" customFormat="1" ht="15" customHeight="1"/>
    <row r="103" s="38" customFormat="1" ht="15" customHeight="1"/>
    <row r="104" ht="15" customHeight="1"/>
    <row r="105" ht="15" customHeight="1"/>
    <row r="106" ht="15" customHeight="1"/>
    <row r="107" ht="15" customHeight="1"/>
    <row r="108" ht="15" customHeight="1"/>
    <row r="109" ht="15" customHeight="1"/>
    <row r="110" ht="15" customHeight="1"/>
    <row r="111" ht="15" customHeight="1"/>
    <row r="115" spans="6:14" ht="12.75">
      <c r="F115" s="774"/>
      <c r="G115" s="774"/>
      <c r="H115" s="774"/>
      <c r="I115" s="774"/>
      <c r="J115" s="774"/>
      <c r="K115" s="774"/>
      <c r="L115" s="774"/>
      <c r="M115" s="774"/>
      <c r="N115" s="774"/>
    </row>
  </sheetData>
  <sheetProtection/>
  <mergeCells count="72">
    <mergeCell ref="A6:I6"/>
    <mergeCell ref="A43:I43"/>
    <mergeCell ref="A53:I53"/>
    <mergeCell ref="A57:I57"/>
    <mergeCell ref="A54:I54"/>
    <mergeCell ref="A16:I16"/>
    <mergeCell ref="A7:I7"/>
    <mergeCell ref="A15:I15"/>
    <mergeCell ref="A11:I11"/>
    <mergeCell ref="A12:I12"/>
    <mergeCell ref="A35:I35"/>
    <mergeCell ref="A39:I39"/>
    <mergeCell ref="A40:I40"/>
    <mergeCell ref="A32:I32"/>
    <mergeCell ref="A44:I44"/>
    <mergeCell ref="A10:I10"/>
    <mergeCell ref="A14:I14"/>
    <mergeCell ref="A20:I20"/>
    <mergeCell ref="A19:I19"/>
    <mergeCell ref="A42:I42"/>
    <mergeCell ref="A58:I58"/>
    <mergeCell ref="A64:I64"/>
    <mergeCell ref="A61:I61"/>
    <mergeCell ref="A73:I73"/>
    <mergeCell ref="A63:I63"/>
    <mergeCell ref="A76:I76"/>
    <mergeCell ref="A67:I67"/>
    <mergeCell ref="A72:I72"/>
    <mergeCell ref="A97:I97"/>
    <mergeCell ref="A95:I95"/>
    <mergeCell ref="A37:I37"/>
    <mergeCell ref="A38:I38"/>
    <mergeCell ref="A34:I34"/>
    <mergeCell ref="A78:I78"/>
    <mergeCell ref="A85:I85"/>
    <mergeCell ref="A93:I93"/>
    <mergeCell ref="A81:I81"/>
    <mergeCell ref="A45:I45"/>
    <mergeCell ref="A17:I17"/>
    <mergeCell ref="A18:I18"/>
    <mergeCell ref="F115:N115"/>
    <mergeCell ref="J83:K83"/>
    <mergeCell ref="J85:K85"/>
    <mergeCell ref="A74:I74"/>
    <mergeCell ref="J74:K74"/>
    <mergeCell ref="A98:I98"/>
    <mergeCell ref="A91:I91"/>
    <mergeCell ref="A92:I92"/>
    <mergeCell ref="J61:K61"/>
    <mergeCell ref="J62:K62"/>
    <mergeCell ref="A77:I77"/>
    <mergeCell ref="J72:K72"/>
    <mergeCell ref="J73:K73"/>
    <mergeCell ref="J66:K66"/>
    <mergeCell ref="J63:K63"/>
    <mergeCell ref="A66:I66"/>
    <mergeCell ref="A62:I62"/>
    <mergeCell ref="J76:K76"/>
    <mergeCell ref="A96:I96"/>
    <mergeCell ref="A68:I68"/>
    <mergeCell ref="A70:I70"/>
    <mergeCell ref="A71:I71"/>
    <mergeCell ref="A65:I65"/>
    <mergeCell ref="A86:I86"/>
    <mergeCell ref="A88:I88"/>
    <mergeCell ref="A82:I82"/>
    <mergeCell ref="A89:I89"/>
    <mergeCell ref="J77:K77"/>
    <mergeCell ref="J70:K70"/>
    <mergeCell ref="J71:K71"/>
    <mergeCell ref="J64:K64"/>
    <mergeCell ref="J65:K65"/>
  </mergeCells>
  <hyperlinks>
    <hyperlink ref="I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8.xml><?xml version="1.0" encoding="utf-8"?>
<worksheet xmlns="http://schemas.openxmlformats.org/spreadsheetml/2006/main" xmlns:r="http://schemas.openxmlformats.org/officeDocument/2006/relationships">
  <dimension ref="A1:E20"/>
  <sheetViews>
    <sheetView showGridLines="0" zoomScalePageLayoutView="0" workbookViewId="0" topLeftCell="A7">
      <selection activeCell="D13" sqref="D13:D20"/>
    </sheetView>
  </sheetViews>
  <sheetFormatPr defaultColWidth="11.421875" defaultRowHeight="15"/>
  <cols>
    <col min="1" max="1" width="45.421875" style="2" customWidth="1"/>
    <col min="2" max="2" width="5.8515625" style="2" customWidth="1"/>
    <col min="3" max="3" width="22.8515625" style="2" customWidth="1"/>
    <col min="4" max="4" width="16.57421875" style="2" customWidth="1"/>
    <col min="5" max="16384" width="11.421875" style="2" customWidth="1"/>
  </cols>
  <sheetData>
    <row r="1" spans="1:5" ht="15">
      <c r="A1" s="2" t="str">
        <f>Indice!C1</f>
        <v>NEGOFIN S.A.E.C.A.</v>
      </c>
      <c r="E1" s="149" t="s">
        <v>132</v>
      </c>
    </row>
    <row r="2" ht="12.75">
      <c r="A2" s="2" t="s">
        <v>121</v>
      </c>
    </row>
    <row r="7" spans="1:4" ht="12.75">
      <c r="A7" s="285" t="s">
        <v>440</v>
      </c>
      <c r="B7" s="285"/>
      <c r="C7" s="285"/>
      <c r="D7" s="285"/>
    </row>
    <row r="8" spans="1:2" ht="12.75">
      <c r="A8" s="404" t="s">
        <v>314</v>
      </c>
      <c r="B8" s="404"/>
    </row>
    <row r="9" ht="12.75">
      <c r="A9" s="4" t="s">
        <v>4</v>
      </c>
    </row>
    <row r="10" ht="12.75">
      <c r="A10" s="4"/>
    </row>
    <row r="11" spans="1:4" ht="12.75">
      <c r="A11" s="39" t="s">
        <v>5</v>
      </c>
      <c r="B11" s="40"/>
      <c r="C11" s="403">
        <f>_xlfn.IFERROR(IF(Indice!B6="","2XX2",YEAR(Indice!B6)),"2XX2")</f>
        <v>2021</v>
      </c>
      <c r="D11" s="403">
        <f>_xlfn.IFERROR(YEAR(Indice!B6-365),"2XX1")</f>
        <v>2020</v>
      </c>
    </row>
    <row r="12" spans="1:4" ht="12.75">
      <c r="A12" s="41"/>
      <c r="B12" s="40"/>
      <c r="C12" s="104"/>
      <c r="D12" s="104"/>
    </row>
    <row r="13" spans="1:4" ht="14.25">
      <c r="A13" s="43" t="s">
        <v>2</v>
      </c>
      <c r="B13" s="40"/>
      <c r="C13" s="467">
        <v>40578.399999999994</v>
      </c>
      <c r="D13" s="467">
        <v>64051.3</v>
      </c>
    </row>
    <row r="14" spans="1:4" ht="14.25">
      <c r="A14" s="11" t="s">
        <v>6</v>
      </c>
      <c r="B14" s="42"/>
      <c r="C14" s="467">
        <v>0</v>
      </c>
      <c r="D14" s="467">
        <v>1658</v>
      </c>
    </row>
    <row r="15" spans="1:4" ht="14.25">
      <c r="A15" s="43" t="s">
        <v>437</v>
      </c>
      <c r="B15" s="42"/>
      <c r="C15" s="467">
        <v>21713007.5</v>
      </c>
      <c r="D15" s="467">
        <v>23897230.299999997</v>
      </c>
    </row>
    <row r="16" spans="1:4" ht="14.25">
      <c r="A16" s="43" t="s">
        <v>436</v>
      </c>
      <c r="B16" s="42"/>
      <c r="C16" s="467">
        <v>0</v>
      </c>
      <c r="D16" s="467">
        <v>0</v>
      </c>
    </row>
    <row r="17" spans="1:4" ht="14.25">
      <c r="A17" s="43" t="s">
        <v>439</v>
      </c>
      <c r="B17" s="42"/>
      <c r="C17" s="467">
        <v>0</v>
      </c>
      <c r="D17" s="467">
        <v>0</v>
      </c>
    </row>
    <row r="18" spans="1:4" ht="14.25">
      <c r="A18" s="43" t="s">
        <v>438</v>
      </c>
      <c r="B18" s="42"/>
      <c r="C18" s="467">
        <v>0</v>
      </c>
      <c r="D18" s="467">
        <v>0</v>
      </c>
    </row>
    <row r="19" spans="1:4" ht="14.25">
      <c r="A19" s="43" t="s">
        <v>454</v>
      </c>
      <c r="B19" s="42"/>
      <c r="C19" s="467">
        <v>0</v>
      </c>
      <c r="D19" s="467">
        <v>0</v>
      </c>
    </row>
    <row r="20" spans="1:4" ht="15.75" thickBot="1">
      <c r="A20" s="44" t="s">
        <v>3</v>
      </c>
      <c r="B20" s="45"/>
      <c r="C20" s="512">
        <f>SUM($C$13:C19)</f>
        <v>21753585.9</v>
      </c>
      <c r="D20" s="512">
        <f>SUM($D$13:D19)</f>
        <v>23962939.599999998</v>
      </c>
    </row>
    <row r="21" ht="13.5" thickTop="1"/>
  </sheetData>
  <sheetProtection/>
  <hyperlinks>
    <hyperlink ref="E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9.xml><?xml version="1.0" encoding="utf-8"?>
<worksheet xmlns="http://schemas.openxmlformats.org/spreadsheetml/2006/main" xmlns:r="http://schemas.openxmlformats.org/officeDocument/2006/relationships">
  <dimension ref="A1:IV70"/>
  <sheetViews>
    <sheetView tabSelected="1" zoomScalePageLayoutView="0" workbookViewId="0" topLeftCell="A1">
      <selection activeCell="C1" sqref="C1"/>
    </sheetView>
  </sheetViews>
  <sheetFormatPr defaultColWidth="11.421875" defaultRowHeight="15"/>
  <cols>
    <col min="1" max="1" width="72.8515625" style="0" bestFit="1" customWidth="1"/>
    <col min="2" max="2" width="16.140625" style="0" customWidth="1"/>
    <col min="3" max="3" width="18.28125" style="0" customWidth="1"/>
    <col min="6" max="6" width="11.421875" style="0" customWidth="1"/>
    <col min="7" max="30" width="11.421875" style="129" customWidth="1"/>
  </cols>
  <sheetData>
    <row r="1" spans="1:6" ht="15">
      <c r="A1" s="129" t="str">
        <f>Indice!C1</f>
        <v>NEGOFIN S.A.E.C.A.</v>
      </c>
      <c r="B1" s="129"/>
      <c r="C1" s="129"/>
      <c r="D1" s="150" t="s">
        <v>132</v>
      </c>
      <c r="E1" s="129"/>
      <c r="F1" s="129"/>
    </row>
    <row r="2" spans="1:6" ht="15">
      <c r="A2" s="129"/>
      <c r="B2" s="129"/>
      <c r="C2" s="129"/>
      <c r="D2" s="129"/>
      <c r="E2" s="129"/>
      <c r="F2" s="129"/>
    </row>
    <row r="3" spans="1:6" ht="15">
      <c r="A3" s="129"/>
      <c r="B3" s="129"/>
      <c r="C3" s="129"/>
      <c r="D3" s="129"/>
      <c r="E3" s="129"/>
      <c r="F3" s="129"/>
    </row>
    <row r="4" spans="1:6" ht="15">
      <c r="A4" s="800" t="s">
        <v>291</v>
      </c>
      <c r="B4" s="800"/>
      <c r="C4" s="800"/>
      <c r="D4" s="129"/>
      <c r="E4" s="129"/>
      <c r="F4" s="129"/>
    </row>
    <row r="5" spans="1:6" ht="15">
      <c r="A5" s="128"/>
      <c r="B5" s="128"/>
      <c r="C5" s="128"/>
      <c r="D5" s="129"/>
      <c r="E5" s="129"/>
      <c r="F5" s="129"/>
    </row>
    <row r="6" spans="1:6" ht="15">
      <c r="A6" s="127" t="s">
        <v>4</v>
      </c>
      <c r="B6" s="128"/>
      <c r="C6" s="128"/>
      <c r="D6" s="129"/>
      <c r="E6" s="129"/>
      <c r="F6" s="129"/>
    </row>
    <row r="7" spans="1:6" ht="15">
      <c r="A7" s="127"/>
      <c r="B7" s="801" t="s">
        <v>314</v>
      </c>
      <c r="C7" s="801"/>
      <c r="D7" s="129"/>
      <c r="E7" s="129"/>
      <c r="F7" s="129"/>
    </row>
    <row r="8" spans="1:6" ht="15">
      <c r="A8" s="39" t="s">
        <v>5</v>
      </c>
      <c r="B8" s="403">
        <f>_xlfn.IFERROR(IF(Indice!B6="","2XX2",YEAR(Indice!B6)),"2XX2")</f>
        <v>2021</v>
      </c>
      <c r="C8" s="403">
        <f>_xlfn.IFERROR(YEAR(Indice!B6-365),"2XX1")</f>
        <v>2020</v>
      </c>
      <c r="D8" s="129"/>
      <c r="E8" s="129"/>
      <c r="F8" s="129"/>
    </row>
    <row r="9" spans="1:6" ht="15">
      <c r="A9" s="129" t="s">
        <v>447</v>
      </c>
      <c r="B9" s="459">
        <v>0</v>
      </c>
      <c r="C9" s="459">
        <v>0</v>
      </c>
      <c r="D9" s="129"/>
      <c r="E9" s="129"/>
      <c r="F9" s="129"/>
    </row>
    <row r="10" spans="1:30" s="265" customFormat="1" ht="15">
      <c r="A10" s="129" t="s">
        <v>442</v>
      </c>
      <c r="B10" s="459">
        <v>0</v>
      </c>
      <c r="C10" s="459">
        <v>0</v>
      </c>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row>
    <row r="11" spans="1:30" s="265" customFormat="1" ht="15">
      <c r="A11" s="129" t="s">
        <v>441</v>
      </c>
      <c r="B11" s="459">
        <v>0</v>
      </c>
      <c r="C11" s="459">
        <v>0</v>
      </c>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row>
    <row r="12" spans="1:256" s="298" customFormat="1" ht="15">
      <c r="A12" s="129" t="s">
        <v>448</v>
      </c>
      <c r="B12" s="459">
        <v>0</v>
      </c>
      <c r="C12" s="459">
        <v>0</v>
      </c>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c r="IR12" s="129"/>
      <c r="IS12" s="129"/>
      <c r="IT12" s="129"/>
      <c r="IU12" s="129"/>
      <c r="IV12" s="129"/>
    </row>
    <row r="13" spans="1:256" s="298" customFormat="1" ht="15">
      <c r="A13" s="129" t="s">
        <v>443</v>
      </c>
      <c r="B13" s="459">
        <v>0</v>
      </c>
      <c r="C13" s="459">
        <v>0</v>
      </c>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row>
    <row r="14" spans="1:256" s="298" customFormat="1" ht="15">
      <c r="A14" s="129" t="s">
        <v>444</v>
      </c>
      <c r="B14" s="459">
        <v>0</v>
      </c>
      <c r="C14" s="459">
        <v>0</v>
      </c>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c r="IV14" s="129"/>
    </row>
    <row r="15" spans="1:256" s="298" customFormat="1" ht="15">
      <c r="A15" s="129" t="s">
        <v>445</v>
      </c>
      <c r="B15" s="459">
        <v>0</v>
      </c>
      <c r="C15" s="459">
        <v>0</v>
      </c>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c r="IR15" s="129"/>
      <c r="IS15" s="129"/>
      <c r="IT15" s="129"/>
      <c r="IU15" s="129"/>
      <c r="IV15" s="129"/>
    </row>
    <row r="16" spans="1:6" ht="15">
      <c r="A16" s="129" t="s">
        <v>446</v>
      </c>
      <c r="B16" s="459">
        <v>0</v>
      </c>
      <c r="C16" s="459">
        <v>0</v>
      </c>
      <c r="D16" s="129"/>
      <c r="E16" s="129"/>
      <c r="F16" s="129"/>
    </row>
    <row r="17" spans="1:6" ht="15">
      <c r="A17" s="129" t="s">
        <v>449</v>
      </c>
      <c r="B17" s="459">
        <v>0</v>
      </c>
      <c r="C17" s="459">
        <v>0</v>
      </c>
      <c r="D17" s="129"/>
      <c r="E17" s="129"/>
      <c r="F17" s="129"/>
    </row>
    <row r="18" spans="1:6" ht="15.75" thickBot="1">
      <c r="A18" s="44" t="s">
        <v>3</v>
      </c>
      <c r="B18" s="46">
        <f>SUM($B$9:B17)</f>
        <v>0</v>
      </c>
      <c r="C18" s="46">
        <f>SUM($C$9:C17)</f>
        <v>0</v>
      </c>
      <c r="D18" s="129"/>
      <c r="E18" s="129"/>
      <c r="F18" s="129"/>
    </row>
    <row r="19" spans="1:6" ht="15.75" thickTop="1">
      <c r="A19" s="129"/>
      <c r="B19" s="129"/>
      <c r="C19" s="129"/>
      <c r="D19" s="129"/>
      <c r="E19" s="129"/>
      <c r="F19" s="129"/>
    </row>
    <row r="20" spans="1:6" ht="15">
      <c r="A20" s="129"/>
      <c r="B20" s="129"/>
      <c r="C20" s="129"/>
      <c r="D20" s="129"/>
      <c r="E20" s="129"/>
      <c r="F20" s="129"/>
    </row>
    <row r="21" spans="1:6" ht="15">
      <c r="A21" s="129"/>
      <c r="B21" s="129"/>
      <c r="C21" s="129"/>
      <c r="D21" s="129"/>
      <c r="E21" s="129"/>
      <c r="F21" s="129"/>
    </row>
    <row r="22" spans="1:6" ht="15">
      <c r="A22" s="129"/>
      <c r="B22" s="129"/>
      <c r="C22" s="129"/>
      <c r="D22" s="129"/>
      <c r="E22" s="129"/>
      <c r="F22" s="129"/>
    </row>
    <row r="23" spans="1:6" ht="15">
      <c r="A23" s="129"/>
      <c r="B23" s="129"/>
      <c r="C23" s="129"/>
      <c r="D23" s="129"/>
      <c r="E23" s="129"/>
      <c r="F23" s="129"/>
    </row>
    <row r="24" spans="1:6" ht="15">
      <c r="A24" s="129"/>
      <c r="B24" s="129"/>
      <c r="C24" s="129"/>
      <c r="D24" s="129"/>
      <c r="E24" s="129"/>
      <c r="F24" s="129"/>
    </row>
    <row r="25" spans="1:6" ht="15">
      <c r="A25" s="129"/>
      <c r="B25" s="129"/>
      <c r="C25" s="129"/>
      <c r="D25" s="129"/>
      <c r="E25" s="129"/>
      <c r="F25" s="129"/>
    </row>
    <row r="26" spans="1:6" ht="15">
      <c r="A26" s="129"/>
      <c r="B26" s="129"/>
      <c r="C26" s="129"/>
      <c r="D26" s="129"/>
      <c r="E26" s="129"/>
      <c r="F26" s="129"/>
    </row>
    <row r="27" spans="1:6" ht="15">
      <c r="A27" s="129"/>
      <c r="B27" s="129"/>
      <c r="C27" s="129"/>
      <c r="D27" s="129"/>
      <c r="E27" s="129"/>
      <c r="F27" s="129"/>
    </row>
    <row r="28" spans="1:6" ht="15">
      <c r="A28" s="129"/>
      <c r="B28" s="129"/>
      <c r="C28" s="129"/>
      <c r="D28" s="129"/>
      <c r="E28" s="129"/>
      <c r="F28" s="129"/>
    </row>
    <row r="29" spans="1:6" ht="15">
      <c r="A29" s="129"/>
      <c r="B29" s="129"/>
      <c r="C29" s="129"/>
      <c r="D29" s="129"/>
      <c r="E29" s="129"/>
      <c r="F29" s="129"/>
    </row>
    <row r="30" spans="1:6" ht="15">
      <c r="A30" s="129"/>
      <c r="B30" s="129"/>
      <c r="C30" s="129"/>
      <c r="D30" s="129"/>
      <c r="E30" s="129"/>
      <c r="F30" s="129"/>
    </row>
    <row r="31" spans="1:6" ht="15">
      <c r="A31" s="129"/>
      <c r="B31" s="129"/>
      <c r="C31" s="129"/>
      <c r="D31" s="129"/>
      <c r="E31" s="129"/>
      <c r="F31" s="129"/>
    </row>
    <row r="32" spans="1:6" ht="15">
      <c r="A32" s="129"/>
      <c r="B32" s="129"/>
      <c r="C32" s="129"/>
      <c r="D32" s="129"/>
      <c r="E32" s="129"/>
      <c r="F32" s="129"/>
    </row>
    <row r="33" spans="1:6" ht="15">
      <c r="A33" s="129"/>
      <c r="B33" s="129"/>
      <c r="C33" s="129"/>
      <c r="D33" s="129"/>
      <c r="E33" s="129"/>
      <c r="F33" s="129"/>
    </row>
    <row r="34" spans="1:6" ht="15">
      <c r="A34" s="129"/>
      <c r="B34" s="129"/>
      <c r="C34" s="129"/>
      <c r="D34" s="129"/>
      <c r="E34" s="129"/>
      <c r="F34" s="129"/>
    </row>
    <row r="35" spans="1:6" ht="15">
      <c r="A35" s="129"/>
      <c r="B35" s="129"/>
      <c r="C35" s="129"/>
      <c r="D35" s="129"/>
      <c r="E35" s="129"/>
      <c r="F35" s="129"/>
    </row>
    <row r="36" spans="1:6" ht="15">
      <c r="A36" s="129"/>
      <c r="B36" s="129"/>
      <c r="C36" s="129"/>
      <c r="D36" s="129"/>
      <c r="E36" s="129"/>
      <c r="F36" s="129"/>
    </row>
    <row r="37" spans="1:6" ht="15">
      <c r="A37" s="129"/>
      <c r="B37" s="129"/>
      <c r="C37" s="129"/>
      <c r="D37" s="129"/>
      <c r="E37" s="129"/>
      <c r="F37" s="129"/>
    </row>
    <row r="38" spans="1:6" ht="15">
      <c r="A38" s="129"/>
      <c r="B38" s="129"/>
      <c r="C38" s="129"/>
      <c r="D38" s="129"/>
      <c r="E38" s="129"/>
      <c r="F38" s="129"/>
    </row>
    <row r="39" spans="1:6" ht="15">
      <c r="A39" s="129"/>
      <c r="B39" s="129"/>
      <c r="C39" s="129"/>
      <c r="D39" s="129"/>
      <c r="E39" s="129"/>
      <c r="F39" s="129"/>
    </row>
    <row r="40" spans="1:6" ht="15">
      <c r="A40" s="129"/>
      <c r="B40" s="129"/>
      <c r="C40" s="129"/>
      <c r="D40" s="129"/>
      <c r="E40" s="129"/>
      <c r="F40" s="129"/>
    </row>
    <row r="41" spans="1:6" ht="15">
      <c r="A41" s="129"/>
      <c r="B41" s="129"/>
      <c r="C41" s="129"/>
      <c r="D41" s="129"/>
      <c r="E41" s="129"/>
      <c r="F41" s="129"/>
    </row>
    <row r="42" spans="1:6" ht="15">
      <c r="A42" s="129"/>
      <c r="B42" s="129"/>
      <c r="C42" s="129"/>
      <c r="D42" s="129"/>
      <c r="E42" s="129"/>
      <c r="F42" s="129"/>
    </row>
    <row r="43" spans="1:6" ht="15">
      <c r="A43" s="129"/>
      <c r="B43" s="129"/>
      <c r="C43" s="129"/>
      <c r="D43" s="129"/>
      <c r="E43" s="129"/>
      <c r="F43" s="129"/>
    </row>
    <row r="44" spans="1:6" ht="15">
      <c r="A44" s="129"/>
      <c r="B44" s="129"/>
      <c r="C44" s="129"/>
      <c r="D44" s="129"/>
      <c r="E44" s="129"/>
      <c r="F44" s="129"/>
    </row>
    <row r="45" spans="1:6" ht="15">
      <c r="A45" s="129"/>
      <c r="B45" s="129"/>
      <c r="C45" s="129"/>
      <c r="D45" s="129"/>
      <c r="E45" s="129"/>
      <c r="F45" s="129"/>
    </row>
    <row r="46" spans="1:6" ht="15">
      <c r="A46" s="129"/>
      <c r="B46" s="129"/>
      <c r="C46" s="129"/>
      <c r="D46" s="129"/>
      <c r="E46" s="129"/>
      <c r="F46" s="129"/>
    </row>
    <row r="47" spans="1:6" ht="15">
      <c r="A47" s="129"/>
      <c r="B47" s="129"/>
      <c r="C47" s="129"/>
      <c r="D47" s="129"/>
      <c r="E47" s="129"/>
      <c r="F47" s="129"/>
    </row>
    <row r="48" spans="1:6" ht="15">
      <c r="A48" s="129"/>
      <c r="B48" s="129"/>
      <c r="C48" s="129"/>
      <c r="D48" s="129"/>
      <c r="E48" s="129"/>
      <c r="F48" s="129"/>
    </row>
    <row r="49" spans="1:6" ht="15">
      <c r="A49" s="129"/>
      <c r="B49" s="129"/>
      <c r="C49" s="129"/>
      <c r="D49" s="129"/>
      <c r="E49" s="129"/>
      <c r="F49" s="129"/>
    </row>
    <row r="50" spans="1:6" ht="15">
      <c r="A50" s="129"/>
      <c r="B50" s="129"/>
      <c r="C50" s="129"/>
      <c r="D50" s="129"/>
      <c r="E50" s="129"/>
      <c r="F50" s="129"/>
    </row>
    <row r="51" spans="1:6" ht="15">
      <c r="A51" s="129"/>
      <c r="B51" s="129"/>
      <c r="C51" s="129"/>
      <c r="D51" s="129"/>
      <c r="E51" s="129"/>
      <c r="F51" s="129"/>
    </row>
    <row r="52" spans="1:6" ht="15">
      <c r="A52" s="129"/>
      <c r="B52" s="129"/>
      <c r="C52" s="129"/>
      <c r="D52" s="129"/>
      <c r="E52" s="129"/>
      <c r="F52" s="129"/>
    </row>
    <row r="53" spans="1:6" ht="15">
      <c r="A53" s="129"/>
      <c r="B53" s="129"/>
      <c r="C53" s="129"/>
      <c r="D53" s="129"/>
      <c r="E53" s="129"/>
      <c r="F53" s="129"/>
    </row>
    <row r="54" spans="1:6" ht="15">
      <c r="A54" s="129"/>
      <c r="B54" s="129"/>
      <c r="C54" s="129"/>
      <c r="D54" s="129"/>
      <c r="E54" s="129"/>
      <c r="F54" s="129"/>
    </row>
    <row r="55" spans="1:6" ht="15">
      <c r="A55" s="129"/>
      <c r="B55" s="129"/>
      <c r="C55" s="129"/>
      <c r="D55" s="129"/>
      <c r="E55" s="129"/>
      <c r="F55" s="129"/>
    </row>
    <row r="56" spans="1:6" ht="15">
      <c r="A56" s="129"/>
      <c r="B56" s="129"/>
      <c r="C56" s="129"/>
      <c r="D56" s="129"/>
      <c r="E56" s="129"/>
      <c r="F56" s="129"/>
    </row>
    <row r="57" spans="1:6" ht="15">
      <c r="A57" s="129"/>
      <c r="B57" s="129"/>
      <c r="C57" s="129"/>
      <c r="D57" s="129"/>
      <c r="E57" s="129"/>
      <c r="F57" s="129"/>
    </row>
    <row r="58" spans="1:6" ht="15">
      <c r="A58" s="129"/>
      <c r="B58" s="129"/>
      <c r="C58" s="129"/>
      <c r="D58" s="129"/>
      <c r="E58" s="129"/>
      <c r="F58" s="129"/>
    </row>
    <row r="59" spans="1:6" ht="15">
      <c r="A59" s="129"/>
      <c r="B59" s="129"/>
      <c r="C59" s="129"/>
      <c r="D59" s="129"/>
      <c r="E59" s="129"/>
      <c r="F59" s="129"/>
    </row>
    <row r="60" spans="1:6" ht="15">
      <c r="A60" s="129"/>
      <c r="B60" s="129"/>
      <c r="C60" s="129"/>
      <c r="D60" s="129"/>
      <c r="E60" s="129"/>
      <c r="F60" s="129"/>
    </row>
    <row r="61" spans="1:6" ht="15">
      <c r="A61" s="129"/>
      <c r="B61" s="129"/>
      <c r="C61" s="129"/>
      <c r="D61" s="129"/>
      <c r="E61" s="129"/>
      <c r="F61" s="129"/>
    </row>
    <row r="62" spans="1:6" ht="15">
      <c r="A62" s="129"/>
      <c r="B62" s="129"/>
      <c r="C62" s="129"/>
      <c r="D62" s="129"/>
      <c r="E62" s="129"/>
      <c r="F62" s="129"/>
    </row>
    <row r="63" spans="1:6" ht="15">
      <c r="A63" s="129"/>
      <c r="B63" s="129"/>
      <c r="C63" s="129"/>
      <c r="D63" s="129"/>
      <c r="E63" s="129"/>
      <c r="F63" s="129"/>
    </row>
    <row r="64" spans="1:6" ht="15">
      <c r="A64" s="129"/>
      <c r="B64" s="129"/>
      <c r="C64" s="129"/>
      <c r="D64" s="129"/>
      <c r="E64" s="129"/>
      <c r="F64" s="129"/>
    </row>
    <row r="65" spans="1:6" ht="15">
      <c r="A65" s="129"/>
      <c r="B65" s="129"/>
      <c r="C65" s="129"/>
      <c r="D65" s="129"/>
      <c r="E65" s="129"/>
      <c r="F65" s="129"/>
    </row>
    <row r="66" spans="1:6" ht="15">
      <c r="A66" s="129"/>
      <c r="B66" s="129"/>
      <c r="C66" s="129"/>
      <c r="D66" s="129"/>
      <c r="E66" s="129"/>
      <c r="F66" s="129"/>
    </row>
    <row r="67" spans="1:6" ht="15">
      <c r="A67" s="129"/>
      <c r="B67" s="129"/>
      <c r="C67" s="129"/>
      <c r="D67" s="129"/>
      <c r="E67" s="129"/>
      <c r="F67" s="129"/>
    </row>
    <row r="68" spans="1:6" ht="15">
      <c r="A68" s="129"/>
      <c r="B68" s="129"/>
      <c r="C68" s="129"/>
      <c r="D68" s="129"/>
      <c r="E68" s="129"/>
      <c r="F68" s="129"/>
    </row>
    <row r="69" spans="1:6" ht="15">
      <c r="A69" s="129"/>
      <c r="B69" s="129"/>
      <c r="C69" s="129"/>
      <c r="D69" s="129"/>
      <c r="E69" s="129"/>
      <c r="F69" s="129"/>
    </row>
    <row r="70" spans="1:6" ht="15">
      <c r="A70" s="129"/>
      <c r="B70" s="129"/>
      <c r="C70" s="129"/>
      <c r="D70" s="129"/>
      <c r="E70" s="129"/>
      <c r="F70" s="129"/>
    </row>
  </sheetData>
  <sheetProtection/>
  <mergeCells count="2">
    <mergeCell ref="A4:C4"/>
    <mergeCell ref="B7:C7"/>
  </mergeCells>
  <hyperlinks>
    <hyperlink ref="D1" location="BG!A1" display="BG"/>
  </hyperlinks>
  <printOptions/>
  <pageMargins left="0.7" right="0.7" top="0.75" bottom="0.75" header="0.3" footer="0.3"/>
  <pageSetup orientation="portrait"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CONTABILIDAD</dc:creator>
  <cp:keywords/>
  <dc:description/>
  <cp:lastModifiedBy>User</cp:lastModifiedBy>
  <cp:lastPrinted>2021-07-15T14:48:35Z</cp:lastPrinted>
  <dcterms:created xsi:type="dcterms:W3CDTF">2019-05-02T15:06:12Z</dcterms:created>
  <dcterms:modified xsi:type="dcterms:W3CDTF">2021-07-15T14:49:49Z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