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1.xml" ContentType="application/vnd.openxmlformats-officedocument.drawing+xml"/>
  <Override PartName="/xl/drawings/drawing40.xml" ContentType="application/vnd.openxmlformats-officedocument.drawing+xml"/>
  <Override PartName="/xl/drawings/drawing39.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4.xml" ContentType="application/vnd.openxmlformats-officedocument.drawing+xml"/>
  <Override PartName="/xl/worksheets/sheet1.xml" ContentType="application/vnd.openxmlformats-officedocument.spreadsheetml.worksheet+xml"/>
  <Override PartName="/xl/drawings/drawing32.xml" ContentType="application/vnd.openxmlformats-officedocument.drawing+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drawings/drawing33.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drawings/drawing5.xml" ContentType="application/vnd.openxmlformats-officedocument.drawing+xml"/>
  <Override PartName="/xl/drawings/drawing19.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23.xml" ContentType="application/vnd.openxmlformats-officedocument.drawing+xml"/>
  <Override PartName="/xl/drawings/drawing20.xml" ContentType="application/vnd.openxmlformats-officedocument.drawing+xml"/>
  <Override PartName="/xl/drawings/drawing25.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15.xml" ContentType="application/vnd.openxmlformats-officedocument.drawing+xml"/>
  <Override PartName="/xl/drawings/drawing21.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6.xml" ContentType="application/vnd.openxmlformats-officedocument.drawing+xml"/>
  <Override PartName="/xl/drawings/drawing26.xml" ContentType="application/vnd.openxmlformats-officedocument.drawing+xml"/>
  <Override PartName="/xl/drawings/drawing24.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31.xml" ContentType="application/vnd.openxmlformats-officedocument.drawing+xml"/>
  <Override PartName="/xl/drawings/drawing10.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docProps/app.xml" ContentType="application/vnd.openxmlformats-officedocument.extended-properties+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253.12\Contabilidad\Fiorella Vergara\CNV\Año 2021 CNV\2-Junio 2021\Prueba\"/>
    </mc:Choice>
  </mc:AlternateContent>
  <bookViews>
    <workbookView xWindow="0" yWindow="0" windowWidth="20490" windowHeight="7620" tabRatio="1000" firstSheet="33" activeTab="47"/>
  </bookViews>
  <sheets>
    <sheet name="Indice" sheetId="16" r:id="rId1"/>
    <sheet name="BG" sheetId="25" r:id="rId2"/>
    <sheet name="ER" sheetId="19" r:id="rId3"/>
    <sheet name="EVPN" sheetId="24" r:id="rId4"/>
    <sheet name="EFE" sheetId="23" r:id="rId5"/>
    <sheet name="Nota1" sheetId="1" r:id="rId6"/>
    <sheet name="Nota 2" sheetId="2" r:id="rId7"/>
    <sheet name="Nota 3" sheetId="3" r:id="rId8"/>
    <sheet name="Nota 4" sheetId="38" r:id="rId9"/>
    <sheet name="Nota 5" sheetId="4" r:id="rId10"/>
    <sheet name="Nota 6" sheetId="5" r:id="rId11"/>
    <sheet name="Nota 7" sheetId="7" r:id="rId12"/>
    <sheet name="Nota 8" sheetId="67" r:id="rId13"/>
    <sheet name="Nota 9" sheetId="66" r:id="rId14"/>
    <sheet name="Nota 10" sheetId="9" r:id="rId15"/>
    <sheet name="Nota 11" sheetId="41" r:id="rId16"/>
    <sheet name="Nota 12" sheetId="42" r:id="rId17"/>
    <sheet name="Nota 13" sheetId="10" r:id="rId18"/>
    <sheet name="Nota 14" sheetId="8" r:id="rId19"/>
    <sheet name="Nota 15" sheetId="43" r:id="rId20"/>
    <sheet name="Nota 16" sheetId="44" r:id="rId21"/>
    <sheet name="Nota 17" sheetId="45" r:id="rId22"/>
    <sheet name="Nota 18" sheetId="46" r:id="rId23"/>
    <sheet name="Nota 19" sheetId="12" r:id="rId24"/>
    <sheet name="Nota 20" sheetId="14" r:id="rId25"/>
    <sheet name="Nota 22" sheetId="48" r:id="rId26"/>
    <sheet name=" Nota 21" sheetId="47" r:id="rId27"/>
    <sheet name="Nota 23" sheetId="49" r:id="rId28"/>
    <sheet name="Nota 24" sheetId="68" r:id="rId29"/>
    <sheet name="Nota 25" sheetId="50" r:id="rId30"/>
    <sheet name="Nota 26" sheetId="51" r:id="rId31"/>
    <sheet name="Nota 27" sheetId="65" r:id="rId32"/>
    <sheet name="Nota 28" sheetId="53" r:id="rId33"/>
    <sheet name="Nota 29" sheetId="52" r:id="rId34"/>
    <sheet name="Nota 30" sheetId="54" r:id="rId35"/>
    <sheet name="Nota 31" sheetId="55" r:id="rId36"/>
    <sheet name="Nota 32" sheetId="69" r:id="rId37"/>
    <sheet name="Nota 33" sheetId="56" r:id="rId38"/>
    <sheet name="Nota 34" sheetId="57" r:id="rId39"/>
    <sheet name="Nota 35" sheetId="64" r:id="rId40"/>
    <sheet name="Nota 36" sheetId="60" r:id="rId41"/>
    <sheet name="Nota 37" sheetId="62" r:id="rId42"/>
    <sheet name="Nota 38" sheetId="70" r:id="rId43"/>
    <sheet name="Nota 39" sheetId="63" r:id="rId44"/>
    <sheet name="Nota 40" sheetId="72" r:id="rId45"/>
    <sheet name="Base de Monedas" sheetId="71" r:id="rId46"/>
    <sheet name="ANEXO C" sheetId="75" r:id="rId47"/>
    <sheet name="ANEXO D" sheetId="78" r:id="rId48"/>
  </sheets>
  <externalReferences>
    <externalReference r:id="rId49"/>
    <externalReference r:id="rId50"/>
    <externalReference r:id="rId51"/>
    <externalReference r:id="rId52"/>
    <externalReference r:id="rId53"/>
    <externalReference r:id="rId54"/>
    <externalReference r:id="rId55"/>
  </externalReferences>
  <definedNames>
    <definedName name="_bookmark390" localSheetId="3">EVPN!$H$1</definedName>
    <definedName name="_Hlk15378568" localSheetId="6">'Nota 2'!$A$12</definedName>
    <definedName name="_xlnm.Print_Area" localSheetId="2">ER!$A$1:$D$47</definedName>
  </definedNames>
  <calcPr calcId="162913"/>
</workbook>
</file>

<file path=xl/calcChain.xml><?xml version="1.0" encoding="utf-8"?>
<calcChain xmlns="http://schemas.openxmlformats.org/spreadsheetml/2006/main">
  <c r="B20" i="64" l="1"/>
  <c r="B15" i="7"/>
  <c r="C8" i="44"/>
  <c r="C20" i="64"/>
  <c r="B12" i="14"/>
  <c r="K13" i="67"/>
  <c r="L13" i="67"/>
  <c r="K14" i="67"/>
  <c r="P25" i="24"/>
  <c r="B60" i="75"/>
  <c r="D10" i="75"/>
  <c r="D8" i="75"/>
  <c r="D5" i="75"/>
  <c r="D9" i="75"/>
  <c r="B10" i="75"/>
  <c r="B9" i="75"/>
  <c r="B8" i="75"/>
  <c r="B5" i="75"/>
  <c r="C5" i="75" s="1"/>
  <c r="G65" i="4"/>
  <c r="G20" i="4"/>
  <c r="G12" i="4"/>
  <c r="C11" i="23"/>
  <c r="B11" i="23"/>
  <c r="A1" i="23"/>
  <c r="G16" i="52"/>
  <c r="F21" i="65"/>
  <c r="F19" i="65"/>
  <c r="G19" i="65" s="1"/>
  <c r="F17" i="65"/>
  <c r="G17" i="65" s="1"/>
  <c r="D18" i="65"/>
  <c r="E13" i="65"/>
  <c r="C12" i="51"/>
  <c r="B17" i="52"/>
  <c r="C20" i="19" s="1"/>
  <c r="B12" i="51"/>
  <c r="C17" i="53"/>
  <c r="B17" i="53"/>
  <c r="C18" i="19" s="1"/>
  <c r="C34" i="19"/>
  <c r="D34" i="19"/>
  <c r="C27" i="4"/>
  <c r="C54" i="4"/>
  <c r="L104" i="8"/>
  <c r="G41" i="25" s="1"/>
  <c r="G43" i="25" s="1"/>
  <c r="K71" i="8"/>
  <c r="K82" i="8"/>
  <c r="D45" i="8"/>
  <c r="K40" i="8"/>
  <c r="K39" i="8"/>
  <c r="K41" i="8"/>
  <c r="K37" i="8"/>
  <c r="K29" i="8"/>
  <c r="K27" i="8"/>
  <c r="K21" i="8"/>
  <c r="K20" i="8"/>
  <c r="B59" i="5"/>
  <c r="F17" i="25" s="1"/>
  <c r="D83" i="8"/>
  <c r="D40" i="8"/>
  <c r="D30" i="8"/>
  <c r="D22" i="8"/>
  <c r="J13" i="67"/>
  <c r="E35" i="65"/>
  <c r="D16" i="19"/>
  <c r="G33" i="65"/>
  <c r="D23" i="65"/>
  <c r="C19" i="65"/>
  <c r="C35" i="65"/>
  <c r="B13" i="65"/>
  <c r="B35" i="65" s="1"/>
  <c r="C16" i="19" s="1"/>
  <c r="C21" i="51"/>
  <c r="D14" i="19" s="1"/>
  <c r="B20" i="47"/>
  <c r="F51" i="25" s="1"/>
  <c r="B46" i="12"/>
  <c r="C41" i="46"/>
  <c r="B41" i="46"/>
  <c r="F22" i="25"/>
  <c r="K45" i="8"/>
  <c r="L63" i="8"/>
  <c r="G33" i="25"/>
  <c r="E63" i="8"/>
  <c r="F33" i="25" s="1"/>
  <c r="E104" i="8"/>
  <c r="F41" i="25"/>
  <c r="K86" i="8"/>
  <c r="D86" i="8"/>
  <c r="K44" i="8"/>
  <c r="L14" i="67"/>
  <c r="J15" i="67"/>
  <c r="K15" i="67" s="1"/>
  <c r="E20" i="67"/>
  <c r="G166" i="1"/>
  <c r="F166" i="1"/>
  <c r="G165" i="1"/>
  <c r="F165" i="1"/>
  <c r="G164" i="1"/>
  <c r="F164" i="1"/>
  <c r="G163" i="1"/>
  <c r="G162" i="1"/>
  <c r="G161" i="1"/>
  <c r="G160" i="1"/>
  <c r="G159" i="1"/>
  <c r="G158" i="1"/>
  <c r="G157" i="1"/>
  <c r="G156" i="1"/>
  <c r="F156" i="1"/>
  <c r="G155" i="1"/>
  <c r="F155" i="1"/>
  <c r="G154" i="1"/>
  <c r="F154" i="1"/>
  <c r="G153" i="1"/>
  <c r="F153" i="1"/>
  <c r="G152" i="1"/>
  <c r="F152" i="1"/>
  <c r="G151" i="1"/>
  <c r="D147" i="1"/>
  <c r="D167" i="1"/>
  <c r="G144" i="1"/>
  <c r="G143" i="1"/>
  <c r="G142" i="1"/>
  <c r="G141" i="1"/>
  <c r="F125" i="1"/>
  <c r="F124" i="1"/>
  <c r="F123" i="1"/>
  <c r="F122" i="1"/>
  <c r="F167" i="1" s="1"/>
  <c r="A122" i="1"/>
  <c r="A123" i="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F121" i="1"/>
  <c r="G116" i="1"/>
  <c r="F116" i="1"/>
  <c r="G115" i="1"/>
  <c r="F115" i="1"/>
  <c r="G114" i="1"/>
  <c r="F114" i="1"/>
  <c r="G113" i="1"/>
  <c r="G112" i="1"/>
  <c r="G111" i="1"/>
  <c r="G110" i="1"/>
  <c r="G109" i="1"/>
  <c r="G108" i="1"/>
  <c r="G107" i="1"/>
  <c r="G106" i="1"/>
  <c r="F106" i="1"/>
  <c r="G105" i="1"/>
  <c r="F105" i="1"/>
  <c r="G104" i="1"/>
  <c r="F104" i="1"/>
  <c r="G103" i="1"/>
  <c r="F103" i="1"/>
  <c r="G102" i="1"/>
  <c r="F102" i="1"/>
  <c r="G101" i="1"/>
  <c r="D97" i="1"/>
  <c r="D117" i="1" s="1"/>
  <c r="G94" i="1"/>
  <c r="G93" i="1"/>
  <c r="G92" i="1"/>
  <c r="G91" i="1"/>
  <c r="F75" i="1"/>
  <c r="F74" i="1"/>
  <c r="F73" i="1"/>
  <c r="F72" i="1"/>
  <c r="A72" i="1"/>
  <c r="A73" i="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F71" i="1"/>
  <c r="I178" i="1"/>
  <c r="G203" i="1"/>
  <c r="F203" i="1"/>
  <c r="G202" i="1"/>
  <c r="F202" i="1"/>
  <c r="I201" i="1"/>
  <c r="G201" i="1"/>
  <c r="F201" i="1"/>
  <c r="F200" i="1"/>
  <c r="F199" i="1"/>
  <c r="G198" i="1"/>
  <c r="I197" i="1"/>
  <c r="G196" i="1"/>
  <c r="G195" i="1"/>
  <c r="G194" i="1"/>
  <c r="G193" i="1"/>
  <c r="F193" i="1"/>
  <c r="G192" i="1"/>
  <c r="G191" i="1"/>
  <c r="F191" i="1"/>
  <c r="I190" i="1"/>
  <c r="G190" i="1"/>
  <c r="D188" i="1"/>
  <c r="F187" i="1"/>
  <c r="G186" i="1"/>
  <c r="G185" i="1"/>
  <c r="G184" i="1"/>
  <c r="G183" i="1"/>
  <c r="F183" i="1"/>
  <c r="G182" i="1"/>
  <c r="G181" i="1"/>
  <c r="F181" i="1"/>
  <c r="G180" i="1"/>
  <c r="F180" i="1"/>
  <c r="F175" i="1"/>
  <c r="F174" i="1"/>
  <c r="B46" i="1"/>
  <c r="C46" i="1"/>
  <c r="B47" i="1"/>
  <c r="B49" i="1"/>
  <c r="B50" i="1"/>
  <c r="B51" i="1"/>
  <c r="T25" i="24"/>
  <c r="T31" i="24"/>
  <c r="W15" i="24"/>
  <c r="W16" i="24"/>
  <c r="W17" i="24"/>
  <c r="W18" i="24"/>
  <c r="W19" i="24"/>
  <c r="W20" i="24"/>
  <c r="W21" i="24"/>
  <c r="W22" i="24"/>
  <c r="W23" i="24"/>
  <c r="W24" i="24"/>
  <c r="W14" i="24"/>
  <c r="R25" i="24"/>
  <c r="R31" i="24" s="1"/>
  <c r="N25" i="24"/>
  <c r="N31" i="24" s="1"/>
  <c r="C10" i="75"/>
  <c r="C8" i="75"/>
  <c r="G18" i="4"/>
  <c r="J25" i="24"/>
  <c r="J31" i="24"/>
  <c r="I25" i="24"/>
  <c r="K25" i="24"/>
  <c r="L25" i="24"/>
  <c r="M25" i="24"/>
  <c r="O25" i="24"/>
  <c r="P31" i="24"/>
  <c r="Q25" i="24"/>
  <c r="S25" i="24"/>
  <c r="U25" i="24"/>
  <c r="U31" i="24"/>
  <c r="W26" i="24"/>
  <c r="W27" i="24"/>
  <c r="W28" i="24"/>
  <c r="W29" i="24"/>
  <c r="W30" i="24"/>
  <c r="D25" i="24"/>
  <c r="D31" i="24" s="1"/>
  <c r="E25" i="24"/>
  <c r="E31" i="24" s="1"/>
  <c r="F25" i="24"/>
  <c r="F31" i="24"/>
  <c r="G25" i="24"/>
  <c r="G31" i="24" s="1"/>
  <c r="H25" i="24"/>
  <c r="H31" i="24" s="1"/>
  <c r="C25" i="24"/>
  <c r="C31" i="24" s="1"/>
  <c r="A14" i="24"/>
  <c r="B21" i="51"/>
  <c r="C14" i="19" s="1"/>
  <c r="D19" i="65"/>
  <c r="D17" i="65"/>
  <c r="D13" i="65"/>
  <c r="G22" i="65"/>
  <c r="D25" i="65"/>
  <c r="D26" i="65"/>
  <c r="D24" i="65"/>
  <c r="D20" i="65"/>
  <c r="D16" i="65"/>
  <c r="D15" i="65"/>
  <c r="D14" i="65"/>
  <c r="D22" i="65"/>
  <c r="F38" i="25"/>
  <c r="K59" i="8"/>
  <c r="D59" i="8"/>
  <c r="C12" i="14"/>
  <c r="G47" i="25"/>
  <c r="F47" i="25"/>
  <c r="E22" i="10"/>
  <c r="K81" i="8"/>
  <c r="K100" i="8"/>
  <c r="K99" i="8"/>
  <c r="K97" i="8"/>
  <c r="K96" i="8"/>
  <c r="D100" i="8"/>
  <c r="D99" i="8"/>
  <c r="D97" i="8"/>
  <c r="K58" i="8"/>
  <c r="K57" i="8"/>
  <c r="K55" i="8"/>
  <c r="D54" i="8"/>
  <c r="D58" i="8"/>
  <c r="D57" i="8"/>
  <c r="D60" i="8"/>
  <c r="D62" i="8"/>
  <c r="D63" i="8"/>
  <c r="D67" i="8"/>
  <c r="D74" i="8"/>
  <c r="D75" i="8"/>
  <c r="D76" i="8"/>
  <c r="D77" i="8"/>
  <c r="D78" i="8"/>
  <c r="D79" i="8"/>
  <c r="K35" i="8"/>
  <c r="K36" i="8"/>
  <c r="K76" i="8"/>
  <c r="K16" i="8"/>
  <c r="D29" i="8"/>
  <c r="D28" i="8"/>
  <c r="D39" i="8"/>
  <c r="D37" i="8"/>
  <c r="D24" i="8"/>
  <c r="D14" i="8"/>
  <c r="C20" i="3"/>
  <c r="F14" i="25"/>
  <c r="F19" i="25" s="1"/>
  <c r="D20" i="3"/>
  <c r="G14" i="25"/>
  <c r="G19" i="25" s="1"/>
  <c r="F18" i="66"/>
  <c r="L18" i="66"/>
  <c r="F19" i="66"/>
  <c r="L19" i="66"/>
  <c r="F20" i="66"/>
  <c r="L20" i="66"/>
  <c r="F21" i="66"/>
  <c r="L21" i="66"/>
  <c r="F22" i="66"/>
  <c r="L22" i="66"/>
  <c r="F23" i="66"/>
  <c r="L23" i="66"/>
  <c r="L24" i="66"/>
  <c r="F17" i="66"/>
  <c r="L17" i="66" s="1"/>
  <c r="K85" i="8"/>
  <c r="K83" i="8"/>
  <c r="K42" i="8"/>
  <c r="K70" i="8"/>
  <c r="K26" i="8"/>
  <c r="K80" i="8"/>
  <c r="K79" i="8"/>
  <c r="K78" i="8"/>
  <c r="K77" i="8"/>
  <c r="K75" i="8"/>
  <c r="K74" i="8"/>
  <c r="K69" i="8"/>
  <c r="K38" i="8"/>
  <c r="K34" i="8"/>
  <c r="K25" i="8"/>
  <c r="K23" i="8"/>
  <c r="K22" i="8"/>
  <c r="K19" i="8"/>
  <c r="K18" i="8"/>
  <c r="K15" i="8"/>
  <c r="K14" i="8"/>
  <c r="D80" i="8"/>
  <c r="D81" i="8"/>
  <c r="D82" i="8"/>
  <c r="D55" i="8"/>
  <c r="D20" i="8"/>
  <c r="D21" i="8"/>
  <c r="B12" i="44"/>
  <c r="F35" i="25" s="1"/>
  <c r="G16" i="5"/>
  <c r="G21" i="25" s="1"/>
  <c r="F16" i="5"/>
  <c r="F21" i="25" s="1"/>
  <c r="D54" i="4"/>
  <c r="G22" i="25" s="1"/>
  <c r="A8" i="25"/>
  <c r="A1" i="1"/>
  <c r="D1" i="19"/>
  <c r="A1" i="38"/>
  <c r="G23" i="2"/>
  <c r="C23" i="2"/>
  <c r="B26" i="72"/>
  <c r="B10" i="72"/>
  <c r="B7" i="64"/>
  <c r="A11" i="62"/>
  <c r="B11" i="70"/>
  <c r="B7" i="57"/>
  <c r="A15" i="60"/>
  <c r="A8" i="60"/>
  <c r="A6" i="62"/>
  <c r="B7" i="56"/>
  <c r="B7" i="69"/>
  <c r="B8" i="55"/>
  <c r="B8" i="54"/>
  <c r="F8" i="52"/>
  <c r="B8" i="52"/>
  <c r="F8" i="53"/>
  <c r="B8" i="53"/>
  <c r="C11" i="65"/>
  <c r="B9" i="51"/>
  <c r="B9" i="50"/>
  <c r="B7" i="68"/>
  <c r="B7" i="49"/>
  <c r="B7" i="48"/>
  <c r="B7" i="47"/>
  <c r="B6" i="14"/>
  <c r="F6" i="12"/>
  <c r="B6" i="12"/>
  <c r="B7" i="46"/>
  <c r="D10" i="8"/>
  <c r="B8" i="45"/>
  <c r="B7" i="44"/>
  <c r="B8" i="43"/>
  <c r="D8" i="10"/>
  <c r="B7" i="42"/>
  <c r="B6" i="41"/>
  <c r="B6" i="9"/>
  <c r="L16" i="66"/>
  <c r="D11" i="67"/>
  <c r="B7" i="67"/>
  <c r="B8" i="7"/>
  <c r="C8" i="4"/>
  <c r="F10" i="5"/>
  <c r="B10" i="5"/>
  <c r="C32" i="4"/>
  <c r="B8" i="38"/>
  <c r="C11" i="3"/>
  <c r="D11" i="3"/>
  <c r="A25" i="24"/>
  <c r="A31" i="24"/>
  <c r="A8" i="19"/>
  <c r="C12" i="19"/>
  <c r="J5" i="24"/>
  <c r="F11" i="25"/>
  <c r="C26" i="72"/>
  <c r="C10" i="72"/>
  <c r="A1" i="72"/>
  <c r="D27" i="4"/>
  <c r="G16" i="25"/>
  <c r="F16" i="25"/>
  <c r="D32" i="4"/>
  <c r="A1" i="63"/>
  <c r="A1" i="70"/>
  <c r="A1" i="62"/>
  <c r="A1" i="60"/>
  <c r="A1" i="64"/>
  <c r="A1" i="57"/>
  <c r="A1" i="56"/>
  <c r="A1" i="69"/>
  <c r="A1" i="55"/>
  <c r="A1" i="54"/>
  <c r="A1" i="52"/>
  <c r="A1" i="53"/>
  <c r="A1" i="65"/>
  <c r="A1" i="51"/>
  <c r="A1" i="50"/>
  <c r="A1" i="68"/>
  <c r="A1" i="49"/>
  <c r="A1" i="48"/>
  <c r="A1" i="47"/>
  <c r="A1" i="14"/>
  <c r="A1" i="12"/>
  <c r="A1" i="46"/>
  <c r="A1" i="45"/>
  <c r="A1" i="44"/>
  <c r="A1" i="43"/>
  <c r="A1" i="10"/>
  <c r="A1" i="42"/>
  <c r="A1" i="41"/>
  <c r="A1" i="9"/>
  <c r="A1" i="66"/>
  <c r="A1" i="67"/>
  <c r="A1" i="7"/>
  <c r="A1" i="5"/>
  <c r="A1" i="4"/>
  <c r="A1" i="3"/>
  <c r="A1" i="24"/>
  <c r="A1" i="19"/>
  <c r="C11" i="70"/>
  <c r="G6" i="12"/>
  <c r="C6" i="12"/>
  <c r="C7" i="46"/>
  <c r="K67" i="8"/>
  <c r="E17" i="10"/>
  <c r="D17" i="10"/>
  <c r="E8" i="10"/>
  <c r="C7" i="42"/>
  <c r="C6" i="41"/>
  <c r="C6" i="9"/>
  <c r="M16" i="66"/>
  <c r="C8" i="38"/>
  <c r="D8" i="4"/>
  <c r="C10" i="5"/>
  <c r="G10" i="5"/>
  <c r="C8" i="7"/>
  <c r="C7" i="67"/>
  <c r="D12" i="19"/>
  <c r="C12" i="57"/>
  <c r="D30" i="19"/>
  <c r="C7" i="64"/>
  <c r="B12" i="57"/>
  <c r="C30" i="19" s="1"/>
  <c r="C7" i="57"/>
  <c r="C7" i="56"/>
  <c r="C7" i="69"/>
  <c r="B15" i="56"/>
  <c r="C15" i="56"/>
  <c r="C9" i="69"/>
  <c r="D27" i="19" s="1"/>
  <c r="D28" i="19" s="1"/>
  <c r="D29" i="19"/>
  <c r="B9" i="69"/>
  <c r="C27" i="19"/>
  <c r="C28" i="19"/>
  <c r="C8" i="55"/>
  <c r="C16" i="55"/>
  <c r="D25" i="19"/>
  <c r="B16" i="55"/>
  <c r="C25" i="19"/>
  <c r="C16" i="54"/>
  <c r="D23" i="19"/>
  <c r="B16" i="54"/>
  <c r="C23" i="19"/>
  <c r="C8" i="54"/>
  <c r="D21" i="19"/>
  <c r="F16" i="52"/>
  <c r="C21" i="19"/>
  <c r="C17" i="52"/>
  <c r="D20" i="19"/>
  <c r="G8" i="52"/>
  <c r="C8" i="52"/>
  <c r="G8" i="53"/>
  <c r="C8" i="53"/>
  <c r="F11" i="65"/>
  <c r="G17" i="53"/>
  <c r="F17" i="53"/>
  <c r="D18" i="19"/>
  <c r="G34" i="65"/>
  <c r="D34" i="65"/>
  <c r="G32" i="65"/>
  <c r="G31" i="65"/>
  <c r="G30" i="65"/>
  <c r="G29" i="65"/>
  <c r="G28" i="65"/>
  <c r="G27" i="65"/>
  <c r="G26" i="65"/>
  <c r="G25" i="65"/>
  <c r="G24" i="65"/>
  <c r="G23" i="65"/>
  <c r="G21" i="65"/>
  <c r="G20" i="65"/>
  <c r="G18" i="65"/>
  <c r="G16" i="65"/>
  <c r="G15" i="65"/>
  <c r="G14" i="65"/>
  <c r="G13" i="65"/>
  <c r="D27" i="65"/>
  <c r="D28" i="65"/>
  <c r="D29" i="65"/>
  <c r="D30" i="65"/>
  <c r="D31" i="65"/>
  <c r="D32" i="65"/>
  <c r="D33" i="65"/>
  <c r="C9" i="51"/>
  <c r="C26" i="50"/>
  <c r="D13" i="19" s="1"/>
  <c r="D15" i="19" s="1"/>
  <c r="B26" i="50"/>
  <c r="C13" i="19"/>
  <c r="C9" i="50"/>
  <c r="K10" i="8"/>
  <c r="G55" i="25"/>
  <c r="F55" i="25"/>
  <c r="C7" i="68"/>
  <c r="C10" i="49"/>
  <c r="G53" i="25" s="1"/>
  <c r="B10" i="49"/>
  <c r="F53" i="25"/>
  <c r="C7" i="49"/>
  <c r="G52" i="25"/>
  <c r="F52" i="25"/>
  <c r="C7" i="48"/>
  <c r="C7" i="47"/>
  <c r="C20" i="47"/>
  <c r="G51" i="25"/>
  <c r="G50" i="25"/>
  <c r="F50" i="25"/>
  <c r="G49" i="25"/>
  <c r="F49" i="25"/>
  <c r="G48" i="25"/>
  <c r="F48" i="25"/>
  <c r="C6" i="14"/>
  <c r="G11" i="25"/>
  <c r="F37" i="25"/>
  <c r="C15" i="43"/>
  <c r="G34" i="25" s="1"/>
  <c r="B15" i="43"/>
  <c r="F34" i="25"/>
  <c r="C12" i="44"/>
  <c r="G35" i="25" s="1"/>
  <c r="C12" i="45"/>
  <c r="G36" i="25"/>
  <c r="B12" i="45"/>
  <c r="F36" i="25" s="1"/>
  <c r="G37" i="25"/>
  <c r="C8" i="43"/>
  <c r="C7" i="44"/>
  <c r="C8" i="45"/>
  <c r="D103" i="8"/>
  <c r="K104" i="8"/>
  <c r="K102" i="8"/>
  <c r="K101" i="8"/>
  <c r="K105" i="8"/>
  <c r="D104" i="8"/>
  <c r="D101" i="8"/>
  <c r="D96" i="8"/>
  <c r="D95" i="8"/>
  <c r="D94" i="8"/>
  <c r="D93" i="8"/>
  <c r="D92" i="8"/>
  <c r="D91" i="8"/>
  <c r="D90" i="8"/>
  <c r="D89" i="8"/>
  <c r="D88" i="8"/>
  <c r="D87" i="8"/>
  <c r="D52" i="8"/>
  <c r="K54" i="8"/>
  <c r="K53" i="8"/>
  <c r="K52" i="8"/>
  <c r="K51" i="8"/>
  <c r="K50" i="8"/>
  <c r="K49" i="8"/>
  <c r="K48" i="8"/>
  <c r="K47" i="8"/>
  <c r="K46" i="8"/>
  <c r="K13" i="8"/>
  <c r="D51" i="8"/>
  <c r="D50" i="8"/>
  <c r="D49" i="8"/>
  <c r="D48" i="8"/>
  <c r="D47" i="8"/>
  <c r="D46" i="8"/>
  <c r="D44" i="8"/>
  <c r="D13" i="8"/>
  <c r="D12" i="8"/>
  <c r="C9" i="10"/>
  <c r="A1" i="8"/>
  <c r="D1" i="25"/>
  <c r="C21" i="10"/>
  <c r="C20" i="10"/>
  <c r="C19" i="10"/>
  <c r="C18" i="10"/>
  <c r="C12" i="10"/>
  <c r="C11" i="10"/>
  <c r="C10" i="10"/>
  <c r="D22" i="10"/>
  <c r="E13" i="10"/>
  <c r="G32" i="25"/>
  <c r="D13" i="10"/>
  <c r="F32" i="25" s="1"/>
  <c r="G24" i="25"/>
  <c r="G23" i="25"/>
  <c r="F23" i="25"/>
  <c r="C59" i="5"/>
  <c r="C18" i="38"/>
  <c r="G15" i="25"/>
  <c r="B18" i="38"/>
  <c r="F15" i="25"/>
  <c r="H29" i="2"/>
  <c r="D29" i="2"/>
  <c r="B12" i="41"/>
  <c r="F26" i="25" s="1"/>
  <c r="G14" i="12"/>
  <c r="G42" i="25"/>
  <c r="F14" i="12"/>
  <c r="F42" i="25" s="1"/>
  <c r="F43" i="25" s="1"/>
  <c r="C11" i="42"/>
  <c r="G27" i="25" s="1"/>
  <c r="B11" i="42"/>
  <c r="F27" i="25" s="1"/>
  <c r="C12" i="41"/>
  <c r="G26" i="25" s="1"/>
  <c r="C17" i="9"/>
  <c r="C19" i="9"/>
  <c r="G25" i="25"/>
  <c r="C13" i="9"/>
  <c r="C9" i="9"/>
  <c r="B17" i="9"/>
  <c r="B13" i="9"/>
  <c r="B19" i="9" s="1"/>
  <c r="F25" i="25" s="1"/>
  <c r="B9" i="9"/>
  <c r="L31" i="24"/>
  <c r="C46" i="12"/>
  <c r="G38" i="25"/>
  <c r="C15" i="7"/>
  <c r="G18" i="25"/>
  <c r="F18" i="25"/>
  <c r="D21" i="65"/>
  <c r="F24" i="25"/>
  <c r="C29" i="19"/>
  <c r="G17" i="25"/>
  <c r="C17" i="19"/>
  <c r="F39" i="25" l="1"/>
  <c r="G35" i="65"/>
  <c r="D35" i="65"/>
  <c r="F54" i="25"/>
  <c r="F56" i="25" s="1"/>
  <c r="G39" i="25"/>
  <c r="G45" i="25" s="1"/>
  <c r="C15" i="19"/>
  <c r="C19" i="19" s="1"/>
  <c r="C22" i="19" s="1"/>
  <c r="C24" i="19" s="1"/>
  <c r="C31" i="19" s="1"/>
  <c r="G54" i="25"/>
  <c r="G56" i="25" s="1"/>
  <c r="G22" i="4"/>
  <c r="W25" i="24"/>
  <c r="C9" i="75"/>
  <c r="C12" i="75" s="1"/>
  <c r="L15" i="67"/>
  <c r="G28" i="25"/>
  <c r="G29" i="25" s="1"/>
  <c r="F117" i="1"/>
  <c r="G117" i="1"/>
  <c r="G167" i="1"/>
  <c r="B6" i="75"/>
  <c r="B12" i="75" s="1"/>
  <c r="B14" i="75"/>
  <c r="B16" i="75" s="1"/>
  <c r="B9" i="64"/>
  <c r="C35" i="19"/>
  <c r="F28" i="25"/>
  <c r="F29" i="25" s="1"/>
  <c r="W31" i="24"/>
  <c r="W34" i="24" s="1"/>
  <c r="F45" i="25"/>
  <c r="F35" i="65"/>
  <c r="D17" i="19" s="1"/>
  <c r="D19" i="19" s="1"/>
  <c r="D22" i="19" s="1"/>
  <c r="D24" i="19" s="1"/>
  <c r="D31" i="19" s="1"/>
  <c r="F57" i="25" l="1"/>
  <c r="G57" i="25"/>
  <c r="D35" i="19"/>
  <c r="C9" i="64"/>
  <c r="B21" i="64"/>
  <c r="B22" i="64" s="1"/>
  <c r="B10" i="64"/>
  <c r="C32" i="19" s="1"/>
  <c r="C21" i="64" l="1"/>
  <c r="C22" i="64" s="1"/>
  <c r="C10" i="64"/>
  <c r="D32" i="19" s="1"/>
</calcChain>
</file>

<file path=xl/sharedStrings.xml><?xml version="1.0" encoding="utf-8"?>
<sst xmlns="http://schemas.openxmlformats.org/spreadsheetml/2006/main" count="2508" uniqueCount="1339">
  <si>
    <t>NOTA 1 – DESCRIPCIÓN DE LA NATURALEZA Y DEL NEGOCIO DE LA COMPAÑÍA</t>
  </si>
  <si>
    <t>NOTA 2 - RESUMEN DE LAS PRINCIPALES POLÍTICAS CONTABLES</t>
  </si>
  <si>
    <t>Caja</t>
  </si>
  <si>
    <t>Total</t>
  </si>
  <si>
    <t>La composición de la cuenta es la siguiente:</t>
  </si>
  <si>
    <t>Concepto</t>
  </si>
  <si>
    <t>Recaudaciones a depositar</t>
  </si>
  <si>
    <t>Previsiones</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</si>
  <si>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</si>
  <si>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</si>
  <si>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</si>
  <si>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</si>
  <si>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</si>
  <si>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</si>
  <si>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</si>
  <si>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</si>
  <si>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Garantía de Alquiler</t>
  </si>
  <si>
    <t>Anticipo Impuesto a la Renta</t>
  </si>
  <si>
    <t xml:space="preserve">Total </t>
  </si>
  <si>
    <t>Los bienes de cambio están compuestos de la siguiente manera:</t>
  </si>
  <si>
    <t>Retencion Impuesto a la renta a Pagar</t>
  </si>
  <si>
    <t>Impuestos diferidos</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</si>
  <si>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</si>
  <si>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</si>
  <si>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</si>
  <si>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</si>
  <si>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</si>
  <si>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</si>
  <si>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</si>
  <si>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</si>
  <si>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</si>
  <si>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</si>
  <si>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</si>
  <si>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</si>
  <si>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</si>
  <si>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</si>
  <si>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</si>
  <si>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</si>
  <si>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</si>
  <si>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</si>
  <si>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</si>
  <si>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</si>
  <si>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</si>
  <si>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</si>
  <si>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</si>
  <si>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</si>
  <si>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</si>
  <si>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Aporte para</t>
  </si>
  <si>
    <t>aumento de capital</t>
  </si>
  <si>
    <t>Pagos efectuados a proveedores y empleados</t>
  </si>
  <si>
    <t>Efectivo generado por las operaciones</t>
  </si>
  <si>
    <t>Flujo neto de efectivo de actividades operativas</t>
  </si>
  <si>
    <t>Adquisición de bienes Curtiembre - fideicomitida</t>
  </si>
  <si>
    <t>Ventas de activos fijos</t>
  </si>
  <si>
    <t>Flujo neto de efectivo de actividades de inversión</t>
  </si>
  <si>
    <t>Efectivo al final del periodo</t>
  </si>
  <si>
    <t>EVPN</t>
  </si>
  <si>
    <t xml:space="preserve">Estado de Resultados </t>
  </si>
  <si>
    <t>Estado de Evolución del Patrimonio Neto</t>
  </si>
  <si>
    <t>Retención Impuesto a la Renta</t>
  </si>
  <si>
    <t>Retención Impuesto al Valor agregado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</si>
  <si>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</si>
  <si>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</si>
  <si>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</si>
  <si>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</si>
  <si>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</si>
  <si>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</si>
  <si>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</si>
  <si>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</si>
  <si>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</si>
  <si>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</si>
  <si>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</si>
  <si>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</si>
  <si>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</si>
  <si>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</si>
  <si>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</si>
  <si>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</si>
  <si>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</si>
  <si>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</si>
  <si>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</si>
  <si>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</si>
  <si>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</si>
  <si>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Reserva facultativa</t>
  </si>
  <si>
    <t>Interes Minoritario</t>
  </si>
  <si>
    <t>Integración del capital social</t>
  </si>
  <si>
    <t>Revalúo de activos fijos</t>
  </si>
  <si>
    <t>Revalúo técnico</t>
  </si>
  <si>
    <t>Resultado del año</t>
  </si>
  <si>
    <t>Desafectación de la reserva de revalúo técnico</t>
  </si>
  <si>
    <t>Intereses pagados</t>
  </si>
  <si>
    <t>Ventas de bienes de uso</t>
  </si>
  <si>
    <t>Intereses cobrados sobre inversiones</t>
  </si>
  <si>
    <t>Dividendos pagados</t>
  </si>
  <si>
    <t>Aportes de capital recibidos</t>
  </si>
  <si>
    <t>(Disminución) Incremento neto de efectivo</t>
  </si>
  <si>
    <t>Efecto estimado de la diferencia de cambio sobre el saldo de efectivo</t>
  </si>
  <si>
    <t>Efectivo al principio del año</t>
  </si>
  <si>
    <t>Mercaderías</t>
  </si>
  <si>
    <t>Productos terminados</t>
  </si>
  <si>
    <t>Productos en proceso</t>
  </si>
  <si>
    <t>Materia prima</t>
  </si>
  <si>
    <t>Gastos pagados por adelantado</t>
  </si>
  <si>
    <t>Composición Cartera Vencida</t>
  </si>
  <si>
    <t>Detallar cartera vencida y no vencida por clientes locales, extranjeros y partes relacionadas</t>
  </si>
  <si>
    <t>b.   Uso de estimaciones contables</t>
  </si>
  <si>
    <t>c.   Moneda extranjera</t>
  </si>
  <si>
    <t>Activos</t>
  </si>
  <si>
    <t>Indicar moneda</t>
  </si>
  <si>
    <t>Pasivos</t>
  </si>
  <si>
    <t>Posición neta</t>
  </si>
  <si>
    <t>Inversiones temporales</t>
  </si>
  <si>
    <t>Cuentas por pagar comerciales</t>
  </si>
  <si>
    <t>Préstamos a corto plazo</t>
  </si>
  <si>
    <t>Otros proveedores del exterior</t>
  </si>
  <si>
    <t>Proveedores locales</t>
  </si>
  <si>
    <t>Total cuentas a pagar por comerciales</t>
  </si>
  <si>
    <t>Bonos bursátiles</t>
  </si>
  <si>
    <t>Vencimiento</t>
  </si>
  <si>
    <t>Tipo de garantía</t>
  </si>
  <si>
    <t>Tipo de Garantía</t>
  </si>
  <si>
    <t>Intereses deudas bursátiles a pagar</t>
  </si>
  <si>
    <t>Obs.: Revelar situación en el caso de contar con disponibilidad restringida</t>
  </si>
  <si>
    <t>(incluir otras entidades)</t>
  </si>
  <si>
    <t>(Incluir programas de forma individual)</t>
  </si>
  <si>
    <t>Propiedad, planta y equipo</t>
  </si>
  <si>
    <t>Activos intangibles</t>
  </si>
  <si>
    <t>Inversiones</t>
  </si>
  <si>
    <t>(Detallar bienes de uso)</t>
  </si>
  <si>
    <t>(Detallar activos intangibles)</t>
  </si>
  <si>
    <t>(Detallar Inversiones</t>
  </si>
  <si>
    <t>Total general</t>
  </si>
  <si>
    <t>Goodwill</t>
  </si>
  <si>
    <t>BG</t>
  </si>
  <si>
    <t>Porción corriente de la deuda a largo plazo</t>
  </si>
  <si>
    <t>Préstamos bancarios</t>
  </si>
  <si>
    <t>Intereses bancarios a pagar</t>
  </si>
  <si>
    <t>Intereses bursatiles a pagar</t>
  </si>
  <si>
    <t>Sueldo y otras remuneraciones a pagar</t>
  </si>
  <si>
    <t>Aportes y retenciones a pagar</t>
  </si>
  <si>
    <t>Remuneraciones al personal superior a pagar</t>
  </si>
  <si>
    <t>(Indicar otras cuentas)</t>
  </si>
  <si>
    <t>Impuesto a la renta a pagar</t>
  </si>
  <si>
    <t>Otros impuestos a pagar</t>
  </si>
  <si>
    <t>(Indicar otros impuestos)</t>
  </si>
  <si>
    <t>Retencion de IVA a pagar</t>
  </si>
  <si>
    <t>Previsiones para contingencias/Indemnizaciones y despidos</t>
  </si>
  <si>
    <t>Otros ingresos diferidos (detallar cuenta)</t>
  </si>
  <si>
    <t>Otros ingresos diferidos</t>
  </si>
  <si>
    <t>ER</t>
  </si>
  <si>
    <t>a  Reserva de revalúo</t>
  </si>
  <si>
    <t>b Reserva legal</t>
  </si>
  <si>
    <t>c Reservas estatutarias</t>
  </si>
  <si>
    <t>d Reservas facultativas</t>
  </si>
  <si>
    <t>Resultado de ejercicios anteriores</t>
  </si>
  <si>
    <t>(Detallar cuenta)</t>
  </si>
  <si>
    <t>Resultado del ejercicio actual</t>
  </si>
  <si>
    <t>Costo de ventas</t>
  </si>
  <si>
    <t>Otros ingresos</t>
  </si>
  <si>
    <t>Resultado operativo</t>
  </si>
  <si>
    <t>Ingresos Financieros netos</t>
  </si>
  <si>
    <t>Total ingresos financieros</t>
  </si>
  <si>
    <t>Gastos Financieros netos</t>
  </si>
  <si>
    <t>Resultado de inversiones en asociadas</t>
  </si>
  <si>
    <t>Resultado participación minoritaria</t>
  </si>
  <si>
    <t>Menos amortización acumulada</t>
  </si>
  <si>
    <t>Antecedentes de la sociedad: naturaleza jurídica, antecedentes sobre la constitución de la sociedad y reformas estatutarias, actividad principal y secundarias.</t>
  </si>
  <si>
    <t>Resumen de las principales políticas contables: a modo referencial, se incluyen las siguientes revelaciones de políticas contables en estados financieros de uso general que podrá ser tenida en consideración por las sociedades emisoras para la preparación de este capítulo de los estados financieros:</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</si>
  <si>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</si>
  <si>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</si>
  <si>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f. Previsión para cuentas de dudoso cobro/incobrables</t>
  </si>
  <si>
    <t>e.   Inversiones</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</si>
  <si>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</si>
  <si>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Las previsiones para desvalorización y deterioro de inventarios han sido estimadas tomando como base la valorización del stock deteriorado existente al cierre del ejercicio.</t>
  </si>
  <si>
    <t>El costo de las mejoras que extienden la vida útil de los bienes o aumentan su capacidad productiva es imputado a las cuentas respectivas del activo. Los gastos de mantenimiento son cargados a resultados.</t>
  </si>
  <si>
    <t>Los intangibles se exponen a su costo incurrido menos las correspondientes amortizaciones acumuladas al cierre del año.</t>
  </si>
  <si>
    <t>Este rubro incluye costos incurridos por la sociedad relacionados con ingresos futuros.</t>
  </si>
  <si>
    <t>Los ingresos y egresos son reconocidos en función de su devengamiento.</t>
  </si>
  <si>
    <t xml:space="preserve">El impuesto a la renta que se carga a los resultados del año se basa en la utilidad contable antes de este concepto, ajustada por las partidas que la ley incluye o excluye para la determinación de la utilidad gravable a la que se aplica la tasa legal vigente del impuesto y por el reconocimiento del cargo o el ingreso originado por la aplicación del impuesto diferido, si los hubiere. </t>
  </si>
  <si>
    <t>En caso de que la sociedad cuente con Fideicomisos vigentes, deberá exponer claramente en notas a los Estados Financieros, dentro del rubro correspondiente al cual pertenece el bien que ha sido objeto del fideicomiso, ya sea “Créditos/Inventarios u otros activos”, restando al valor del rubro perteneciente, al igual que en la constitución de Fideicomisos de Garantía.</t>
  </si>
  <si>
    <t>Deberá indicarse además los datos del contrato de fideicomiso, del fiduciario, monto, vencimiento. En caso de emisiones a través de un Patrimonio Autónomo, registradas en la CNV, deberán agregar los datos de registro, destino de los fondos, calificación de riesgo si lo tuviere.</t>
  </si>
  <si>
    <t>Seguidos en general para cuantificar, valuar y exponer los hechos y bienes económicos en los estados financieros y que fueran relevantes para el lector de los mismos.</t>
  </si>
  <si>
    <t>Simbología según ISO 4217</t>
  </si>
  <si>
    <t>Miles de G.</t>
  </si>
  <si>
    <t>Deberá mencionarse cualquier  tipo de restricción sobre la distribución de utilidades como ser restricciones estatutarias o de entes reguladores y asambleas.</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</si>
  <si>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</si>
  <si>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</si>
  <si>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</si>
  <si>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</si>
  <si>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</si>
  <si>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</si>
  <si>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(Esta nota debería incluir un breve detalle de contratos con terceros, vigente a la fecha de cierre del ejercicio, cuyo incumplimiento o cláusula específica podrían generar obligaciones contingentes para el cliente). </t>
  </si>
  <si>
    <t>a)</t>
  </si>
  <si>
    <t>b)</t>
  </si>
  <si>
    <t>(En caso en que entre la fecha del cierre del ejercicio y la fecha de emisión de los estados financieros existan hechos posteriores significativos deberá evaluarse el tipo de hecho posterior del que se trate y modificar esta nota según corresponda).</t>
  </si>
  <si>
    <t>La Sociedad calcula la utilidad (pérdida) neta por acción sobre la base de la utilidad (pérdida) del año y … acciones ordinarias (aclarar las características de las acciones) de valor nominal G/ …cada una con derecho a … voto por acción (aclarar el derecho de voto que tiene cada tipo de acción).</t>
  </si>
  <si>
    <t xml:space="preserve">(Esta nota deberá ser incluida cuando en el estado de resultados se haga mención a una cuenta de carácter general o cuyo nombre no permita una adecuada identificación de la naturaleza del gasto y su importe sea significativo) </t>
  </si>
  <si>
    <t xml:space="preserve">El rubro está compuesto de la siguiente forma: </t>
  </si>
  <si>
    <t>Gastos de Ventas</t>
  </si>
  <si>
    <t>Gastos Administrativos</t>
  </si>
  <si>
    <t>Movilidad y viáticos</t>
  </si>
  <si>
    <t>Gastos de alquiler</t>
  </si>
  <si>
    <t>Computación y redes</t>
  </si>
  <si>
    <t>Gastos por servicios</t>
  </si>
  <si>
    <t>Honorarios profesionales y asesoramiento</t>
  </si>
  <si>
    <t>Investigación de mercado</t>
  </si>
  <si>
    <t>Impuestos y tasas</t>
  </si>
  <si>
    <t>Gastos de reparación y mantenimiento</t>
  </si>
  <si>
    <t>Gastos del personal y capacitación</t>
  </si>
  <si>
    <t>Seguros pagados</t>
  </si>
  <si>
    <t>Otros gastos de operación</t>
  </si>
  <si>
    <t>Remuneraciones de administradores, directores, síndicos y consejo de vigilancia</t>
  </si>
  <si>
    <t>Sueldos y Jornales</t>
  </si>
  <si>
    <t>Contribuciones Sociales</t>
  </si>
  <si>
    <t>Regalías y Honorarios por servicios técnicos</t>
  </si>
  <si>
    <t>Gastos de Publicidad y Propaganda</t>
  </si>
  <si>
    <t>Intereses, multas y recargos impositivos</t>
  </si>
  <si>
    <t>Intereses a bancos e instituciones financieras</t>
  </si>
  <si>
    <t>Amortización activos intangibles</t>
  </si>
  <si>
    <t>Nota 34 - Resultado de inversiones en asociadas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</si>
  <si>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</si>
  <si>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</si>
  <si>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</si>
  <si>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</si>
  <si>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</si>
  <si>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</si>
  <si>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</si>
  <si>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</si>
  <si>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</si>
  <si>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</si>
  <si>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</si>
  <si>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</si>
  <si>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</si>
  <si>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</si>
  <si>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</si>
  <si>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</si>
  <si>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</si>
  <si>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</si>
  <si>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Instalaciones</t>
  </si>
  <si>
    <t>Rodados</t>
  </si>
  <si>
    <t>Equipos de computación</t>
  </si>
  <si>
    <t>Muebles y útiles</t>
  </si>
  <si>
    <t>Equipos de comunicación</t>
  </si>
  <si>
    <t>Obras en curso</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</si>
  <si>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</si>
  <si>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</si>
  <si>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</si>
  <si>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</si>
  <si>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</si>
  <si>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</si>
  <si>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</si>
  <si>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</si>
  <si>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</si>
  <si>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</si>
  <si>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</si>
  <si>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</si>
  <si>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</si>
  <si>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</si>
  <si>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</si>
  <si>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</si>
  <si>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 xml:space="preserve"> (En miles de guaraníes)</t>
  </si>
  <si>
    <t>Gastos de ventas</t>
  </si>
  <si>
    <t>Miles de guaraníes</t>
  </si>
  <si>
    <t xml:space="preserve">Gastos administrativos </t>
  </si>
  <si>
    <t>Otros gastos</t>
  </si>
  <si>
    <t>Otros ingresos  y gastos operativos</t>
  </si>
  <si>
    <t>Contado</t>
  </si>
  <si>
    <t>Crédito</t>
  </si>
  <si>
    <t>Existencia inicial del inventario</t>
  </si>
  <si>
    <t>+ Compra de bienes y servicios</t>
  </si>
  <si>
    <t>+ Costo de producción</t>
  </si>
  <si>
    <t>- Existencia final de inventario</t>
  </si>
  <si>
    <t>Total costo de ventas</t>
  </si>
  <si>
    <t>Total gastos financieros</t>
  </si>
  <si>
    <t xml:space="preserve">Utilidad/(Pérdida) neta del año </t>
  </si>
  <si>
    <t>(En miles de guaraníes)</t>
  </si>
  <si>
    <t>Pagos de impuesto a la renta</t>
  </si>
  <si>
    <t>FLUJO DE EFECTIVO DE ACTIVIDADES OPERATIVAS</t>
  </si>
  <si>
    <t xml:space="preserve">FLUJO DE EFECTIVO DE ACTIVIDADES DE INVERSIÓN </t>
  </si>
  <si>
    <t>Aquisición de inversiones</t>
  </si>
  <si>
    <t>FLUJO DE EFECTIVO DE ACTIVIDADES DE FINANCIACIÓN</t>
  </si>
  <si>
    <t>Distribución de dividendos s/Acta de Asamblea Ordinaria N°… de fecha………</t>
  </si>
  <si>
    <t>Reducción del capital social s/Acta de Asamblea General Ordinaria N°… de fecha……..</t>
  </si>
  <si>
    <t>Distribución de dividendos s/Acta de Asamblea General Ordinaria N°… de fecha………</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</si>
  <si>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</si>
  <si>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</si>
  <si>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</si>
  <si>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</si>
  <si>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</si>
  <si>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 xml:space="preserve">Las inversiones temporales se valúan de acuerdo a los siguientes criterios de valuación:
 Valores mobiliarios: a su valor de cotización al cierre del año/período menos los gastos estimados de venta. Ver Nota ....
 Colocaciones financieras en moneda local: a su valor nominal más los intereses devengados al cierre del año/período. Ver Nota ....
 Colocaciones financieras en moneda extranjera: a su valor de cotización al cierre del año/período más intereses devengados a ese momento. Ver Nota ....
 Las inversiones no corrientes en sociedades donde no se ejerce el control, se valúan a su valor patrimonial proporcional. Ver Nota ....
</t>
  </si>
  <si>
    <t>Las previsiones para cuentas de dudoso cobro se determinan al cierre de cada ejercicio y/o mensualmente sobre la base del estudio de la cartera de créditos realizado con el objeto de determinar la porción no recuperable de las cuentas a cobrar. Las previsiones para cuentas de dudoso cobro se determinan mensualmente de acuerdo con el siguiente esquema de cálculo: (Indicar política de constitución de previsiones)</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</si>
  <si>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</si>
  <si>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</si>
  <si>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</si>
  <si>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</si>
  <si>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</si>
  <si>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</si>
  <si>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</si>
  <si>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</si>
  <si>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Deudores por ventas en el exterior</t>
  </si>
  <si>
    <t>20X2</t>
  </si>
  <si>
    <t>BALANCE GENERAL</t>
  </si>
  <si>
    <t>ESTADO DE RESULTADOS</t>
  </si>
  <si>
    <t>Comparativo con igual período del año anterior</t>
  </si>
  <si>
    <t>Comparativo con igual periodo del año anterior</t>
  </si>
  <si>
    <t>I.V.A. Crédito fiscal</t>
  </si>
  <si>
    <t>Anticipos a proveedores</t>
  </si>
  <si>
    <t xml:space="preserve">Anticipos a proveedores </t>
  </si>
  <si>
    <t>NOTA 7 – INVENTARIOS</t>
  </si>
  <si>
    <t>(-) Previsión para desvalorización y deterioro de inventario</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</si>
  <si>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</si>
  <si>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</si>
  <si>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</si>
  <si>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</si>
  <si>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</si>
  <si>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</si>
  <si>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</si>
  <si>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</si>
  <si>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</si>
  <si>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Obs.:</t>
  </si>
  <si>
    <t>Incluir aclaraciones en los siguientes casos:</t>
  </si>
  <si>
    <t>Ver adicionalmente Norma de Información Financiera N° 11 Propiedades, planta y equipo</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</si>
  <si>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</si>
  <si>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</si>
  <si>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</si>
  <si>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</si>
  <si>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</si>
  <si>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</si>
  <si>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</si>
  <si>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</si>
  <si>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</si>
  <si>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</si>
  <si>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</si>
  <si>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</si>
  <si>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(b) Obligaciones garantizadas por valor de guaraníes………..</t>
  </si>
  <si>
    <t>NOTA 18 -  PROVISIONES</t>
  </si>
  <si>
    <t>(Indicar cuentas)</t>
  </si>
  <si>
    <t>NOTA 19 – OTROS PASIVOS CORRIENTES y NO CORRIENTES</t>
  </si>
  <si>
    <t>Total pasivos no corrientes</t>
  </si>
  <si>
    <t>NOTA 20 – CAPITAL INTEGRADO</t>
  </si>
  <si>
    <t>NOTA 21 –  DIFERENCIA TRANSITORIA POR CONVERSION</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</si>
  <si>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</si>
  <si>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</si>
  <si>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</si>
  <si>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</si>
  <si>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</si>
  <si>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</si>
  <si>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</si>
  <si>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</si>
  <si>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</si>
  <si>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</si>
  <si>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</si>
  <si>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</si>
  <si>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</si>
  <si>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</si>
  <si>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</si>
  <si>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</si>
  <si>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</si>
  <si>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</si>
  <si>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</si>
  <si>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</si>
  <si>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</si>
  <si>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</si>
  <si>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</si>
  <si>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</si>
  <si>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</si>
  <si>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</si>
  <si>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</si>
  <si>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</si>
  <si>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</si>
  <si>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</si>
  <si>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</si>
  <si>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</si>
  <si>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</si>
  <si>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</si>
  <si>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</si>
  <si>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</si>
  <si>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</si>
  <si>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</si>
  <si>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</si>
  <si>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</si>
  <si>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</si>
  <si>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</si>
  <si>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Los activos y pasivos en moneda extranjera se valúan a los tipos de cambio vigentes a la fecha de cierre del ejercicio.</t>
  </si>
  <si>
    <t>A la fecha de emisión de estos estados financieros, el tipo de cambio de la moneda extranjera………………………..(mencionar la moneda) no/si varió sustancialmente (varió en un 0,00%) con respecto al vigente al …..de…………….20X1</t>
  </si>
  <si>
    <t>Obs.: En caso de la existencia de saldos y transacciones con partes relacionadas, la información que corresponda a ser expuesta por la sociedad, se ajustará  a lo requerido por la Norma de Información Financiera N° 7 Revelaciones de partes relacionadas.</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</si>
  <si>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</si>
  <si>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</si>
  <si>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</si>
  <si>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</si>
  <si>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</si>
  <si>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</si>
  <si>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</si>
  <si>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</si>
  <si>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</si>
  <si>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</si>
  <si>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</si>
  <si>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</si>
  <si>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</si>
  <si>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</si>
  <si>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</si>
  <si>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</si>
  <si>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</si>
  <si>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</si>
  <si>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</si>
  <si>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</si>
  <si>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</si>
  <si>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</si>
  <si>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</si>
  <si>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</si>
  <si>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</si>
  <si>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</si>
  <si>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Obs.: Cambios en políticas contables y su efecto sobre los estados financieros, como así también las modificaciones o ajustes de la información de ejercicios anteriores deben exponerse conforme a lo requerido por la Norma de Información Financiera N° 6 Utilidad o pérdida neta por el período, errores fundamentales y cambios en políticas contables</t>
  </si>
  <si>
    <t xml:space="preserve">Obs.: Esta información debe estar ajustada  a lo requerido por la Norma de Información Financiera N° 5 Contingencias y sucesos que ocurren después de la fecha del balance. </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</si>
  <si>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</si>
  <si>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</si>
  <si>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</si>
  <si>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</si>
  <si>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</si>
  <si>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</si>
  <si>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</si>
  <si>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</si>
  <si>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</si>
  <si>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</si>
  <si>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</si>
  <si>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</si>
  <si>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Cambio en política contable (Nota….)</t>
  </si>
  <si>
    <t>Cobranzas efectuadas a clientes</t>
  </si>
  <si>
    <t>Otros ingresos y (egresos) - neto</t>
  </si>
  <si>
    <t>Adquisición de bienes de uso</t>
  </si>
  <si>
    <t>(Disminución) Incremento de préstamos</t>
  </si>
  <si>
    <t>Flujo neto de efectivo de actividades de financiamiento</t>
  </si>
  <si>
    <t>Informacion General</t>
  </si>
  <si>
    <t>Otras Notas de los Estados Financieros</t>
  </si>
  <si>
    <t>USD</t>
  </si>
  <si>
    <t>PYG</t>
  </si>
  <si>
    <t>Bancos Locales - Moneda extranjera Dólares</t>
  </si>
  <si>
    <t>Bancos Locales - Moneda local Guaraníes</t>
  </si>
  <si>
    <t>Bancos en el Extranjero - Moneda extranjera Dólares</t>
  </si>
  <si>
    <t>Bancos Locales - Moneda extranjera otros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</si>
  <si>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</si>
  <si>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</si>
  <si>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</si>
  <si>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</si>
  <si>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</si>
  <si>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</si>
  <si>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</si>
  <si>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</si>
  <si>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</si>
  <si>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</si>
  <si>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</si>
  <si>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</si>
  <si>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</si>
  <si>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Deudores - Entidad relacionada</t>
  </si>
  <si>
    <t>Otros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</si>
  <si>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</si>
  <si>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</si>
  <si>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</si>
  <si>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</si>
  <si>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</si>
  <si>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</si>
  <si>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</si>
  <si>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</si>
  <si>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</si>
  <si>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</si>
  <si>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</si>
  <si>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</si>
  <si>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</si>
  <si>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</si>
  <si>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</si>
  <si>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</si>
  <si>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</si>
  <si>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</si>
  <si>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</si>
  <si>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</si>
  <si>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</si>
  <si>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Resultado sobre inversiones</t>
  </si>
  <si>
    <t>Total Inversión (miles de Gs)</t>
  </si>
  <si>
    <t>&lt;-- Indicar Monto</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</si>
  <si>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</si>
  <si>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</si>
  <si>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</si>
  <si>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</si>
  <si>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</si>
  <si>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</si>
  <si>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</si>
  <si>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</si>
  <si>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</si>
  <si>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</si>
  <si>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</si>
  <si>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</si>
  <si>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</si>
  <si>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</si>
  <si>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</si>
  <si>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</si>
  <si>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</si>
  <si>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</si>
  <si>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</si>
  <si>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</si>
  <si>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</si>
  <si>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</si>
  <si>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</si>
  <si>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</si>
  <si>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</si>
  <si>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</si>
  <si>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</si>
  <si>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</si>
  <si>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</si>
  <si>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</si>
  <si>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</si>
  <si>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</si>
  <si>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</si>
  <si>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</si>
  <si>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</si>
  <si>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</si>
  <si>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</si>
  <si>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</si>
  <si>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</si>
  <si>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</si>
  <si>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</si>
  <si>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</si>
  <si>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</si>
  <si>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</si>
  <si>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</si>
  <si>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</si>
  <si>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</si>
  <si>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</si>
  <si>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</si>
  <si>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</si>
  <si>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</si>
  <si>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</si>
  <si>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</si>
  <si>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</si>
  <si>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</si>
  <si>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</si>
  <si>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</si>
  <si>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</si>
  <si>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</si>
  <si>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</si>
  <si>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</si>
  <si>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</si>
  <si>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</si>
  <si>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</si>
  <si>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</si>
  <si>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</si>
  <si>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</si>
  <si>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</si>
  <si>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</si>
  <si>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</si>
  <si>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</si>
  <si>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</si>
  <si>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</si>
  <si>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</si>
  <si>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</si>
  <si>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</si>
  <si>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</si>
  <si>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</si>
  <si>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</si>
  <si>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</si>
  <si>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</si>
  <si>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</si>
  <si>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</si>
  <si>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</si>
  <si>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</si>
  <si>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</si>
  <si>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</si>
  <si>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</si>
  <si>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</si>
  <si>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</si>
  <si>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</si>
  <si>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</si>
  <si>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</si>
  <si>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</si>
  <si>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</si>
  <si>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</si>
  <si>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</si>
  <si>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</si>
  <si>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</si>
  <si>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</si>
  <si>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</si>
  <si>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</si>
  <si>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</si>
  <si>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</si>
  <si>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</si>
  <si>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</si>
  <si>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</si>
  <si>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</si>
  <si>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</si>
  <si>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</si>
  <si>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</si>
  <si>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</si>
  <si>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</si>
  <si>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</si>
  <si>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</si>
  <si>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</si>
  <si>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</si>
  <si>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</si>
  <si>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</si>
  <si>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</si>
  <si>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</si>
  <si>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</si>
  <si>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</si>
  <si>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</si>
  <si>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</si>
  <si>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</si>
  <si>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</si>
  <si>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</si>
  <si>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</si>
  <si>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</si>
  <si>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</si>
  <si>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</si>
  <si>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</si>
  <si>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</si>
  <si>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</si>
  <si>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</si>
  <si>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</si>
  <si>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</si>
  <si>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</si>
  <si>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</si>
  <si>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</si>
  <si>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</si>
  <si>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</si>
  <si>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</si>
  <si>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</si>
  <si>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</si>
  <si>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</si>
  <si>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</si>
  <si>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</si>
  <si>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</si>
  <si>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</si>
  <si>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</si>
  <si>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</si>
  <si>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</si>
  <si>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</si>
  <si>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</si>
  <si>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</si>
  <si>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</si>
  <si>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</si>
  <si>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</si>
  <si>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</si>
  <si>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</si>
  <si>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</si>
  <si>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</si>
  <si>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</si>
  <si>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</si>
  <si>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</si>
  <si>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</si>
  <si>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</si>
  <si>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</si>
  <si>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</si>
  <si>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</si>
  <si>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</si>
  <si>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</si>
  <si>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</si>
  <si>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</si>
  <si>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</si>
  <si>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</si>
  <si>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</si>
  <si>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</si>
  <si>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</si>
  <si>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</si>
  <si>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</si>
  <si>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</si>
  <si>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</si>
  <si>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</si>
  <si>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</si>
  <si>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</si>
  <si>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</si>
  <si>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</si>
  <si>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</si>
  <si>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</si>
  <si>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</si>
  <si>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</si>
  <si>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</si>
  <si>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</si>
  <si>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</si>
  <si>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</si>
  <si>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</si>
  <si>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</si>
  <si>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</si>
  <si>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</si>
  <si>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</si>
  <si>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</si>
  <si>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</si>
  <si>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</si>
  <si>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</si>
  <si>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</si>
  <si>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</si>
  <si>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</si>
  <si>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</si>
  <si>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</si>
  <si>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</si>
  <si>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</si>
  <si>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</si>
  <si>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</si>
  <si>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</si>
  <si>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</si>
  <si>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</si>
  <si>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</si>
  <si>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</si>
  <si>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</si>
  <si>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</si>
  <si>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</si>
  <si>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</si>
  <si>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</si>
  <si>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</si>
  <si>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</si>
  <si>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</si>
  <si>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</si>
  <si>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</si>
  <si>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</si>
  <si>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</si>
  <si>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</si>
  <si>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</si>
  <si>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</si>
  <si>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</si>
  <si>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</si>
  <si>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</si>
  <si>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</si>
  <si>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</si>
  <si>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</si>
  <si>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</si>
  <si>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</si>
  <si>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</si>
  <si>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</si>
  <si>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</si>
  <si>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</si>
  <si>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</si>
  <si>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</si>
  <si>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</si>
  <si>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</si>
  <si>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</si>
  <si>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</si>
  <si>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</si>
  <si>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</si>
  <si>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</si>
  <si>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</si>
  <si>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</si>
  <si>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</si>
  <si>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</si>
  <si>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</si>
  <si>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</si>
  <si>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</si>
  <si>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</si>
  <si>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</si>
  <si>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</si>
  <si>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</si>
  <si>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</si>
  <si>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</si>
  <si>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</si>
  <si>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</si>
  <si>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</si>
  <si>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</si>
  <si>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</si>
  <si>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</si>
  <si>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</si>
  <si>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</si>
  <si>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</si>
  <si>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</si>
  <si>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</si>
  <si>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</si>
  <si>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</si>
  <si>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</si>
  <si>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</si>
  <si>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</si>
  <si>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</si>
  <si>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</si>
  <si>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</si>
  <si>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</si>
  <si>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</si>
  <si>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</si>
  <si>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</si>
  <si>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</si>
  <si>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</si>
  <si>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</si>
  <si>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</si>
  <si>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</si>
  <si>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</si>
  <si>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</si>
  <si>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</si>
  <si>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</si>
  <si>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</si>
  <si>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</si>
  <si>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</si>
  <si>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</si>
  <si>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</si>
  <si>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</si>
  <si>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</si>
  <si>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</si>
  <si>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</si>
  <si>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</si>
  <si>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</si>
  <si>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</si>
  <si>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</si>
  <si>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</si>
  <si>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</si>
  <si>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</si>
  <si>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</si>
  <si>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</si>
  <si>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</si>
  <si>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</si>
  <si>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</si>
  <si>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</si>
  <si>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</si>
  <si>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</si>
  <si>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</si>
  <si>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</si>
  <si>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</si>
  <si>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</si>
  <si>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</si>
  <si>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</si>
  <si>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</si>
  <si>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</si>
  <si>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</si>
  <si>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</si>
  <si>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</si>
  <si>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</si>
  <si>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</si>
  <si>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</si>
  <si>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</si>
  <si>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</si>
  <si>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</si>
  <si>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</si>
  <si>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</si>
  <si>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</si>
  <si>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</si>
  <si>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</si>
  <si>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</si>
  <si>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</si>
  <si>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</si>
  <si>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</si>
  <si>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</si>
  <si>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</si>
  <si>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</si>
  <si>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</si>
  <si>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</si>
  <si>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</si>
  <si>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</si>
  <si>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</si>
  <si>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</si>
  <si>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</si>
  <si>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</si>
  <si>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Nombre de la entidad financiera</t>
  </si>
  <si>
    <t>Símbolo de Moneda</t>
  </si>
  <si>
    <t>Préstamos de Entidades en el Exterior</t>
  </si>
  <si>
    <t>Intereses a pagar</t>
  </si>
  <si>
    <t>Préstamos de Entidades Locales</t>
  </si>
  <si>
    <t>Intereses préstamos entidades financieras a pagar</t>
  </si>
  <si>
    <t>(-) Intereses a Devengar</t>
  </si>
  <si>
    <t xml:space="preserve">Otros Pasivos con Entidades relacionadas </t>
  </si>
  <si>
    <t>Importe (miles de Gs)</t>
  </si>
  <si>
    <t>Alquileres a Pagar</t>
  </si>
  <si>
    <t>Servicios Basicos a Pagar</t>
  </si>
  <si>
    <t>Fecha</t>
  </si>
  <si>
    <t>Monto Capital Social</t>
  </si>
  <si>
    <t>Valor Nominal de Acciones</t>
  </si>
  <si>
    <t>Cantidad de Acciones</t>
  </si>
  <si>
    <t>Monto Capital Integrado</t>
  </si>
  <si>
    <t>d.1. (nuevas cuentas a incluir)</t>
  </si>
  <si>
    <t>d.2. (nuevas cuentas a incluir)</t>
  </si>
  <si>
    <t>(a) Equivalentes al tipo de cambio referencial de la fecha de presentacion</t>
  </si>
  <si>
    <t>NOTAS A LOS ESTADOS FINANCIEROS CORRESPONDIENTES AL PERIODO TERMINADO</t>
  </si>
  <si>
    <t xml:space="preserve">Presentadas en forma comparativa con el periodo terminado </t>
  </si>
  <si>
    <t>Ventas linea de negocio 1</t>
  </si>
  <si>
    <t>Ventas linea de negocio 2</t>
  </si>
  <si>
    <t>Local</t>
  </si>
  <si>
    <t>Exterior</t>
  </si>
  <si>
    <t>(nuevas lineas de negocio a incluir)</t>
  </si>
  <si>
    <t>Linea de negocio 1</t>
  </si>
  <si>
    <t>Linea de negocio 2</t>
  </si>
  <si>
    <t>(Detallar cuentas)</t>
  </si>
  <si>
    <t>Conceptos</t>
  </si>
  <si>
    <t>(Detallar)</t>
  </si>
  <si>
    <t>Utilidad Neta</t>
  </si>
  <si>
    <t>Cantidad de Acciones Ordinarias en Circulación</t>
  </si>
  <si>
    <t>Utilidad Neta por Acción Ordinaria</t>
  </si>
  <si>
    <t>Depreciación bienes de uso</t>
  </si>
  <si>
    <t>(nueva cuenta a incluir)</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</si>
  <si>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</si>
  <si>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</si>
  <si>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</si>
  <si>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</si>
  <si>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</si>
  <si>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</si>
  <si>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</si>
  <si>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</si>
  <si>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</si>
  <si>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</si>
  <si>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</si>
  <si>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</si>
  <si>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Se indicarán en este rubro todos los créditos a favor de la empresa provenientes de las  ventas de Mercaderías y/o servicios (atendiendo a la actividades ordinarias de  la empresa), separando las ventas locales en moneda nacional y/o extranjera de las ventas fuera del país en moneda nacional  y/o extranjera</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</si>
  <si>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</si>
  <si>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</si>
  <si>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</si>
  <si>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</si>
  <si>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</si>
  <si>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</si>
  <si>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</si>
  <si>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</si>
  <si>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</si>
  <si>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</si>
  <si>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</si>
  <si>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</si>
  <si>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</si>
  <si>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</si>
  <si>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</si>
  <si>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</si>
  <si>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</si>
  <si>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g. Inventarios</t>
  </si>
  <si>
    <t>h. Activos disponibles para la venta</t>
  </si>
  <si>
    <t>i. Previsiones para desvalorización y deterioro de inventarios</t>
  </si>
  <si>
    <t>j. Propiedades, planta y equipo</t>
  </si>
  <si>
    <t>k. Intangibles</t>
  </si>
  <si>
    <t>l. Goodwill</t>
  </si>
  <si>
    <t>m. Reconocimiento de ingresos y egresos</t>
  </si>
  <si>
    <t>n. Impuesto a la renta</t>
  </si>
  <si>
    <t>o. Restricciones a la distribución de utilidades</t>
  </si>
  <si>
    <t>p. Derechos en Fideicomiso</t>
  </si>
  <si>
    <t>q. Otros principios, prácticas y métodos</t>
  </si>
  <si>
    <t>NEGOFIN S.A.E.C.A.</t>
  </si>
  <si>
    <t>Cuentas a Cobrar L.B.</t>
  </si>
  <si>
    <t>Bosamaz a cobrar por Servicios Varios</t>
  </si>
  <si>
    <t>Bosamaz Regualarizadora p/ Varios</t>
  </si>
  <si>
    <t>Parametro Regularizadora</t>
  </si>
  <si>
    <t>Aupar Regularizadora</t>
  </si>
  <si>
    <t>Cuentas a Cobrar NEXO SAECA</t>
  </si>
  <si>
    <t>DHA Regularizadora</t>
  </si>
  <si>
    <t>Covica Regularizadora</t>
  </si>
  <si>
    <t>Avanti Group Regularizadora</t>
  </si>
  <si>
    <t>Cuentas a Cobrar ZAE II</t>
  </si>
  <si>
    <t>Cuentas a Cobrar Avanti-Varios</t>
  </si>
  <si>
    <t>Cuentas a Cobrar ZAE  S.A</t>
  </si>
  <si>
    <t>Cuentas a Cobrar Covica</t>
  </si>
  <si>
    <t>Cuentas a Cobrar Parametro - Varios</t>
  </si>
  <si>
    <t>Cuentas a Cobrar Aupar S.A</t>
  </si>
  <si>
    <t>Cuentas a Cobrar Luar SA</t>
  </si>
  <si>
    <t>Cuentas a Cobrar Credimarket</t>
  </si>
  <si>
    <t>Cuentas a Cobrar Crediflash</t>
  </si>
  <si>
    <t>Cuentas a Cobrar ZAE III</t>
  </si>
  <si>
    <t>Cuentas a Cobrar Pronet</t>
  </si>
  <si>
    <t>Luar Regularizadora</t>
  </si>
  <si>
    <t>ZAE 3 Regularizadora</t>
  </si>
  <si>
    <t>Cuentas a Cobrar - Netel</t>
  </si>
  <si>
    <t>Cuentas a Cobrar - Infonet Cobranzas</t>
  </si>
  <si>
    <t>Cuentas a Cobrar WALTON</t>
  </si>
  <si>
    <t>Cuentas a Cobrar-Documenta</t>
  </si>
  <si>
    <t>Comisiones a Cobrar-Documenta</t>
  </si>
  <si>
    <t>Cuentas a Cobrar Cuenta Cero</t>
  </si>
  <si>
    <t>Descuentos a aplicar a empleados</t>
  </si>
  <si>
    <t>Adelanto a Directores</t>
  </si>
  <si>
    <t>Adelanto de Vacaciones</t>
  </si>
  <si>
    <t>Uniformes a Descontar empleados</t>
  </si>
  <si>
    <t>Anticipo a Funcionarios para compras</t>
  </si>
  <si>
    <t>Adelanto a Rendir Funcionarios</t>
  </si>
  <si>
    <t>Anticipo de Comisiones Walton Capital SA</t>
  </si>
  <si>
    <t>Reposo IPS a Recuperar</t>
  </si>
  <si>
    <t>Adelanto a N. Cobranzas</t>
  </si>
  <si>
    <t>Seguros a Devengar</t>
  </si>
  <si>
    <t>Garantia ANDE</t>
  </si>
  <si>
    <t>Garantia Tigo</t>
  </si>
  <si>
    <t>Cuentas a Cobrar NFD</t>
  </si>
  <si>
    <t>VCD Cuentas Varias a Cobrar</t>
  </si>
  <si>
    <t>VCD Uniformes</t>
  </si>
  <si>
    <t>Procesadora  de  Cuentas  Electronicas S.A.</t>
  </si>
  <si>
    <t>Licencias de Sistemas</t>
  </si>
  <si>
    <t>Gastos de Desarrollo</t>
  </si>
  <si>
    <t>Marcas</t>
  </si>
  <si>
    <t>Seguros a Pagar</t>
  </si>
  <si>
    <t>Provision para Pagos Adicionales</t>
  </si>
  <si>
    <t>Retenciones Judiciales a Pagar</t>
  </si>
  <si>
    <t xml:space="preserve">BANCO BILBAO VIZCAYA ARGENTARIA PARAGUAY                    </t>
  </si>
  <si>
    <t xml:space="preserve">BANCO SUDAMERIS                                             </t>
  </si>
  <si>
    <t xml:space="preserve">BANCO ITAÚ                                                  </t>
  </si>
  <si>
    <t xml:space="preserve">BANCO REGIONAL S.A.E.C.A.                                   </t>
  </si>
  <si>
    <t>N/A</t>
  </si>
  <si>
    <t xml:space="preserve">BANCO CONTINENTAL SA EMISORA DE CAPITAL ABIERTO             </t>
  </si>
  <si>
    <t xml:space="preserve">BANCO FAMILIAR                                              </t>
  </si>
  <si>
    <t xml:space="preserve">BANCO GNB PARAGUAY S.A.                                     </t>
  </si>
  <si>
    <t xml:space="preserve">FINANCIERA PARAGUAYO-JAPONESA                               </t>
  </si>
  <si>
    <t xml:space="preserve">BANCO ATLAS                                                 </t>
  </si>
  <si>
    <t>QUIROGRAFARIA</t>
  </si>
  <si>
    <t>-</t>
  </si>
  <si>
    <t xml:space="preserve">BANCOP                                                      </t>
  </si>
  <si>
    <t xml:space="preserve">CAJA MUTUAL DE COOPERATIVISTAS                              </t>
  </si>
  <si>
    <t xml:space="preserve">FINANCIERA EL COMERCIO                                      </t>
  </si>
  <si>
    <t>BANCO BASA</t>
  </si>
  <si>
    <t xml:space="preserve">BANCO INTERFISA                                          </t>
  </si>
  <si>
    <t xml:space="preserve">TU FINANCIERA S.A.E.C.A.                                    </t>
  </si>
  <si>
    <t>Provisiones Multas Tienda Movil</t>
  </si>
  <si>
    <t>Provisiones y Retenciones Credimarket</t>
  </si>
  <si>
    <t>Provisiones y Retenciones Flash</t>
  </si>
  <si>
    <t>Provisiones y Multas CPT</t>
  </si>
  <si>
    <t>Provisiones y Multas Credimarket</t>
  </si>
  <si>
    <t>Provisiones y Multas Flash</t>
  </si>
  <si>
    <t>Retenciones Bosamaz</t>
  </si>
  <si>
    <t>Retenciones ZAE</t>
  </si>
  <si>
    <t>Retenciones ZAE II</t>
  </si>
  <si>
    <t>Retenciones ZAE III</t>
  </si>
  <si>
    <t>Retenciones Aupar</t>
  </si>
  <si>
    <t>Retenciones Covica</t>
  </si>
  <si>
    <t>Retenciones Luar</t>
  </si>
  <si>
    <t>Retenciones Parametro</t>
  </si>
  <si>
    <t>Retenciones Avanti Group</t>
  </si>
  <si>
    <t>Retenciones Parametro Interior</t>
  </si>
  <si>
    <t>Cuentas a Pagar Bosamaz</t>
  </si>
  <si>
    <t>Cuentas a Pagar Avanti</t>
  </si>
  <si>
    <t>Cuentas a Pagar Aupar</t>
  </si>
  <si>
    <t>Cuentas a Pagar Luar</t>
  </si>
  <si>
    <t>Cuentas a Pagar Credimarket</t>
  </si>
  <si>
    <t>Cuentas a Pagar Covica</t>
  </si>
  <si>
    <t>VCA Cuentas Varias a Pagar</t>
  </si>
  <si>
    <t>VCA Depositos No Confirmados</t>
  </si>
  <si>
    <t>VCA Cuotas a Devolver Walton</t>
  </si>
  <si>
    <t>VCA Descuentos RRHH</t>
  </si>
  <si>
    <t>VCA Cipra</t>
  </si>
  <si>
    <t>Mejoras en Propiedad de Terceros</t>
  </si>
  <si>
    <t>Maquinas y Equipos</t>
  </si>
  <si>
    <t>Prestamos de Terceros</t>
  </si>
  <si>
    <t>SOLIDARIA</t>
  </si>
  <si>
    <t>Cuentas a Pagar Zae</t>
  </si>
  <si>
    <t>Cuentas a Pagar Parametro</t>
  </si>
  <si>
    <t>Cuentas a Pagar Zae 2</t>
  </si>
  <si>
    <t>Cuentas a Pagar Avanti Group</t>
  </si>
  <si>
    <t>Cuentas a Pagar Bosamaz Pagares</t>
  </si>
  <si>
    <t>Cuentas a Pagar Zae Pagares</t>
  </si>
  <si>
    <t>Cuentas a Pagar Parametro Pagares</t>
  </si>
  <si>
    <t>Cuentas a Pagar Aupar Pagares</t>
  </si>
  <si>
    <t>Cuentas a Pagar Avanti Group Pagares</t>
  </si>
  <si>
    <t>Cuentas a Pagar Zae 3 Pagares</t>
  </si>
  <si>
    <t>Cuentas a Pagar Parametro Interior Pagares</t>
  </si>
  <si>
    <t>Cuentas a Pagar Flash</t>
  </si>
  <si>
    <t xml:space="preserve">Cuentas a Pagar Zae 3 </t>
  </si>
  <si>
    <t xml:space="preserve">Cuentas a Pagar Parametro Interior </t>
  </si>
  <si>
    <t>Cobro de Servicios Documenta</t>
  </si>
  <si>
    <t>Cuentas a Pagar AAN</t>
  </si>
  <si>
    <t>NFD CAGIL</t>
  </si>
  <si>
    <t>Cuentas a Pagar NC</t>
  </si>
  <si>
    <t>Cuentas a Pagar Zae 2 Pagares</t>
  </si>
  <si>
    <t>Comisiones a Pagar Pronet</t>
  </si>
  <si>
    <t>Comisiones a Pagar Netel</t>
  </si>
  <si>
    <t>Aportes para Futuras Integraciones</t>
  </si>
  <si>
    <t>Documentos a Pagar s/Ptmos Accionistas</t>
  </si>
  <si>
    <t>Intereses a Pagar s/Ptmos Accionistas</t>
  </si>
  <si>
    <t>Renta de Valores de Renta Fija</t>
  </si>
  <si>
    <t>Intereses en Caja de Ahorro</t>
  </si>
  <si>
    <t>Intereses Depositos Overnight</t>
  </si>
  <si>
    <t>Rend.Dev.s/prestamos bancarios</t>
  </si>
  <si>
    <t>Intereses Dev,s/Ptmos.Terceros</t>
  </si>
  <si>
    <t>Intereses y Comisiones Bancarias</t>
  </si>
  <si>
    <t>Intereses Cobrados</t>
  </si>
  <si>
    <t>Ingresos Varios</t>
  </si>
  <si>
    <t>Creditos Varios Cobranzas</t>
  </si>
  <si>
    <t>Recuperos</t>
  </si>
  <si>
    <t>Diferencia de Cambio Utilidad</t>
  </si>
  <si>
    <t>Comisiones Cobradas Documenta</t>
  </si>
  <si>
    <t>Recupero Costo Bocas de Cobranza</t>
  </si>
  <si>
    <t>Ingresos por Servicios de Cobranzas</t>
  </si>
  <si>
    <t>Utilidad por Venta de Cartera</t>
  </si>
  <si>
    <t xml:space="preserve">Aportes No </t>
  </si>
  <si>
    <t>Capitalizados</t>
  </si>
  <si>
    <t>Resultado del ejercicio</t>
  </si>
  <si>
    <t>Reserva Legal</t>
  </si>
  <si>
    <t>Criterio utilizado por la empresa</t>
  </si>
  <si>
    <t xml:space="preserve">La Empresa constituye previsiones para deudores de dudoso cobro conforme a los siguientes </t>
  </si>
  <si>
    <t>criterios:</t>
  </si>
  <si>
    <t xml:space="preserve">Así mismo se constituyen previsiones Genericas por el importe correspondientes a los </t>
  </si>
  <si>
    <t xml:space="preserve">descuentos obtenidos en la compra de Créditos vía cesión de créditos, asi como el 100% del </t>
  </si>
  <si>
    <t>devengado no cobrado de los mencionados creditos</t>
  </si>
  <si>
    <t>ANEXO C</t>
  </si>
  <si>
    <t>MONTO Gs.</t>
  </si>
  <si>
    <t>1-IDENTIFICACION</t>
  </si>
  <si>
    <t>1.1-RAZON SOCIAL: NEGOFIN S.A.E.C.A</t>
  </si>
  <si>
    <t>1.2-ANTECEDENTES DE CONSTITUCION SOCIAL Y REFORMAS ESTATUTARIAS</t>
  </si>
  <si>
    <t>1.3-RUC: 80030805-0</t>
  </si>
  <si>
    <t>1.4-ACTIVIDAD PRINCIPAL SEGÚN INCRIPCION EN EL RUC: Otras actividades de servicios de apoyo a empresas n.c.p.</t>
  </si>
  <si>
    <t>1.5-ACTIVIDAD SECUNDARIA SEUN INCRIPCION EN EL RUC: N/A</t>
  </si>
  <si>
    <t>1.6-DOMICILIO LEGAL:Avenida Mcal. López e/ Waldino Lovera y José Viñuales</t>
  </si>
  <si>
    <t xml:space="preserve">1.7-TELEFONO:(595 21) 247 1000 </t>
  </si>
  <si>
    <t>2-ADMINISTRACION</t>
  </si>
  <si>
    <t>1.9-E-MAIL: impuestos@negofin.com.py</t>
  </si>
  <si>
    <t>1.10-SITIO PAGINA WEB: www.negofin.com.py</t>
  </si>
  <si>
    <t xml:space="preserve">1.8-FAX: (595 21) 247 1000 </t>
  </si>
  <si>
    <t>NEGOFIN  S.A.E.C.A.</t>
  </si>
  <si>
    <t xml:space="preserve">ANEXO D </t>
  </si>
  <si>
    <t>CNV CG 6/19</t>
  </si>
  <si>
    <t>A) PARTES VINCULADAS O RELACIONADAS</t>
  </si>
  <si>
    <t>A.1 Según Art. 34 de la Ley de Mercado de Valores (indicar nombres de las partes)</t>
  </si>
  <si>
    <t>Inciso a) Gustavo Borgognon y Eduardo Borgognon</t>
  </si>
  <si>
    <t>Inciso b) Vector SA</t>
  </si>
  <si>
    <t>Inciso c) Eduardo Borgognon</t>
  </si>
  <si>
    <r>
      <t>Inciso d)</t>
    </r>
    <r>
      <rPr>
        <b/>
        <sz val="10"/>
        <rFont val="Arial"/>
        <family val="2"/>
      </rPr>
      <t xml:space="preserve"> </t>
    </r>
    <r>
      <rPr>
        <sz val="10"/>
        <rFont val="Arial"/>
        <family val="2"/>
      </rPr>
      <t xml:space="preserve">Gustavo Borgognon, Mateo Zaldivar, Eduardo Borgognon, Fernando Jose Velazquez, Julia Moreno, Venancio Ríos, </t>
    </r>
  </si>
  <si>
    <t>Omar G. Giménez Pereira,Widilfo Escobar Cikel</t>
  </si>
  <si>
    <t xml:space="preserve">Otros: Los cónyuges y parientes hasta el segundo grado de consanguinidad o afinidad de las personas referidas </t>
  </si>
  <si>
    <r>
      <t>en los incisos anteriores, siempre que tengan participación en el capital de la sociedad.</t>
    </r>
    <r>
      <rPr>
        <b/>
        <sz val="10"/>
        <rFont val="Arial"/>
        <family val="2"/>
      </rPr>
      <t xml:space="preserve"> N/A</t>
    </r>
  </si>
  <si>
    <t xml:space="preserve">A.2 INVERSIONES DE LA SOCIEDAD EN VALORES DE OTRAS EMPRESAS QUE REPRESENTEN MAS DEL 10% DEL ACTIVO DE LA SOCIEDAD </t>
  </si>
  <si>
    <t>Nombre de la Empresa</t>
  </si>
  <si>
    <t>Monto de la inversión</t>
  </si>
  <si>
    <t>Tipo de Valor</t>
  </si>
  <si>
    <t>Indicar el porcentaje de participación en el capital integrado de la sociedad emisora (solo en el caso de inversión en acciones)</t>
  </si>
  <si>
    <t>Negofin Cobranzas S.A.</t>
  </si>
  <si>
    <t>Acciones en S.A.</t>
  </si>
  <si>
    <t>Observación: En el caso de no registrar inversiones indicar en forma expresa esta situación.</t>
  </si>
  <si>
    <t>A.3 ACTIVOS DE LA SOCIEDAD COMPROMETIDOS EN MAS DEL 20% EN GARANTIA DE OBLIGACIONES DE OTRA U OTRAS EMPRESAS</t>
  </si>
  <si>
    <t>Valor de los bienes gravados</t>
  </si>
  <si>
    <t>Tipo de bien o valor</t>
  </si>
  <si>
    <t>Monto de la deuda garantizada</t>
  </si>
  <si>
    <t>No se registran activos de la Sociedad comprometidos en más del 20% en garantía de obligaciones de otra u otras empresas.</t>
  </si>
  <si>
    <t>Observación: En el caso de no registrar garantías indicar en forma expresa esta situación.</t>
  </si>
  <si>
    <t>A.4  Vinculacion por Nivel de Endeudamiento.</t>
  </si>
  <si>
    <t>NOMBRE DE LA SOCIEDAD VINCULADA</t>
  </si>
  <si>
    <t>FACTORES DE VINCULACION</t>
  </si>
  <si>
    <t>B) SALDOS CON PARTES RELACIONADAS</t>
  </si>
  <si>
    <t>En forma comparativa con el mismo período del año anterior.</t>
  </si>
  <si>
    <t>(en miles de Guaranies)</t>
  </si>
  <si>
    <t>Activo</t>
  </si>
  <si>
    <t>Cuentas por cobrar</t>
  </si>
  <si>
    <t>Obs: (distinguir nombres de partes relacionadas indicadas en A)</t>
  </si>
  <si>
    <t>NA</t>
  </si>
  <si>
    <t>Pasivo</t>
  </si>
  <si>
    <t>* Cuentas a pagar prestamos de accionistas</t>
  </si>
  <si>
    <t xml:space="preserve">    Gustavo Luis Borgognon</t>
  </si>
  <si>
    <t xml:space="preserve">    Eduardo Jose Borgognon</t>
  </si>
  <si>
    <r>
      <rPr>
        <b/>
        <sz val="10"/>
        <rFont val="Arial"/>
        <family val="2"/>
      </rPr>
      <t>Ingresos</t>
    </r>
    <r>
      <rPr>
        <sz val="10"/>
        <rFont val="Arial"/>
        <family val="2"/>
      </rPr>
      <t xml:space="preserve"> (con sus conceptos y distinguir nombre de partes relacionadas indicadas en A)</t>
    </r>
  </si>
  <si>
    <r>
      <rPr>
        <b/>
        <sz val="10"/>
        <rFont val="Arial"/>
        <family val="2"/>
      </rPr>
      <t>Egresos</t>
    </r>
    <r>
      <rPr>
        <sz val="10"/>
        <rFont val="Arial"/>
        <family val="2"/>
      </rPr>
      <t xml:space="preserve"> (con sus conceptos y distinguir nombre de partes relacionadas indicadas en A)</t>
    </r>
  </si>
  <si>
    <t>Gustavo Borgognon</t>
  </si>
  <si>
    <t>Eduardo Borgognon</t>
  </si>
  <si>
    <t>Mateo Zaldivar</t>
  </si>
  <si>
    <t>Vector SA</t>
  </si>
  <si>
    <t xml:space="preserve">Venancio Rios </t>
  </si>
  <si>
    <t xml:space="preserve">Julia Moreno </t>
  </si>
  <si>
    <t>Omar Gimenez</t>
  </si>
  <si>
    <t>Widilfo Escobar</t>
  </si>
  <si>
    <t>Fernando Jose Velazquez</t>
  </si>
  <si>
    <t>Las transacciones en el período fueron las siguientes:</t>
  </si>
  <si>
    <r>
      <rPr>
        <b/>
        <sz val="10"/>
        <rFont val="Arial"/>
        <family val="2"/>
      </rPr>
      <t xml:space="preserve">Obs.: </t>
    </r>
    <r>
      <rPr>
        <sz val="10"/>
        <rFont val="Arial"/>
        <family val="2"/>
      </rPr>
      <t>(distinguir nombres de partes relacionadas indicadas en A)</t>
    </r>
  </si>
  <si>
    <t>N/A = no aplicable</t>
  </si>
  <si>
    <t>Firma del representante legal de la entidad fiscalizada y aclaración:</t>
  </si>
  <si>
    <t>CARGO</t>
  </si>
  <si>
    <t xml:space="preserve">NOMBRE Y APELLIDO </t>
  </si>
  <si>
    <t>Representante Legal</t>
  </si>
  <si>
    <t>Gustavo Luis Borgognon Montero</t>
  </si>
  <si>
    <t>Presidente</t>
  </si>
  <si>
    <t>Director</t>
  </si>
  <si>
    <t>Eduardo José Borgonon Montero</t>
  </si>
  <si>
    <t>Miguel Dario Zaldivar</t>
  </si>
  <si>
    <t>Sindico</t>
  </si>
  <si>
    <t>Fernando Jose Velazquez Abente</t>
  </si>
  <si>
    <t>Plana Ejecutiva</t>
  </si>
  <si>
    <t>Gerente General</t>
  </si>
  <si>
    <t>Venancio Rios Portillo</t>
  </si>
  <si>
    <t>Omar Gustavo Giménez Pereira</t>
  </si>
  <si>
    <t>Gerente Administrativo</t>
  </si>
  <si>
    <t>Graciela Mabel Nuñez Lopez</t>
  </si>
  <si>
    <t>Gustavo Jiménez</t>
  </si>
  <si>
    <t xml:space="preserve">María Lorena Ojeda Núñez </t>
  </si>
  <si>
    <t>Julia Elvira Moreno Vargas</t>
  </si>
  <si>
    <t>Gerente de Desarrollo</t>
  </si>
  <si>
    <t>Diego Armando Marecos Sanabria</t>
  </si>
  <si>
    <t>Gerente de Cobranzas</t>
  </si>
  <si>
    <t>Luis Emigdio Ruiz Coronel</t>
  </si>
  <si>
    <t>Gerente de Riesgos</t>
  </si>
  <si>
    <t>Cever Socrates Peralta Espinola</t>
  </si>
  <si>
    <t>Contadora</t>
  </si>
  <si>
    <t>Gladys Fiorella Vergara Pacheco</t>
  </si>
  <si>
    <t>Gerente de Calidad y Procesos</t>
  </si>
  <si>
    <t>Milagritos Yopla Carbajal</t>
  </si>
  <si>
    <t>Gerente de Produccion Informatica</t>
  </si>
  <si>
    <t>Estela Bruening</t>
  </si>
  <si>
    <t>Sub Gerente de Cobranzas</t>
  </si>
  <si>
    <t>Marcelo David Aguilera Perez</t>
  </si>
  <si>
    <t>Oficial de Cumplimiento</t>
  </si>
  <si>
    <t>Clara Ovelar Gimenez</t>
  </si>
  <si>
    <t>3-CAPITAL Y PROPIEDAD:</t>
  </si>
  <si>
    <t>En Guaranies</t>
  </si>
  <si>
    <t>Capital Social</t>
  </si>
  <si>
    <t>Capital Emitido</t>
  </si>
  <si>
    <t>Capital Suscripto</t>
  </si>
  <si>
    <t>Capital Integrado</t>
  </si>
  <si>
    <t>Valor nominal de las acciones</t>
  </si>
  <si>
    <t>COMPOSICION ACCIONARIA: Accionistas que detentan el diez(10) porciento o más de participacion en el capital</t>
  </si>
  <si>
    <t xml:space="preserve">N° </t>
  </si>
  <si>
    <t>Accionista</t>
  </si>
  <si>
    <t> Número</t>
  </si>
  <si>
    <t xml:space="preserve">Cantidad </t>
  </si>
  <si>
    <t>Clase</t>
  </si>
  <si>
    <t>Voto</t>
  </si>
  <si>
    <t>%  x tipo</t>
  </si>
  <si>
    <t>%  PARTICIPACION</t>
  </si>
  <si>
    <t>Eduardo Jose Borgognon M</t>
  </si>
  <si>
    <t>15401/19200</t>
  </si>
  <si>
    <t>Ord.Clase A</t>
  </si>
  <si>
    <t>19201/19600</t>
  </si>
  <si>
    <t>20701/21100</t>
  </si>
  <si>
    <t>Pref. Grupo A</t>
  </si>
  <si>
    <t>22361/23300</t>
  </si>
  <si>
    <t>Pref. Grupo B</t>
  </si>
  <si>
    <t>25201/25600</t>
  </si>
  <si>
    <t>Pref. Grupo D</t>
  </si>
  <si>
    <t>47901/50000</t>
  </si>
  <si>
    <t>Pref. Grupo G</t>
  </si>
  <si>
    <t>67701/69600</t>
  </si>
  <si>
    <t>69601/69800</t>
  </si>
  <si>
    <t>112001/117000</t>
  </si>
  <si>
    <t>Pref. Grupo J</t>
  </si>
  <si>
    <t>117001/119188</t>
  </si>
  <si>
    <t>85801/90000</t>
  </si>
  <si>
    <t>38867/40000</t>
  </si>
  <si>
    <t>Pref Grupo F</t>
  </si>
  <si>
    <t>119189/119568</t>
  </si>
  <si>
    <t>119569/119700</t>
  </si>
  <si>
    <t>Gustavo Luis Borgognon M.</t>
  </si>
  <si>
    <t>1/7200</t>
  </si>
  <si>
    <t>29901/35600</t>
  </si>
  <si>
    <t>40001/43600</t>
  </si>
  <si>
    <t>55701/60000</t>
  </si>
  <si>
    <t>Pref. Grupo H</t>
  </si>
  <si>
    <t>60001/63600</t>
  </si>
  <si>
    <t>90001/95000</t>
  </si>
  <si>
    <t>70001/77200</t>
  </si>
  <si>
    <t>28901/29900</t>
  </si>
  <si>
    <t>35601/36544</t>
  </si>
  <si>
    <t>Miguel Dario Zaldivar Morales</t>
  </si>
  <si>
    <t>36545/38866</t>
  </si>
  <si>
    <t>43601/47900</t>
  </si>
  <si>
    <t>95001/112000</t>
  </si>
  <si>
    <t>Pref. Grupo I</t>
  </si>
  <si>
    <t>7201/15400</t>
  </si>
  <si>
    <t>19601/20000</t>
  </si>
  <si>
    <t>63601/67700</t>
  </si>
  <si>
    <t>69801/70000</t>
  </si>
  <si>
    <t>77201/85800</t>
  </si>
  <si>
    <t>4.2: NUMERO DE INCRIPCION EN EL REGISTRO DE LA CNV: 003.</t>
  </si>
  <si>
    <t>No se registra</t>
  </si>
  <si>
    <t>No se registran</t>
  </si>
  <si>
    <t xml:space="preserve">CUADRO DEL CAPITAL INTEGRADO </t>
  </si>
  <si>
    <t xml:space="preserve">%  </t>
  </si>
  <si>
    <t>Fernando Andrés Berdichevsky Sborovsky</t>
  </si>
  <si>
    <t>20001/20700</t>
  </si>
  <si>
    <t>Luis Alberto Lima Morra</t>
  </si>
  <si>
    <t>21101/22360</t>
  </si>
  <si>
    <t>Benicia Ríos Portillo</t>
  </si>
  <si>
    <t>23301/23500</t>
  </si>
  <si>
    <t>Jorge Cazal Miniotis</t>
  </si>
  <si>
    <t>23501/24700</t>
  </si>
  <si>
    <t>Pref. Grupo C</t>
  </si>
  <si>
    <t>Rodrigo Guillermo Callizo López Moreira</t>
  </si>
  <si>
    <t>24701/25065</t>
  </si>
  <si>
    <t>Federico Callizo Nicora</t>
  </si>
  <si>
    <t>25066/25200</t>
  </si>
  <si>
    <t>Carlos Alberto Knapps</t>
  </si>
  <si>
    <t>25601/28010</t>
  </si>
  <si>
    <t>Pref. Grupo E</t>
  </si>
  <si>
    <t>Guillermo Néstor Sosa Arrúa</t>
  </si>
  <si>
    <t>28011/28210</t>
  </si>
  <si>
    <t>Luís Sebastián Aguilera Burró</t>
  </si>
  <si>
    <t>28211/28410</t>
  </si>
  <si>
    <t>Venancio Ríos Portillo</t>
  </si>
  <si>
    <t>28411/28480</t>
  </si>
  <si>
    <t>28481/28680</t>
  </si>
  <si>
    <t>Rubén Cirilo Etienne Fernández</t>
  </si>
  <si>
    <t>28681/28900</t>
  </si>
  <si>
    <t>Eduardo Jose Borgognon Montero</t>
  </si>
  <si>
    <t>Emmanuel Friedmann Sosa</t>
  </si>
  <si>
    <t>50001/53750</t>
  </si>
  <si>
    <t>Fabrizio Bibolini R.</t>
  </si>
  <si>
    <t>53751/55700</t>
  </si>
  <si>
    <t>Jorge Antonio Ayala</t>
  </si>
  <si>
    <t>119701/120000</t>
  </si>
  <si>
    <t xml:space="preserve">CUADRO DEL CAPITAL SUSCRIPTO </t>
  </si>
  <si>
    <t>4-AUDITOR EXTERNO INDEPENDIENTE</t>
  </si>
  <si>
    <t xml:space="preserve"> La Empresa constituye  previsiones  para  deudores de  dudoso cobro  conforme a los siguientes criterios:</t>
  </si>
  <si>
    <t>Así mismo se constituyen previsiones por el importe correspondientes a los descuentos obtenidos en la compra de Créditos vía cesión de créditos.</t>
  </si>
  <si>
    <t>La depreciación es calculada por el método de línea recta, saldo decreciente o suma de unidades (la emisora elige uno de los tres métodos con base en el patrón esperado de beneficios económicos y lo aplica consistentemente de ejercicio a ejercicio a menos que haya cambios significativos en dicho patrón considerado -NIF 11 párrafo 43 y 48). Ver Nota 9</t>
  </si>
  <si>
    <t>Los efectos de los ajustes sobre Propiedades, Planta y Equipo de operaciones discontinuadas se exponen formando parte de la línea “Resultados sobre actividades discontinuadas neto de impuesto a la renta” en el Estado de Resultados N/A</t>
  </si>
  <si>
    <t>Las amortizaciones son calculadas por el método que refleja el patrón de consumo de los beneficios económicos derivados de los intangibles o por el método de línea recta (se explica el método elegido) si el patrón no pudiera ser determinado de forma fiable (NIF 15, párrafo 64). Ver Nota  11</t>
  </si>
  <si>
    <t>Negofin Cobranzas SA</t>
  </si>
  <si>
    <t>80068824-4</t>
  </si>
  <si>
    <t>Breau de Informaciones Comerciales S.A.</t>
  </si>
  <si>
    <t>80084733-4</t>
  </si>
  <si>
    <t>Procesadora de Cuentas Electronicas S.A.</t>
  </si>
  <si>
    <t>Caja Mutual de Cooperativistas del Paraguay</t>
  </si>
  <si>
    <t>Adelanto de Dividendos</t>
  </si>
  <si>
    <t>31/6/2021</t>
  </si>
  <si>
    <t>Provision Actividades RRHH</t>
  </si>
  <si>
    <t>Otros Acreedores</t>
  </si>
  <si>
    <t>Provisiones Multas AAN</t>
  </si>
  <si>
    <t>Cuentas a Pagar Franquicias</t>
  </si>
  <si>
    <t xml:space="preserve">Cuentas a Pagar AAN </t>
  </si>
  <si>
    <t>Retencion Impuesto IDU</t>
  </si>
  <si>
    <t>Participación sobre el Capital Integrado (%)</t>
  </si>
  <si>
    <t>TU FINANCIERA SA</t>
  </si>
  <si>
    <t>Alquileres Cobrados</t>
  </si>
  <si>
    <t>Desafectacion Previsiones</t>
  </si>
  <si>
    <t>Intereses s/Prestamos Accionistas</t>
  </si>
  <si>
    <t>AL 30/06/2021</t>
  </si>
  <si>
    <t>mes</t>
  </si>
  <si>
    <t>junio</t>
  </si>
  <si>
    <t>Etiquetas de fila</t>
  </si>
  <si>
    <t>CONTABLE</t>
  </si>
  <si>
    <t>RIESGO</t>
  </si>
  <si>
    <t>OPERATIVO</t>
  </si>
  <si>
    <t>MORA</t>
  </si>
  <si>
    <t>TOTAL DE PREV</t>
  </si>
  <si>
    <t>CARTERA TOTAL</t>
  </si>
  <si>
    <t xml:space="preserve">                  </t>
  </si>
  <si>
    <t>MORA MAYOR A 60</t>
  </si>
  <si>
    <t>%</t>
  </si>
  <si>
    <t xml:space="preserve">prev por mora </t>
  </si>
  <si>
    <t>Prev Generica</t>
  </si>
  <si>
    <t xml:space="preserve">Reserva Facultativa p malos creditos </t>
  </si>
  <si>
    <t>Total de generica</t>
  </si>
  <si>
    <t>Politica</t>
  </si>
  <si>
    <t>CATRGORIA</t>
  </si>
  <si>
    <t>CONSUMO</t>
  </si>
  <si>
    <t>MICRO</t>
  </si>
  <si>
    <t>% DE PPREV</t>
  </si>
  <si>
    <t>= o &gt; 60 días</t>
  </si>
  <si>
    <t>0%</t>
  </si>
  <si>
    <t>&gt;60 hasta 90 días</t>
  </si>
  <si>
    <t>&gt;90 hasta 150 días</t>
  </si>
  <si>
    <t>&gt;90 hasta 120 días</t>
  </si>
  <si>
    <t>&gt;150 hasta 180 días</t>
  </si>
  <si>
    <t>&gt;120 hasta 150 días</t>
  </si>
  <si>
    <t>&gt;180 hasta 270 días</t>
  </si>
  <si>
    <t>&gt; 270 días</t>
  </si>
  <si>
    <t>&gt; 180 días</t>
  </si>
  <si>
    <t xml:space="preserve">Total Remuneración -      Ej.30/06/2021  Gs. </t>
  </si>
  <si>
    <t>Total Intereses s/Ptmos.-Ej.30/06/2021  Gs.</t>
  </si>
  <si>
    <t>Total Honorarios -           Ej.30/06/2021  Gs.</t>
  </si>
  <si>
    <t xml:space="preserve">Total Comisiones -          Ej.30/06/2021  Gs. </t>
  </si>
  <si>
    <t>Al 30 de Junio de 2021</t>
  </si>
  <si>
    <r>
      <t xml:space="preserve">De haberse aplicado una corrección monetaria integral de los estados financieros, podrían haber surgido diferencias en la presentación de la situación patrimonial y financiera de la sociedad, en los resultados de sus operaciones y en los flujos de efectivo al ….., y por los ejercicios cerrados el, 30 de junio de 2020 y 2021. Según el índice general de precios del consumo (IPC) publicado por el Banco Central del Paraguay, la inflación fue de -0,4% en el año 2020 y 0,4% en el año 2021. </t>
    </r>
    <r>
      <rPr>
        <i/>
        <sz val="9"/>
        <color indexed="8"/>
        <rFont val="Arial"/>
        <family val="2"/>
      </rPr>
      <t>Obs: Datos a incorporar para cierre del ejercicio al 30/06/2021.</t>
    </r>
    <r>
      <rPr>
        <sz val="9"/>
        <color indexed="8"/>
        <rFont val="Arial"/>
        <family val="2"/>
      </rPr>
      <t xml:space="preserve">
</t>
    </r>
  </si>
  <si>
    <t>Las propiedades, planta y equipo se exponen a su costo histórico ajustado por el coeficiente de revalúo emitido por la Autoridad Tributaria, meno/ la correspondiente depreciación acumulada y el valor residual establecido por la reforma tributaria en cuanto al calculo de la depreciacion de los Bienes de Uso segun la Ley 6380/19 y la RG,3181/19 de la Sub Secretaria de Estado de Tributacion. El incremento neto por la re-expresión se acredita a la respectiva reserva patrimonial, cuyo saldo puede ser utilizado únicamente para  aumentar el capital.</t>
  </si>
  <si>
    <t>Entre la fecha de cierre del ejercicio y la fecha de preparación de estos estados financieros, no han ocurrido hechos significativos de carácter financiero o de otra índole que afecten la situación patrimonial o financiera o los resultados de la Sociedad al 30 de Junio 2021.</t>
  </si>
  <si>
    <t>Utilidad accion Preferida</t>
  </si>
  <si>
    <t>Modificación de Estatutos Sociales</t>
  </si>
  <si>
    <t>Por Esc.Pub. N°13 del 24/06/2020 pasada ante la Escrib. Pub. Lilia Ballasch Guerra, se realizó la modificació de los estatutos sociales de la firma NEGOFIN SOCIEDAD ANONIMA DE CAPITAL ABIERTO (NEGOFIN S.A.E.C.A.), por aumento de capital, cambio de acciones y emisión de acciones, según Dictamen N° 71744 del 15/03/2021 de la DRFS, e inscripta en la Dir. Gral. de los Registros Publicos, Sección Pers. Jurídica y Asoc. Con Matricula Jurídica N° 33.856, Serie Comercial, bajo el Nº 1, folio 1-26, EL 16/03/2021 y en la Sección Reg. Publico de Comercio, Matrícula Comercial Nº 19.122, Serie Comercial, bajo el Nº 2, folio 12, el 16-03-2021</t>
  </si>
  <si>
    <t>4.1-AUDITOR INDEPENDIENTE DESIGANDO: GESTION EMPRESARIAL</t>
  </si>
  <si>
    <t xml:space="preserve">Al cierre del 30/06/2021 el valor previsionado asciende a miles de G.163.433.137.-, asi  tambien cuenta con una reserva facultativa para amlos creditos </t>
  </si>
  <si>
    <t>Constituida en el 2020 de Gs. 30.059.427.-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</si>
</sst>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43" formatCode="_ * #,##0.00_ ;_ * \-#,##0.00_ ;_ * &quot;-&quot;??_ ;_ @_ "/>
    <numFmt numFmtId="164" formatCode="_-* #,##0.00\ _€_-;\-* #,##0.00\ _€_-;_-* &quot;-&quot;??\ _€_-;_-@_-"/>
    <numFmt numFmtId="165" formatCode="_(* #,##0.00_);_(* \(#,##0.00\);_(* &quot;-&quot;??_);_(@_)"/>
    <numFmt numFmtId="166" formatCode="_ * #,##0_ ;_ * \-#,##0_ ;_ * &quot;-&quot;??_ ;_ @_ "/>
    <numFmt numFmtId="167" formatCode="_-* #,##0_-;\-* #,##0_-;_-* &quot;-&quot;??_-;_-@_-"/>
    <numFmt numFmtId="168" formatCode="_(* #,##0_);_(* \(#,##0\);_(* &quot;-&quot;??_);_(@_)"/>
    <numFmt numFmtId="169" formatCode="dd/mm/yyyy;@"/>
    <numFmt numFmtId="170" formatCode="#,###,##0"/>
    <numFmt numFmtId="171" formatCode="_-* #,##0_-;\-* #,##0_-;_-* &quot;-&quot;_-;_-@_-"/>
    <numFmt numFmtId="172" formatCode="_-* #,##0.00_-;\-* #,##0.00_-;_-* &quot;-&quot;??_-;_-@_-"/>
    <numFmt numFmtId="173" formatCode="#,##0_ ;\-#,##0\ "/>
    <numFmt numFmtId="174" formatCode="0.000%"/>
  </numFmts>
  <fonts count="86" x14ac:knownFonts="1">
    <font>
      <sz val="11"/>
      <color theme="1"/>
      <name val="Calibri"/>
      <family val="2"/>
      <scheme val="minor"/>
    </font>
    <font>
      <sz val="10"/>
      <name val="Arial"/>
      <family val="2"/>
    </font>
    <font>
      <sz val="11"/>
      <color indexed="8"/>
      <name val="Calibri"/>
      <family val="2"/>
    </font>
    <font>
      <b/>
      <sz val="9"/>
      <name val="Arial"/>
      <family val="2"/>
    </font>
    <font>
      <b/>
      <sz val="10"/>
      <name val="Arial"/>
      <family val="2"/>
    </font>
    <font>
      <b/>
      <u/>
      <sz val="10"/>
      <name val="Arial"/>
      <family val="2"/>
    </font>
    <font>
      <b/>
      <sz val="8"/>
      <name val="Arial"/>
      <family val="2"/>
    </font>
    <font>
      <sz val="11"/>
      <name val="Arial"/>
      <family val="2"/>
    </font>
    <font>
      <b/>
      <sz val="12"/>
      <name val="Arial"/>
      <family val="2"/>
    </font>
    <font>
      <b/>
      <sz val="11"/>
      <name val="Arial"/>
      <family val="2"/>
    </font>
    <font>
      <sz val="10"/>
      <name val="Arial Black"/>
      <family val="2"/>
    </font>
    <font>
      <sz val="9"/>
      <name val="Arial"/>
      <family val="2"/>
    </font>
    <font>
      <sz val="9"/>
      <color indexed="8"/>
      <name val="Arial"/>
      <family val="2"/>
    </font>
    <font>
      <sz val="8"/>
      <name val="Arial"/>
      <family val="2"/>
    </font>
    <font>
      <i/>
      <sz val="9"/>
      <name val="Arial"/>
      <family val="2"/>
    </font>
    <font>
      <i/>
      <sz val="9"/>
      <color indexed="8"/>
      <name val="Arial"/>
      <family val="2"/>
    </font>
    <font>
      <sz val="11"/>
      <name val="Calibri"/>
      <family val="2"/>
    </font>
    <font>
      <b/>
      <sz val="11"/>
      <name val="Calibri"/>
      <family val="2"/>
    </font>
    <font>
      <i/>
      <sz val="9"/>
      <name val="Calibri"/>
      <family val="2"/>
    </font>
    <font>
      <sz val="10"/>
      <name val="Geneva"/>
      <family val="2"/>
    </font>
    <font>
      <sz val="12"/>
      <name val="Times New Roman"/>
      <family val="1"/>
    </font>
    <font>
      <b/>
      <sz val="12"/>
      <name val="Times New Roman"/>
      <family val="1"/>
    </font>
    <font>
      <b/>
      <sz val="14"/>
      <name val="Arial"/>
      <family val="2"/>
    </font>
    <font>
      <u/>
      <sz val="10"/>
      <name val="Arial"/>
      <family val="2"/>
    </font>
    <font>
      <b/>
      <u/>
      <sz val="9"/>
      <name val="Arial"/>
      <family val="2"/>
    </font>
    <font>
      <sz val="11"/>
      <color theme="1"/>
      <name val="Calibri"/>
      <family val="2"/>
      <scheme val="minor"/>
    </font>
    <font>
      <b/>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0"/>
      <color theme="1"/>
      <name val="Arial"/>
      <family val="2"/>
    </font>
    <font>
      <sz val="10"/>
      <color rgb="FF000000"/>
      <name val="Arial"/>
      <family val="2"/>
    </font>
    <font>
      <sz val="9"/>
      <color theme="1"/>
      <name val="Arial"/>
      <family val="2"/>
    </font>
    <font>
      <sz val="8"/>
      <color theme="1"/>
      <name val="Arial"/>
      <family val="2"/>
    </font>
    <font>
      <sz val="11"/>
      <color theme="1"/>
      <name val="Arial"/>
      <family val="2"/>
    </font>
    <font>
      <sz val="10"/>
      <color theme="0"/>
      <name val="Arial"/>
      <family val="2"/>
    </font>
    <font>
      <sz val="10"/>
      <color rgb="FFFF0000"/>
      <name val="Arial"/>
      <family val="2"/>
    </font>
    <font>
      <sz val="12"/>
      <color theme="1"/>
      <name val="Arial"/>
      <family val="2"/>
    </font>
    <font>
      <sz val="11"/>
      <color theme="0"/>
      <name val="Arial"/>
      <family val="2"/>
    </font>
    <font>
      <sz val="11"/>
      <color rgb="FFFF0000"/>
      <name val="Arial"/>
      <family val="2"/>
    </font>
    <font>
      <sz val="12"/>
      <color theme="0"/>
      <name val="Arial"/>
      <family val="2"/>
    </font>
    <font>
      <sz val="10"/>
      <color theme="0"/>
      <name val="Arial Black"/>
      <family val="2"/>
    </font>
    <font>
      <b/>
      <sz val="10"/>
      <color theme="0"/>
      <name val="Arial"/>
      <family val="2"/>
    </font>
    <font>
      <b/>
      <sz val="11"/>
      <color theme="0"/>
      <name val="Arial Black"/>
      <family val="2"/>
    </font>
    <font>
      <sz val="8"/>
      <color rgb="FFFF0000"/>
      <name val="Arial"/>
      <family val="2"/>
    </font>
    <font>
      <u/>
      <sz val="10"/>
      <color theme="1"/>
      <name val="Arial"/>
      <family val="2"/>
    </font>
    <font>
      <b/>
      <sz val="10"/>
      <color rgb="FF000000"/>
      <name val="Arial"/>
      <family val="2"/>
    </font>
    <font>
      <sz val="9"/>
      <color rgb="FFFFFFFF"/>
      <name val="Arial"/>
      <family val="2"/>
    </font>
    <font>
      <b/>
      <sz val="10"/>
      <color rgb="FFFF0000"/>
      <name val="Arial"/>
      <family val="2"/>
    </font>
    <font>
      <sz val="11"/>
      <name val="Calibri"/>
      <family val="2"/>
      <scheme val="minor"/>
    </font>
    <font>
      <b/>
      <sz val="11"/>
      <name val="Calibri"/>
      <family val="2"/>
      <scheme val="minor"/>
    </font>
    <font>
      <sz val="9"/>
      <name val="Calibri"/>
      <family val="2"/>
      <scheme val="minor"/>
    </font>
    <font>
      <b/>
      <sz val="10"/>
      <color theme="0"/>
      <name val="Arial Black"/>
      <family val="2"/>
    </font>
    <font>
      <sz val="10"/>
      <color theme="1"/>
      <name val="Arial Black"/>
      <family val="2"/>
    </font>
    <font>
      <sz val="9"/>
      <color rgb="FF000000"/>
      <name val="Arial"/>
      <family val="2"/>
    </font>
    <font>
      <sz val="9"/>
      <color theme="1"/>
      <name val="Book Antiqua"/>
      <family val="1"/>
    </font>
    <font>
      <sz val="10"/>
      <color theme="1"/>
      <name val="Calibri"/>
      <family val="2"/>
      <scheme val="minor"/>
    </font>
    <font>
      <u/>
      <sz val="10"/>
      <color theme="10"/>
      <name val="Arial"/>
      <family val="2"/>
    </font>
    <font>
      <sz val="9"/>
      <color theme="1"/>
      <name val="Calibri"/>
      <family val="2"/>
      <scheme val="minor"/>
    </font>
    <font>
      <i/>
      <sz val="9"/>
      <color theme="1"/>
      <name val="Calibri"/>
      <family val="2"/>
      <scheme val="minor"/>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sz val="9"/>
      <color theme="4"/>
      <name val="Book Antiqua"/>
      <family val="1"/>
    </font>
    <font>
      <i/>
      <sz val="10"/>
      <color theme="1"/>
      <name val="Arial"/>
      <family val="2"/>
    </font>
    <font>
      <b/>
      <sz val="11"/>
      <color theme="0"/>
      <name val="Arial"/>
      <family val="2"/>
    </font>
    <font>
      <i/>
      <sz val="11"/>
      <color theme="1"/>
      <name val="Calibri"/>
      <family val="2"/>
      <scheme val="minor"/>
    </font>
    <font>
      <i/>
      <sz val="9"/>
      <color rgb="FF000000"/>
      <name val="Arial"/>
      <family val="2"/>
    </font>
    <font>
      <i/>
      <sz val="11"/>
      <color theme="1"/>
      <name val="Arial"/>
      <family val="2"/>
    </font>
    <font>
      <b/>
      <sz val="9"/>
      <color rgb="FFFFFFFF"/>
      <name val="Arial"/>
      <family val="2"/>
    </font>
    <font>
      <b/>
      <sz val="9"/>
      <color theme="0"/>
      <name val="Arial"/>
      <family val="2"/>
    </font>
    <font>
      <sz val="11"/>
      <color theme="1"/>
      <name val="Calibri"/>
      <family val="2"/>
    </font>
    <font>
      <b/>
      <sz val="11"/>
      <color rgb="FF000000"/>
      <name val="Calibri"/>
      <family val="2"/>
    </font>
    <font>
      <sz val="10"/>
      <color theme="1"/>
      <name val="Calibri"/>
      <family val="2"/>
    </font>
    <font>
      <b/>
      <sz val="10"/>
      <color rgb="FFFFFFFF"/>
      <name val="Arial"/>
      <family val="2"/>
    </font>
    <font>
      <sz val="10"/>
      <color rgb="FF000000"/>
      <name val="Calibri"/>
      <family val="2"/>
      <scheme val="minor"/>
    </font>
    <font>
      <b/>
      <sz val="11"/>
      <color theme="1"/>
      <name val="Arial"/>
      <family val="2"/>
    </font>
    <font>
      <sz val="11"/>
      <color rgb="FF000000"/>
      <name val="Calibri"/>
      <family val="2"/>
    </font>
    <font>
      <b/>
      <u val="singleAccounting"/>
      <sz val="10"/>
      <color theme="0"/>
      <name val="Arial Black"/>
      <family val="2"/>
    </font>
    <font>
      <sz val="9"/>
      <color rgb="FFFF0000"/>
      <name val="Arial"/>
      <family val="2"/>
    </font>
    <font>
      <b/>
      <sz val="12"/>
      <color theme="1"/>
      <name val="Arial"/>
      <family val="2"/>
    </font>
    <font>
      <i/>
      <sz val="9"/>
      <name val="Calibri"/>
      <family val="2"/>
      <scheme val="minor"/>
    </font>
    <font>
      <i/>
      <sz val="9"/>
      <color theme="1"/>
      <name val="Arial"/>
      <family val="2"/>
    </font>
  </fonts>
  <fills count="1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C00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A6A6A6"/>
        <bgColor rgb="FF000000"/>
      </patternFill>
    </fill>
    <fill>
      <patternFill patternType="solid">
        <fgColor theme="0"/>
        <bgColor rgb="FF000000"/>
      </patternFill>
    </fill>
    <fill>
      <patternFill patternType="solid">
        <fgColor theme="4" tint="-0.499984740745262"/>
        <bgColor rgb="FF000000"/>
      </patternFill>
    </fill>
    <fill>
      <patternFill patternType="solid">
        <fgColor rgb="FFFFFFFF"/>
        <bgColor rgb="FF000000"/>
      </patternFill>
    </fill>
    <fill>
      <patternFill patternType="solid">
        <fgColor rgb="FF203764"/>
        <bgColor rgb="FF000000"/>
      </patternFill>
    </fill>
    <fill>
      <patternFill patternType="solid">
        <fgColor theme="0" tint="-0.14999847407452621"/>
        <bgColor indexed="64"/>
      </patternFill>
    </fill>
    <fill>
      <patternFill patternType="solid">
        <fgColor rgb="FFFFFFFF"/>
        <bgColor indexed="64"/>
      </patternFill>
    </fill>
    <fill>
      <patternFill patternType="solid">
        <fgColor theme="4" tint="0.399975585192419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indexed="64"/>
      </bottom>
      <diagonal/>
    </border>
    <border>
      <left style="thin">
        <color theme="0"/>
      </left>
      <right style="thin">
        <color theme="0"/>
      </right>
      <top style="thin">
        <color rgb="FFFFFFFF"/>
      </top>
      <bottom style="thin">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s>
  <cellStyleXfs count="96">
    <xf numFmtId="0" fontId="0" fillId="0" borderId="0"/>
    <xf numFmtId="165" fontId="1" fillId="0" borderId="0" applyFont="0" applyFill="0" applyBorder="0" applyAlignment="0" applyProtection="0"/>
    <xf numFmtId="0" fontId="27"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171" fontId="1" fillId="0" borderId="0" applyFont="0" applyFill="0" applyBorder="0" applyAlignment="0" applyProtection="0"/>
    <xf numFmtId="165" fontId="25"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4" fontId="25" fillId="0" borderId="0" applyFont="0" applyFill="0" applyBorder="0" applyAlignment="0" applyProtection="0"/>
    <xf numFmtId="165" fontId="1" fillId="0" borderId="0" applyFont="0" applyFill="0" applyBorder="0" applyAlignment="0" applyProtection="0"/>
    <xf numFmtId="164" fontId="25" fillId="0" borderId="0" applyFont="0" applyFill="0" applyBorder="0" applyAlignment="0" applyProtection="0"/>
    <xf numFmtId="172" fontId="25" fillId="0" borderId="0" applyFont="0" applyFill="0" applyBorder="0" applyAlignment="0" applyProtection="0"/>
    <xf numFmtId="165" fontId="1" fillId="0" borderId="0" applyFont="0" applyFill="0" applyBorder="0" applyAlignment="0" applyProtection="0"/>
    <xf numFmtId="165" fontId="25" fillId="0" borderId="0" applyFont="0" applyFill="0" applyBorder="0" applyAlignment="0" applyProtection="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applyNumberFormat="0" applyFill="0" applyBorder="0" applyAlignment="0" applyProtection="0"/>
    <xf numFmtId="0" fontId="28" fillId="0" borderId="0"/>
    <xf numFmtId="0" fontId="1" fillId="0" borderId="0" applyNumberFormat="0" applyFill="0" applyBorder="0" applyAlignment="0" applyProtection="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9" fillId="0" borderId="0"/>
    <xf numFmtId="0" fontId="19" fillId="0" borderId="0"/>
    <xf numFmtId="9" fontId="25" fillId="0" borderId="0" applyFont="0" applyFill="0" applyBorder="0" applyAlignment="0" applyProtection="0"/>
  </cellStyleXfs>
  <cellXfs count="918">
    <xf numFmtId="0" fontId="0" fillId="0" borderId="0" xfId="0"/>
    <xf numFmtId="0" fontId="31" fillId="0" borderId="0" xfId="0" applyFont="1" applyAlignment="1">
      <alignment vertical="center"/>
    </xf>
    <xf numFmtId="0" fontId="31" fillId="0" borderId="0" xfId="0" applyFont="1"/>
    <xf numFmtId="0" fontId="32" fillId="0" borderId="0" xfId="0" applyFont="1" applyAlignment="1">
      <alignment vertical="center"/>
    </xf>
    <xf numFmtId="0" fontId="33" fillId="0" borderId="0" xfId="0" applyFont="1" applyAlignment="1">
      <alignment vertical="center"/>
    </xf>
    <xf numFmtId="0" fontId="34" fillId="3" borderId="0" xfId="0" applyFont="1" applyFill="1"/>
    <xf numFmtId="0" fontId="32" fillId="3" borderId="1" xfId="0" applyFont="1" applyFill="1" applyBorder="1"/>
    <xf numFmtId="167" fontId="31" fillId="3" borderId="1" xfId="3" applyNumberFormat="1" applyFont="1" applyFill="1" applyBorder="1"/>
    <xf numFmtId="168" fontId="1" fillId="3" borderId="1" xfId="3" applyNumberFormat="1" applyFont="1" applyFill="1" applyBorder="1"/>
    <xf numFmtId="0" fontId="31" fillId="3" borderId="2" xfId="0" applyFont="1" applyFill="1" applyBorder="1"/>
    <xf numFmtId="0" fontId="31" fillId="3" borderId="0" xfId="0" applyFont="1" applyFill="1"/>
    <xf numFmtId="0" fontId="31" fillId="0" borderId="0" xfId="0" applyFont="1" applyAlignment="1">
      <alignment horizontal="left" vertical="top" wrapText="1"/>
    </xf>
    <xf numFmtId="0" fontId="32" fillId="3" borderId="0" xfId="0" applyFont="1" applyFill="1"/>
    <xf numFmtId="0" fontId="4" fillId="3" borderId="3" xfId="29" applyFont="1" applyFill="1" applyBorder="1" applyAlignment="1">
      <alignment horizontal="left"/>
    </xf>
    <xf numFmtId="0" fontId="4" fillId="3" borderId="0" xfId="29" applyFont="1" applyFill="1" applyAlignment="1">
      <alignment horizontal="center"/>
    </xf>
    <xf numFmtId="0" fontId="31" fillId="3" borderId="0" xfId="0" applyFont="1" applyFill="1" applyBorder="1"/>
    <xf numFmtId="166" fontId="31" fillId="3" borderId="0" xfId="0" applyNumberFormat="1" applyFont="1" applyFill="1"/>
    <xf numFmtId="0" fontId="32" fillId="0" borderId="0" xfId="0" applyFont="1"/>
    <xf numFmtId="0" fontId="1" fillId="3" borderId="0" xfId="29" applyFont="1" applyFill="1" applyBorder="1" applyAlignment="1">
      <alignment horizontal="left"/>
    </xf>
    <xf numFmtId="0" fontId="35" fillId="0" borderId="0" xfId="0" applyFont="1" applyAlignment="1">
      <alignment vertical="center"/>
    </xf>
    <xf numFmtId="0" fontId="4" fillId="3" borderId="3" xfId="30" applyFont="1" applyFill="1" applyBorder="1" applyAlignment="1">
      <alignment horizontal="left"/>
    </xf>
    <xf numFmtId="0" fontId="1" fillId="3" borderId="0" xfId="0" applyFont="1" applyFill="1"/>
    <xf numFmtId="168" fontId="36" fillId="0" borderId="0" xfId="3" applyNumberFormat="1" applyFont="1"/>
    <xf numFmtId="0" fontId="4" fillId="3" borderId="0" xfId="30" applyFont="1" applyFill="1"/>
    <xf numFmtId="0" fontId="0" fillId="3" borderId="0" xfId="0" applyFill="1"/>
    <xf numFmtId="0" fontId="4" fillId="0" borderId="0" xfId="0" applyFont="1"/>
    <xf numFmtId="0" fontId="1" fillId="0" borderId="0" xfId="0" applyFont="1" applyFill="1"/>
    <xf numFmtId="0" fontId="31" fillId="0" borderId="0" xfId="0" applyFont="1" applyBorder="1" applyAlignment="1">
      <alignment vertical="center"/>
    </xf>
    <xf numFmtId="0" fontId="36" fillId="0" borderId="0" xfId="0" applyFont="1"/>
    <xf numFmtId="0" fontId="36" fillId="0" borderId="0" xfId="0" applyFont="1" applyBorder="1"/>
    <xf numFmtId="0" fontId="31" fillId="0" borderId="0" xfId="0" applyFont="1" applyBorder="1"/>
    <xf numFmtId="0" fontId="31" fillId="4" borderId="0" xfId="0" applyFont="1" applyFill="1"/>
    <xf numFmtId="0" fontId="32" fillId="0" borderId="0" xfId="0" applyFont="1" applyBorder="1" applyAlignment="1">
      <alignment horizontal="center"/>
    </xf>
    <xf numFmtId="0" fontId="31" fillId="0" borderId="0" xfId="0" applyFont="1" applyFill="1"/>
    <xf numFmtId="0" fontId="4" fillId="3" borderId="3" xfId="34" applyFont="1" applyFill="1" applyBorder="1" applyAlignment="1">
      <alignment horizontal="left"/>
    </xf>
    <xf numFmtId="0" fontId="5" fillId="3" borderId="0" xfId="34" applyFont="1" applyFill="1" applyBorder="1" applyAlignment="1">
      <alignment horizontal="center"/>
    </xf>
    <xf numFmtId="0" fontId="5" fillId="3" borderId="0" xfId="34" applyFont="1" applyFill="1" applyAlignment="1">
      <alignment horizontal="center"/>
    </xf>
    <xf numFmtId="0" fontId="1" fillId="3" borderId="0" xfId="36" applyFont="1" applyFill="1" applyBorder="1"/>
    <xf numFmtId="0" fontId="1" fillId="3" borderId="0" xfId="36" applyFont="1" applyFill="1"/>
    <xf numFmtId="0" fontId="4" fillId="3" borderId="0" xfId="36" applyFont="1" applyFill="1"/>
    <xf numFmtId="0" fontId="4" fillId="3" borderId="0" xfId="36" applyFont="1" applyFill="1" applyBorder="1"/>
    <xf numFmtId="0" fontId="31" fillId="0" borderId="0" xfId="0" applyFont="1" applyAlignment="1">
      <alignment vertical="top" wrapText="1"/>
    </xf>
    <xf numFmtId="0" fontId="35" fillId="0" borderId="0" xfId="0" applyFont="1" applyFill="1"/>
    <xf numFmtId="0" fontId="6" fillId="0" borderId="0" xfId="0" applyFont="1" applyFill="1"/>
    <xf numFmtId="43" fontId="35" fillId="0" borderId="0" xfId="3" applyFont="1" applyFill="1"/>
    <xf numFmtId="166" fontId="6" fillId="0" borderId="0" xfId="3" applyNumberFormat="1" applyFont="1" applyFill="1"/>
    <xf numFmtId="166" fontId="35" fillId="0" borderId="0" xfId="3" applyNumberFormat="1" applyFont="1" applyFill="1"/>
    <xf numFmtId="41" fontId="35" fillId="0" borderId="0" xfId="0" applyNumberFormat="1" applyFont="1" applyFill="1"/>
    <xf numFmtId="166" fontId="31" fillId="0" borderId="0" xfId="0" applyNumberFormat="1" applyFont="1"/>
    <xf numFmtId="0" fontId="0" fillId="0" borderId="0" xfId="0" applyFill="1"/>
    <xf numFmtId="0" fontId="31" fillId="0" borderId="0" xfId="0" applyFont="1" applyFill="1" applyBorder="1"/>
    <xf numFmtId="0" fontId="32" fillId="0" borderId="0" xfId="0" applyFont="1" applyFill="1" applyBorder="1" applyAlignment="1"/>
    <xf numFmtId="0" fontId="32" fillId="0" borderId="0" xfId="0" applyFont="1" applyFill="1" applyAlignment="1">
      <alignment vertical="center"/>
    </xf>
    <xf numFmtId="0" fontId="34" fillId="0" borderId="0" xfId="0" applyFont="1" applyFill="1"/>
    <xf numFmtId="0" fontId="37" fillId="0" borderId="0" xfId="0" applyFont="1"/>
    <xf numFmtId="166" fontId="37" fillId="0" borderId="0" xfId="3" applyNumberFormat="1" applyFont="1"/>
    <xf numFmtId="166" fontId="37" fillId="0" borderId="0" xfId="0" applyNumberFormat="1" applyFont="1"/>
    <xf numFmtId="166" fontId="38" fillId="0" borderId="0" xfId="3" applyNumberFormat="1" applyFont="1"/>
    <xf numFmtId="170" fontId="31" fillId="0" borderId="0" xfId="0" applyNumberFormat="1" applyFont="1" applyAlignment="1">
      <alignment horizontal="right"/>
    </xf>
    <xf numFmtId="166" fontId="1" fillId="0" borderId="0" xfId="3" applyNumberFormat="1" applyFont="1"/>
    <xf numFmtId="166" fontId="4" fillId="0" borderId="0" xfId="3" applyNumberFormat="1" applyFont="1"/>
    <xf numFmtId="0" fontId="7" fillId="0" borderId="0" xfId="0" applyFont="1"/>
    <xf numFmtId="166" fontId="7" fillId="0" borderId="0" xfId="3" applyNumberFormat="1" applyFont="1"/>
    <xf numFmtId="0" fontId="1" fillId="0" borderId="0" xfId="32" applyFont="1"/>
    <xf numFmtId="166" fontId="31" fillId="0" borderId="0" xfId="3" applyNumberFormat="1" applyFont="1"/>
    <xf numFmtId="0" fontId="31" fillId="0" borderId="0" xfId="0" applyFont="1" applyAlignment="1">
      <alignment horizontal="left"/>
    </xf>
    <xf numFmtId="166" fontId="31" fillId="0" borderId="0" xfId="3" applyNumberFormat="1" applyFont="1" applyAlignment="1">
      <alignment horizontal="center"/>
    </xf>
    <xf numFmtId="0" fontId="3" fillId="0" borderId="0" xfId="0" applyFont="1" applyFill="1"/>
    <xf numFmtId="166" fontId="34" fillId="0" borderId="0" xfId="0" applyNumberFormat="1" applyFont="1" applyFill="1"/>
    <xf numFmtId="0" fontId="4" fillId="0" borderId="0" xfId="0" applyFont="1" applyFill="1"/>
    <xf numFmtId="166" fontId="31" fillId="0" borderId="0" xfId="3" applyNumberFormat="1" applyFont="1" applyFill="1"/>
    <xf numFmtId="0" fontId="31" fillId="0" borderId="0" xfId="0" applyFont="1" applyFill="1" applyAlignment="1">
      <alignment horizontal="left"/>
    </xf>
    <xf numFmtId="0" fontId="38" fillId="0" borderId="0" xfId="0" applyFont="1" applyFill="1"/>
    <xf numFmtId="166" fontId="36" fillId="0" borderId="0" xfId="3" applyNumberFormat="1" applyFont="1"/>
    <xf numFmtId="41" fontId="32" fillId="3" borderId="0" xfId="0" applyNumberFormat="1" applyFont="1" applyFill="1" applyBorder="1"/>
    <xf numFmtId="166" fontId="4" fillId="3" borderId="0" xfId="30" applyNumberFormat="1" applyFont="1" applyFill="1" applyBorder="1"/>
    <xf numFmtId="0" fontId="31" fillId="0" borderId="0" xfId="0" applyFont="1" applyAlignment="1">
      <alignment horizontal="left"/>
    </xf>
    <xf numFmtId="0" fontId="35" fillId="3" borderId="0" xfId="0" applyFont="1" applyFill="1"/>
    <xf numFmtId="0" fontId="6" fillId="3" borderId="0" xfId="0" applyFont="1" applyFill="1"/>
    <xf numFmtId="0" fontId="8" fillId="0" borderId="0" xfId="0" applyFont="1" applyFill="1"/>
    <xf numFmtId="0" fontId="39" fillId="0" borderId="0" xfId="0" applyFont="1" applyFill="1"/>
    <xf numFmtId="166" fontId="31" fillId="0" borderId="0" xfId="0" applyNumberFormat="1" applyFont="1" applyFill="1"/>
    <xf numFmtId="166" fontId="36" fillId="0" borderId="0" xfId="3" applyNumberFormat="1" applyFont="1" applyAlignment="1">
      <alignment horizontal="center"/>
    </xf>
    <xf numFmtId="0" fontId="9" fillId="0" borderId="0" xfId="0" applyFont="1"/>
    <xf numFmtId="166" fontId="40" fillId="0" borderId="0" xfId="3" applyNumberFormat="1" applyFont="1"/>
    <xf numFmtId="166" fontId="41" fillId="0" borderId="0" xfId="3" applyNumberFormat="1" applyFont="1"/>
    <xf numFmtId="166" fontId="31" fillId="0" borderId="0" xfId="3" applyNumberFormat="1" applyFont="1" applyBorder="1"/>
    <xf numFmtId="0" fontId="31" fillId="0" borderId="0" xfId="0" applyFont="1" applyBorder="1" applyAlignment="1">
      <alignment horizontal="left"/>
    </xf>
    <xf numFmtId="166" fontId="31" fillId="0" borderId="0" xfId="3" applyNumberFormat="1" applyFont="1" applyBorder="1" applyAlignment="1">
      <alignment horizontal="center"/>
    </xf>
    <xf numFmtId="166" fontId="1" fillId="0" borderId="0" xfId="3" applyNumberFormat="1" applyFont="1" applyBorder="1"/>
    <xf numFmtId="166" fontId="38" fillId="0" borderId="0" xfId="3" applyNumberFormat="1" applyFont="1" applyBorder="1"/>
    <xf numFmtId="0" fontId="31" fillId="0" borderId="4" xfId="0" applyFont="1" applyFill="1" applyBorder="1"/>
    <xf numFmtId="0" fontId="31" fillId="0" borderId="5" xfId="0" applyFont="1" applyFill="1" applyBorder="1"/>
    <xf numFmtId="0" fontId="42" fillId="0" borderId="0" xfId="0" applyFont="1" applyFill="1"/>
    <xf numFmtId="166" fontId="39" fillId="0" borderId="0" xfId="3" applyNumberFormat="1" applyFont="1" applyFill="1" applyAlignment="1"/>
    <xf numFmtId="166" fontId="8" fillId="0" borderId="0" xfId="3" applyNumberFormat="1" applyFont="1" applyFill="1" applyAlignment="1"/>
    <xf numFmtId="0" fontId="39" fillId="0" borderId="0" xfId="0" applyFont="1" applyFill="1" applyAlignment="1"/>
    <xf numFmtId="0" fontId="8" fillId="0" borderId="0" xfId="0" applyFont="1" applyFill="1" applyAlignment="1"/>
    <xf numFmtId="14" fontId="3" fillId="3" borderId="0" xfId="36" applyNumberFormat="1" applyFont="1" applyFill="1" applyBorder="1" applyAlignment="1">
      <alignment horizontal="center"/>
    </xf>
    <xf numFmtId="0" fontId="30" fillId="0" borderId="0" xfId="0" applyFont="1"/>
    <xf numFmtId="43" fontId="31" fillId="0" borderId="0" xfId="3" applyFont="1" applyFill="1"/>
    <xf numFmtId="166" fontId="4" fillId="0" borderId="0" xfId="3" applyNumberFormat="1" applyFont="1" applyFill="1"/>
    <xf numFmtId="166" fontId="31" fillId="0" borderId="0" xfId="3" applyNumberFormat="1" applyFont="1" applyFill="1" applyAlignment="1">
      <alignment horizontal="center"/>
    </xf>
    <xf numFmtId="166" fontId="8" fillId="0" borderId="0" xfId="3" applyNumberFormat="1" applyFont="1" applyFill="1" applyAlignment="1">
      <alignment horizontal="left"/>
    </xf>
    <xf numFmtId="166" fontId="43" fillId="5" borderId="0" xfId="0" applyNumberFormat="1" applyFont="1" applyFill="1" applyAlignment="1">
      <alignment horizontal="center" vertical="center"/>
    </xf>
    <xf numFmtId="0" fontId="44" fillId="6" borderId="0" xfId="0" applyFont="1" applyFill="1" applyAlignment="1">
      <alignment vertical="center"/>
    </xf>
    <xf numFmtId="0" fontId="43" fillId="5" borderId="0" xfId="0" applyFont="1" applyFill="1" applyAlignment="1">
      <alignment horizontal="center" vertical="center"/>
    </xf>
    <xf numFmtId="0" fontId="45" fillId="5" borderId="0" xfId="0" applyFont="1" applyFill="1"/>
    <xf numFmtId="0" fontId="32" fillId="3" borderId="1" xfId="0" applyFont="1" applyFill="1" applyBorder="1" applyAlignment="1">
      <alignment horizontal="center" vertical="center" wrapText="1"/>
    </xf>
    <xf numFmtId="9" fontId="31" fillId="3" borderId="6" xfId="95" applyFont="1" applyFill="1" applyBorder="1"/>
    <xf numFmtId="0" fontId="3" fillId="7" borderId="1" xfId="17" applyFont="1" applyFill="1" applyBorder="1"/>
    <xf numFmtId="168" fontId="3" fillId="7" borderId="1" xfId="12" applyNumberFormat="1" applyFont="1" applyFill="1" applyBorder="1"/>
    <xf numFmtId="165" fontId="11" fillId="7" borderId="1" xfId="12" applyFont="1" applyFill="1" applyBorder="1"/>
    <xf numFmtId="0" fontId="38" fillId="3" borderId="0" xfId="0" applyFont="1" applyFill="1"/>
    <xf numFmtId="0" fontId="46" fillId="0" borderId="0" xfId="0" applyFont="1" applyFill="1"/>
    <xf numFmtId="168" fontId="4" fillId="3" borderId="0" xfId="3" applyNumberFormat="1" applyFont="1" applyFill="1" applyBorder="1"/>
    <xf numFmtId="0" fontId="32" fillId="0" borderId="0" xfId="0" applyFont="1" applyFill="1"/>
    <xf numFmtId="0" fontId="4" fillId="0" borderId="0" xfId="0" applyFont="1" applyFill="1" applyAlignment="1">
      <alignment wrapText="1"/>
    </xf>
    <xf numFmtId="0" fontId="31" fillId="0" borderId="0" xfId="0" applyFont="1" applyAlignment="1">
      <alignment wrapText="1"/>
    </xf>
    <xf numFmtId="3" fontId="36" fillId="0" borderId="0" xfId="4" applyNumberFormat="1" applyFont="1" applyBorder="1"/>
    <xf numFmtId="168" fontId="45" fillId="5" borderId="0" xfId="3" applyNumberFormat="1" applyFont="1" applyFill="1" applyBorder="1"/>
    <xf numFmtId="0" fontId="33" fillId="2" borderId="0" xfId="0" applyFont="1" applyFill="1" applyAlignment="1">
      <alignment vertical="center"/>
    </xf>
    <xf numFmtId="0" fontId="31" fillId="2" borderId="0" xfId="0" applyFont="1" applyFill="1"/>
    <xf numFmtId="0" fontId="0" fillId="2" borderId="0" xfId="0" applyFill="1"/>
    <xf numFmtId="167" fontId="31" fillId="3" borderId="7" xfId="3" applyNumberFormat="1" applyFont="1" applyFill="1" applyBorder="1"/>
    <xf numFmtId="0" fontId="47" fillId="3" borderId="1" xfId="0" applyFont="1" applyFill="1" applyBorder="1"/>
    <xf numFmtId="0" fontId="0" fillId="2" borderId="3" xfId="0" applyFill="1" applyBorder="1"/>
    <xf numFmtId="0" fontId="30" fillId="2" borderId="3" xfId="0" applyFont="1" applyFill="1" applyBorder="1" applyAlignment="1">
      <alignment horizontal="center"/>
    </xf>
    <xf numFmtId="0" fontId="30" fillId="2" borderId="0" xfId="0" applyFont="1" applyFill="1"/>
    <xf numFmtId="0" fontId="30" fillId="0" borderId="3" xfId="0" applyFont="1" applyBorder="1" applyAlignment="1">
      <alignment horizontal="center"/>
    </xf>
    <xf numFmtId="0" fontId="30" fillId="0" borderId="3" xfId="0" applyFont="1" applyBorder="1" applyAlignment="1">
      <alignment horizontal="center" vertical="center"/>
    </xf>
    <xf numFmtId="0" fontId="29" fillId="2" borderId="0" xfId="0" applyFont="1" applyFill="1"/>
    <xf numFmtId="0" fontId="31" fillId="0" borderId="0" xfId="0" applyFont="1" applyAlignment="1">
      <alignment horizontal="left" vertical="top" wrapText="1"/>
    </xf>
    <xf numFmtId="0" fontId="31" fillId="0" borderId="0" xfId="0" applyFont="1" applyAlignment="1">
      <alignment vertical="justify" wrapText="1"/>
    </xf>
    <xf numFmtId="0" fontId="31" fillId="0" borderId="0" xfId="0" applyFont="1" applyFill="1" applyAlignment="1">
      <alignment vertical="justify" wrapText="1"/>
    </xf>
    <xf numFmtId="0" fontId="32" fillId="0" borderId="0" xfId="0" applyFont="1" applyAlignment="1">
      <alignment horizontal="left" vertical="top" wrapText="1"/>
    </xf>
    <xf numFmtId="0" fontId="32" fillId="0" borderId="0" xfId="0" applyFont="1" applyAlignment="1">
      <alignment vertical="top" wrapText="1"/>
    </xf>
    <xf numFmtId="0" fontId="31" fillId="2" borderId="0" xfId="0" applyFont="1" applyFill="1" applyAlignment="1">
      <alignment vertical="justify" wrapText="1"/>
    </xf>
    <xf numFmtId="0" fontId="31" fillId="2" borderId="0" xfId="0" applyFont="1" applyFill="1" applyAlignment="1">
      <alignment horizontal="left" vertical="top" wrapText="1"/>
    </xf>
    <xf numFmtId="0" fontId="31" fillId="2" borderId="0" xfId="0" applyFont="1" applyFill="1" applyAlignment="1">
      <alignment vertical="top" wrapText="1"/>
    </xf>
    <xf numFmtId="0" fontId="32" fillId="2" borderId="0" xfId="0" applyFont="1" applyFill="1" applyAlignment="1">
      <alignment vertical="top" wrapText="1"/>
    </xf>
    <xf numFmtId="0" fontId="32" fillId="2" borderId="0" xfId="0" applyFont="1" applyFill="1" applyAlignment="1">
      <alignment vertical="justify" wrapText="1"/>
    </xf>
    <xf numFmtId="0" fontId="32" fillId="2" borderId="0" xfId="0" applyFont="1" applyFill="1" applyAlignment="1">
      <alignment horizontal="center" vertical="center" wrapText="1"/>
    </xf>
    <xf numFmtId="0" fontId="27" fillId="0" borderId="0" xfId="2"/>
    <xf numFmtId="0" fontId="27" fillId="2" borderId="0" xfId="2" applyFill="1"/>
    <xf numFmtId="0" fontId="44" fillId="3" borderId="0" xfId="0" applyFont="1" applyFill="1" applyAlignment="1">
      <alignment horizontal="left" vertical="center"/>
    </xf>
    <xf numFmtId="0" fontId="29" fillId="0" borderId="0" xfId="0" applyFont="1"/>
    <xf numFmtId="0" fontId="44" fillId="3" borderId="0" xfId="0" applyFont="1" applyFill="1" applyAlignment="1">
      <alignment vertical="center"/>
    </xf>
    <xf numFmtId="0" fontId="27" fillId="3" borderId="0" xfId="2" applyFill="1"/>
    <xf numFmtId="0" fontId="30" fillId="3" borderId="0" xfId="0" applyFont="1" applyFill="1"/>
    <xf numFmtId="0" fontId="33" fillId="2" borderId="0" xfId="0" applyFont="1" applyFill="1" applyBorder="1"/>
    <xf numFmtId="168" fontId="33" fillId="2" borderId="0" xfId="7" applyNumberFormat="1" applyFont="1" applyFill="1" applyBorder="1"/>
    <xf numFmtId="9" fontId="33" fillId="2" borderId="0" xfId="95" applyFont="1" applyFill="1" applyBorder="1"/>
    <xf numFmtId="3" fontId="33" fillId="2" borderId="0" xfId="0" applyNumberFormat="1" applyFont="1" applyFill="1" applyBorder="1"/>
    <xf numFmtId="0" fontId="48" fillId="2" borderId="0" xfId="0" applyFont="1" applyFill="1" applyBorder="1"/>
    <xf numFmtId="41" fontId="33" fillId="2" borderId="8" xfId="4" applyFont="1" applyFill="1" applyBorder="1"/>
    <xf numFmtId="0" fontId="0" fillId="3" borderId="0" xfId="0" applyFill="1" applyBorder="1"/>
    <xf numFmtId="0" fontId="48" fillId="2" borderId="0" xfId="0" applyFont="1" applyFill="1" applyBorder="1" applyAlignment="1">
      <alignment vertical="center" wrapText="1"/>
    </xf>
    <xf numFmtId="0" fontId="0" fillId="6" borderId="0" xfId="0" applyFill="1"/>
    <xf numFmtId="0" fontId="11" fillId="3" borderId="0" xfId="17" applyFont="1" applyFill="1" applyBorder="1"/>
    <xf numFmtId="0" fontId="11" fillId="2" borderId="0" xfId="17" applyFont="1" applyFill="1" applyBorder="1"/>
    <xf numFmtId="0" fontId="49" fillId="2" borderId="0" xfId="17" applyFont="1" applyFill="1" applyBorder="1"/>
    <xf numFmtId="0" fontId="11" fillId="2" borderId="4" xfId="17" applyFont="1" applyFill="1" applyBorder="1"/>
    <xf numFmtId="168" fontId="11" fillId="2" borderId="9" xfId="12" applyNumberFormat="1" applyFont="1" applyFill="1" applyBorder="1"/>
    <xf numFmtId="168" fontId="3" fillId="2" borderId="5" xfId="12" applyNumberFormat="1" applyFont="1" applyFill="1" applyBorder="1"/>
    <xf numFmtId="168" fontId="11" fillId="2" borderId="0" xfId="17" applyNumberFormat="1" applyFont="1" applyFill="1" applyBorder="1"/>
    <xf numFmtId="0" fontId="31" fillId="0" borderId="0" xfId="0" applyFont="1" applyFill="1" applyAlignment="1">
      <alignment horizontal="left" vertical="justify" wrapText="1"/>
    </xf>
    <xf numFmtId="0" fontId="50" fillId="0" borderId="4" xfId="0" applyFont="1" applyFill="1" applyBorder="1" applyAlignment="1">
      <alignment horizontal="left" vertical="justify" wrapText="1"/>
    </xf>
    <xf numFmtId="0" fontId="50" fillId="0" borderId="0" xfId="0" applyFont="1" applyFill="1" applyBorder="1" applyAlignment="1">
      <alignment horizontal="left" vertical="justify" wrapText="1"/>
    </xf>
    <xf numFmtId="0" fontId="50" fillId="0" borderId="5" xfId="0" applyFont="1" applyFill="1" applyBorder="1" applyAlignment="1">
      <alignment horizontal="left" vertical="justify" wrapText="1"/>
    </xf>
    <xf numFmtId="0" fontId="50" fillId="0" borderId="0" xfId="0" applyFont="1" applyFill="1" applyAlignment="1">
      <alignment vertical="center"/>
    </xf>
    <xf numFmtId="0" fontId="1" fillId="0" borderId="0" xfId="0" applyFont="1" applyFill="1" applyAlignment="1">
      <alignment horizontal="left" vertical="justify" wrapText="1"/>
    </xf>
    <xf numFmtId="0" fontId="0" fillId="2" borderId="0" xfId="0" applyFill="1" applyBorder="1"/>
    <xf numFmtId="0" fontId="29" fillId="2" borderId="3" xfId="0" applyFont="1" applyFill="1" applyBorder="1"/>
    <xf numFmtId="0" fontId="0" fillId="2" borderId="4" xfId="0" applyFill="1" applyBorder="1"/>
    <xf numFmtId="0" fontId="0" fillId="2" borderId="5" xfId="0" applyFill="1" applyBorder="1"/>
    <xf numFmtId="0" fontId="51" fillId="2" borderId="0" xfId="0" applyFont="1" applyFill="1"/>
    <xf numFmtId="0" fontId="51" fillId="0" borderId="0" xfId="0" applyFont="1"/>
    <xf numFmtId="0" fontId="52" fillId="0" borderId="10" xfId="0" applyFont="1" applyBorder="1" applyAlignment="1">
      <alignment horizontal="center" vertical="center" wrapText="1"/>
    </xf>
    <xf numFmtId="0" fontId="52" fillId="0" borderId="11" xfId="0" applyFont="1" applyBorder="1" applyAlignment="1">
      <alignment horizontal="center" vertical="center" wrapText="1"/>
    </xf>
    <xf numFmtId="0" fontId="51" fillId="2" borderId="12" xfId="0" applyFont="1" applyFill="1" applyBorder="1" applyAlignment="1">
      <alignment vertical="top" wrapText="1"/>
    </xf>
    <xf numFmtId="0" fontId="51" fillId="2" borderId="13" xfId="0" applyFont="1" applyFill="1" applyBorder="1" applyAlignment="1">
      <alignment vertical="top" wrapText="1"/>
    </xf>
    <xf numFmtId="0" fontId="53" fillId="0" borderId="13" xfId="0" applyFont="1" applyBorder="1" applyAlignment="1">
      <alignment vertical="center" wrapText="1"/>
    </xf>
    <xf numFmtId="0" fontId="53" fillId="0" borderId="14" xfId="0" applyFont="1" applyBorder="1" applyAlignment="1">
      <alignment vertical="center" wrapText="1"/>
    </xf>
    <xf numFmtId="0" fontId="53" fillId="0" borderId="15"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16" xfId="0" applyFont="1" applyBorder="1" applyAlignment="1">
      <alignment vertical="center" wrapText="1"/>
    </xf>
    <xf numFmtId="0" fontId="53" fillId="0" borderId="17" xfId="0" applyFont="1" applyBorder="1" applyAlignment="1">
      <alignment vertical="center" wrapText="1"/>
    </xf>
    <xf numFmtId="0" fontId="53" fillId="0" borderId="18"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19" xfId="0" applyFont="1" applyBorder="1" applyAlignment="1">
      <alignment vertical="center" wrapText="1"/>
    </xf>
    <xf numFmtId="0" fontId="53" fillId="0" borderId="20" xfId="0" applyFont="1" applyBorder="1" applyAlignment="1">
      <alignment vertical="center" wrapText="1"/>
    </xf>
    <xf numFmtId="0" fontId="53" fillId="2" borderId="0" xfId="0" applyFont="1" applyFill="1"/>
    <xf numFmtId="0" fontId="53" fillId="0" borderId="0" xfId="0" applyFont="1"/>
    <xf numFmtId="0" fontId="31" fillId="0" borderId="0" xfId="0" applyFont="1" applyFill="1" applyAlignment="1">
      <alignment horizontal="left" vertical="justify" wrapText="1"/>
    </xf>
    <xf numFmtId="0" fontId="34" fillId="0" borderId="0" xfId="0" applyFont="1" applyFill="1" applyAlignment="1">
      <alignment horizontal="left" vertical="justify" wrapText="1"/>
    </xf>
    <xf numFmtId="0" fontId="52" fillId="0" borderId="3" xfId="0" applyFont="1" applyFill="1" applyBorder="1" applyAlignment="1">
      <alignment horizontal="center" wrapText="1"/>
    </xf>
    <xf numFmtId="0" fontId="0" fillId="2" borderId="1" xfId="0" applyFill="1" applyBorder="1"/>
    <xf numFmtId="0" fontId="34" fillId="5" borderId="0" xfId="0" applyFont="1" applyFill="1"/>
    <xf numFmtId="0" fontId="31" fillId="3" borderId="0" xfId="0" applyFont="1" applyFill="1" applyAlignment="1">
      <alignment horizontal="center" vertical="center"/>
    </xf>
    <xf numFmtId="0" fontId="27" fillId="3" borderId="0" xfId="2" applyFill="1" applyAlignment="1">
      <alignment horizontal="center" vertical="center"/>
    </xf>
    <xf numFmtId="0" fontId="0" fillId="0" borderId="0" xfId="0"/>
    <xf numFmtId="169" fontId="54" fillId="5" borderId="0" xfId="3" applyNumberFormat="1" applyFont="1" applyFill="1" applyAlignment="1">
      <alignment horizontal="center" vertical="center"/>
    </xf>
    <xf numFmtId="0" fontId="54" fillId="3" borderId="0" xfId="0" applyFont="1" applyFill="1" applyBorder="1" applyAlignment="1">
      <alignment horizontal="center" vertical="center"/>
    </xf>
    <xf numFmtId="0" fontId="55" fillId="3" borderId="0" xfId="0" applyFont="1" applyFill="1" applyAlignment="1">
      <alignment horizontal="center" vertical="center"/>
    </xf>
    <xf numFmtId="166" fontId="31" fillId="3" borderId="0" xfId="0" applyNumberFormat="1" applyFont="1" applyFill="1" applyAlignment="1">
      <alignment horizontal="center" vertical="center"/>
    </xf>
    <xf numFmtId="0" fontId="54" fillId="3" borderId="0" xfId="0" applyFont="1" applyFill="1" applyAlignment="1">
      <alignment horizontal="center" vertical="center"/>
    </xf>
    <xf numFmtId="0" fontId="4" fillId="3" borderId="0" xfId="0" applyFont="1" applyFill="1" applyAlignment="1">
      <alignment horizontal="center" vertical="center"/>
    </xf>
    <xf numFmtId="0" fontId="10" fillId="3" borderId="0" xfId="0" applyFont="1" applyFill="1" applyAlignment="1">
      <alignment horizontal="center" vertical="center"/>
    </xf>
    <xf numFmtId="0" fontId="34" fillId="3" borderId="0" xfId="0" applyFont="1" applyFill="1" applyAlignment="1">
      <alignment horizontal="center" vertical="center"/>
    </xf>
    <xf numFmtId="166" fontId="39" fillId="3" borderId="0" xfId="3" applyNumberFormat="1" applyFont="1" applyFill="1" applyAlignment="1">
      <alignment horizontal="center" vertical="center"/>
    </xf>
    <xf numFmtId="166" fontId="8" fillId="0" borderId="0" xfId="3" applyNumberFormat="1" applyFont="1" applyFill="1" applyAlignment="1">
      <alignment horizontal="center" vertical="center"/>
    </xf>
    <xf numFmtId="0" fontId="8" fillId="3" borderId="0" xfId="0" applyFont="1" applyFill="1" applyAlignment="1">
      <alignment horizontal="center" vertical="center"/>
    </xf>
    <xf numFmtId="0" fontId="39" fillId="3" borderId="0" xfId="0" applyFont="1" applyFill="1" applyAlignment="1">
      <alignment horizontal="center" vertical="center"/>
    </xf>
    <xf numFmtId="0" fontId="6" fillId="3" borderId="0" xfId="0" applyFont="1" applyFill="1" applyAlignment="1">
      <alignment horizontal="center" vertical="center"/>
    </xf>
    <xf numFmtId="43" fontId="35" fillId="3" borderId="0" xfId="3" applyFont="1" applyFill="1" applyAlignment="1">
      <alignment horizontal="center" vertical="center"/>
    </xf>
    <xf numFmtId="0" fontId="35" fillId="3" borderId="0" xfId="0" applyFont="1" applyFill="1" applyAlignment="1">
      <alignment horizontal="center" vertical="center"/>
    </xf>
    <xf numFmtId="0" fontId="27" fillId="0" borderId="0" xfId="2" applyAlignment="1">
      <alignment horizontal="center"/>
    </xf>
    <xf numFmtId="43" fontId="31" fillId="3" borderId="0" xfId="3" applyFont="1" applyFill="1" applyAlignment="1">
      <alignment horizontal="center" vertical="center"/>
    </xf>
    <xf numFmtId="166" fontId="31" fillId="3" borderId="0" xfId="3" applyNumberFormat="1" applyFont="1" applyFill="1" applyAlignment="1">
      <alignment horizontal="center" vertical="center"/>
    </xf>
    <xf numFmtId="166" fontId="4" fillId="3" borderId="0" xfId="3" applyNumberFormat="1" applyFont="1" applyFill="1" applyAlignment="1">
      <alignment horizontal="center" vertical="center"/>
    </xf>
    <xf numFmtId="0" fontId="36" fillId="0" borderId="0" xfId="0" applyFont="1" applyAlignment="1">
      <alignment horizontal="center"/>
    </xf>
    <xf numFmtId="0" fontId="11" fillId="0" borderId="21" xfId="0" applyFont="1" applyBorder="1" applyAlignment="1">
      <alignment vertical="center" wrapText="1"/>
    </xf>
    <xf numFmtId="0" fontId="11" fillId="0" borderId="22" xfId="0" applyFont="1" applyBorder="1" applyAlignment="1">
      <alignment vertical="center" wrapText="1"/>
    </xf>
    <xf numFmtId="0" fontId="3" fillId="0" borderId="23" xfId="0" applyFont="1" applyBorder="1" applyAlignment="1">
      <alignment vertical="center" wrapText="1"/>
    </xf>
    <xf numFmtId="0" fontId="0" fillId="3" borderId="0" xfId="0" quotePrefix="1" applyFill="1"/>
    <xf numFmtId="0" fontId="44" fillId="3" borderId="0" xfId="0" applyFont="1" applyFill="1" applyBorder="1" applyAlignment="1">
      <alignment horizontal="left"/>
    </xf>
    <xf numFmtId="0" fontId="34" fillId="0" borderId="4" xfId="0" applyFont="1" applyFill="1" applyBorder="1" applyAlignment="1">
      <alignment horizontal="justify" vertical="justify" wrapText="1"/>
    </xf>
    <xf numFmtId="0" fontId="34" fillId="0" borderId="0" xfId="0" applyFont="1" applyFill="1" applyBorder="1" applyAlignment="1">
      <alignment horizontal="justify" vertical="justify" wrapText="1"/>
    </xf>
    <xf numFmtId="0" fontId="34" fillId="0" borderId="5" xfId="0" applyFont="1" applyFill="1" applyBorder="1" applyAlignment="1">
      <alignment horizontal="justify" vertical="justify" wrapText="1"/>
    </xf>
    <xf numFmtId="0" fontId="31" fillId="0" borderId="4" xfId="0" applyFont="1" applyFill="1" applyBorder="1" applyAlignment="1">
      <alignment horizontal="left" vertical="justify" wrapText="1"/>
    </xf>
    <xf numFmtId="0" fontId="31" fillId="0" borderId="0" xfId="0" applyFont="1" applyFill="1" applyBorder="1" applyAlignment="1">
      <alignment horizontal="left" vertical="justify" wrapText="1"/>
    </xf>
    <xf numFmtId="0" fontId="31" fillId="0" borderId="5" xfId="0" applyFont="1" applyFill="1" applyBorder="1" applyAlignment="1">
      <alignment horizontal="left" vertical="justify" wrapText="1"/>
    </xf>
    <xf numFmtId="0" fontId="56" fillId="0" borderId="4" xfId="0" applyFont="1" applyBorder="1" applyAlignment="1">
      <alignment horizontal="left" vertical="top" wrapText="1"/>
    </xf>
    <xf numFmtId="0" fontId="56" fillId="0" borderId="0" xfId="0" applyFont="1" applyBorder="1" applyAlignment="1">
      <alignment horizontal="left" vertical="top" wrapText="1"/>
    </xf>
    <xf numFmtId="0" fontId="56" fillId="0" borderId="5" xfId="0" applyFont="1" applyBorder="1" applyAlignment="1">
      <alignment horizontal="left" vertical="top" wrapText="1"/>
    </xf>
    <xf numFmtId="0" fontId="4" fillId="0" borderId="4" xfId="0" applyFont="1" applyFill="1" applyBorder="1" applyAlignment="1">
      <alignment horizontal="left" vertical="justify" wrapText="1"/>
    </xf>
    <xf numFmtId="0" fontId="4" fillId="0" borderId="0" xfId="0" applyFont="1" applyFill="1" applyBorder="1" applyAlignment="1">
      <alignment horizontal="left" vertical="justify" wrapText="1"/>
    </xf>
    <xf numFmtId="0" fontId="4" fillId="0" borderId="5" xfId="0" applyFont="1" applyFill="1" applyBorder="1" applyAlignment="1">
      <alignment horizontal="left" vertical="justify" wrapText="1"/>
    </xf>
    <xf numFmtId="0" fontId="31" fillId="0" borderId="4" xfId="0" applyFont="1" applyFill="1" applyBorder="1" applyAlignment="1">
      <alignment horizontal="justify" vertical="justify" wrapText="1"/>
    </xf>
    <xf numFmtId="0" fontId="31" fillId="0" borderId="0" xfId="0" applyFont="1" applyFill="1" applyBorder="1" applyAlignment="1">
      <alignment horizontal="justify" vertical="justify" wrapText="1"/>
    </xf>
    <xf numFmtId="0" fontId="31" fillId="0" borderId="5" xfId="0" applyFont="1" applyFill="1" applyBorder="1" applyAlignment="1">
      <alignment horizontal="justify" vertical="justify" wrapText="1"/>
    </xf>
    <xf numFmtId="0" fontId="0" fillId="0" borderId="0" xfId="0"/>
    <xf numFmtId="167" fontId="31" fillId="0" borderId="1" xfId="3" applyNumberFormat="1" applyFont="1" applyFill="1" applyBorder="1"/>
    <xf numFmtId="0" fontId="1" fillId="2" borderId="0" xfId="0" applyFont="1" applyFill="1"/>
    <xf numFmtId="0" fontId="31" fillId="3" borderId="1" xfId="0" applyFont="1" applyFill="1" applyBorder="1"/>
    <xf numFmtId="0" fontId="31" fillId="3" borderId="1" xfId="0" applyFont="1" applyFill="1" applyBorder="1" applyAlignment="1">
      <alignment horizontal="center"/>
    </xf>
    <xf numFmtId="0" fontId="31" fillId="3" borderId="24" xfId="0" applyFont="1" applyFill="1" applyBorder="1"/>
    <xf numFmtId="0" fontId="31" fillId="0" borderId="0" xfId="0" applyFont="1" applyAlignment="1">
      <alignment horizontal="left"/>
    </xf>
    <xf numFmtId="0" fontId="1" fillId="3" borderId="0" xfId="29" quotePrefix="1" applyFont="1" applyFill="1" applyBorder="1" applyAlignment="1"/>
    <xf numFmtId="0" fontId="57" fillId="0" borderId="1" xfId="0" applyFont="1" applyBorder="1" applyAlignment="1">
      <alignment horizontal="center" vertical="center" wrapText="1"/>
    </xf>
    <xf numFmtId="0" fontId="44" fillId="0" borderId="0" xfId="0" applyFont="1" applyFill="1" applyAlignment="1">
      <alignment vertical="center"/>
    </xf>
    <xf numFmtId="0" fontId="44" fillId="2" borderId="0" xfId="0" applyFont="1" applyFill="1" applyBorder="1" applyAlignment="1">
      <alignment vertical="center"/>
    </xf>
    <xf numFmtId="41" fontId="25" fillId="2" borderId="8" xfId="4" applyFont="1" applyFill="1" applyBorder="1"/>
    <xf numFmtId="0" fontId="58" fillId="3" borderId="0" xfId="0" applyFont="1" applyFill="1" applyAlignment="1"/>
    <xf numFmtId="41" fontId="31" fillId="0" borderId="8" xfId="4" applyFont="1" applyBorder="1" applyAlignment="1">
      <alignment vertical="top" wrapText="1"/>
    </xf>
    <xf numFmtId="41" fontId="25" fillId="0" borderId="8" xfId="4" applyFont="1" applyBorder="1"/>
    <xf numFmtId="0" fontId="33" fillId="2" borderId="0" xfId="0" quotePrefix="1" applyFont="1" applyFill="1" applyBorder="1"/>
    <xf numFmtId="0" fontId="26" fillId="0" borderId="0" xfId="0" applyFont="1" applyFill="1" applyAlignment="1">
      <alignment horizontal="center" vertical="center"/>
    </xf>
    <xf numFmtId="0" fontId="0" fillId="0" borderId="0" xfId="0"/>
    <xf numFmtId="0" fontId="31" fillId="0" borderId="0" xfId="0" applyFont="1" applyFill="1" applyAlignment="1">
      <alignment horizontal="left" vertical="justify" wrapText="1"/>
    </xf>
    <xf numFmtId="0" fontId="34" fillId="0" borderId="4" xfId="0" applyFont="1" applyFill="1" applyBorder="1" applyAlignment="1">
      <alignment horizontal="justify" vertical="justify" wrapText="1"/>
    </xf>
    <xf numFmtId="0" fontId="34" fillId="0" borderId="0" xfId="0" applyFont="1" applyFill="1" applyBorder="1" applyAlignment="1">
      <alignment horizontal="justify" vertical="justify" wrapText="1"/>
    </xf>
    <xf numFmtId="0" fontId="34" fillId="0" borderId="5" xfId="0" applyFont="1" applyFill="1" applyBorder="1" applyAlignment="1">
      <alignment horizontal="justify" vertical="justify" wrapText="1"/>
    </xf>
    <xf numFmtId="0" fontId="31" fillId="0" borderId="4" xfId="0" applyFont="1" applyFill="1" applyBorder="1" applyAlignment="1">
      <alignment horizontal="justify" vertical="justify" wrapText="1"/>
    </xf>
    <xf numFmtId="0" fontId="31" fillId="0" borderId="0" xfId="0" applyFont="1" applyFill="1" applyBorder="1" applyAlignment="1">
      <alignment horizontal="justify" vertical="justify" wrapText="1"/>
    </xf>
    <xf numFmtId="0" fontId="31" fillId="0" borderId="5" xfId="0" applyFont="1" applyFill="1" applyBorder="1" applyAlignment="1">
      <alignment horizontal="justify" vertical="justify" wrapText="1"/>
    </xf>
    <xf numFmtId="0" fontId="31" fillId="4" borderId="0" xfId="0" applyFont="1" applyFill="1" applyAlignment="1">
      <alignment horizontal="left"/>
    </xf>
    <xf numFmtId="0" fontId="59" fillId="0" borderId="0" xfId="2" quotePrefix="1" applyFont="1" applyBorder="1" applyAlignment="1">
      <alignment horizontal="left"/>
    </xf>
    <xf numFmtId="0" fontId="0" fillId="2" borderId="0" xfId="0" applyFill="1" applyBorder="1" applyAlignment="1"/>
    <xf numFmtId="0" fontId="0" fillId="0" borderId="0" xfId="0" applyFill="1" applyAlignment="1">
      <alignment vertical="justify" wrapText="1"/>
    </xf>
    <xf numFmtId="0" fontId="0" fillId="2" borderId="5" xfId="0" applyFill="1" applyBorder="1" applyAlignment="1"/>
    <xf numFmtId="0" fontId="29" fillId="2" borderId="0" xfId="0" applyFont="1" applyFill="1" applyBorder="1"/>
    <xf numFmtId="0" fontId="30" fillId="2" borderId="4" xfId="0" applyFont="1" applyFill="1" applyBorder="1"/>
    <xf numFmtId="0" fontId="30" fillId="2" borderId="0" xfId="0" applyFont="1" applyFill="1" applyBorder="1"/>
    <xf numFmtId="41" fontId="52" fillId="2" borderId="0" xfId="4" applyFont="1" applyFill="1" applyBorder="1"/>
    <xf numFmtId="0" fontId="60" fillId="2" borderId="0" xfId="0" applyFont="1" applyFill="1" applyBorder="1"/>
    <xf numFmtId="0" fontId="61" fillId="2" borderId="0" xfId="0" applyFont="1" applyFill="1"/>
    <xf numFmtId="0" fontId="62" fillId="0" borderId="0" xfId="0" applyFont="1" applyAlignment="1">
      <alignment horizontal="justify" vertical="center"/>
    </xf>
    <xf numFmtId="0" fontId="44" fillId="5" borderId="0" xfId="0" applyFont="1" applyFill="1" applyAlignment="1"/>
    <xf numFmtId="0" fontId="44" fillId="0" borderId="0" xfId="0" applyFont="1" applyFill="1" applyAlignment="1"/>
    <xf numFmtId="0" fontId="62" fillId="0" borderId="0" xfId="0" applyFont="1" applyAlignment="1">
      <alignment vertical="center"/>
    </xf>
    <xf numFmtId="0" fontId="63" fillId="0" borderId="1" xfId="0" applyFont="1" applyBorder="1" applyAlignment="1">
      <alignment horizontal="justify" vertical="center" wrapText="1"/>
    </xf>
    <xf numFmtId="0" fontId="63" fillId="0" borderId="1" xfId="0" applyFont="1" applyBorder="1" applyAlignment="1">
      <alignment horizontal="center" vertical="center" wrapText="1"/>
    </xf>
    <xf numFmtId="0" fontId="63" fillId="0" borderId="1" xfId="0" applyFont="1" applyBorder="1" applyAlignment="1">
      <alignment horizontal="right" vertical="center" wrapText="1"/>
    </xf>
    <xf numFmtId="0" fontId="64" fillId="5" borderId="1" xfId="0" applyFont="1" applyFill="1" applyBorder="1" applyAlignment="1">
      <alignment horizontal="justify" vertical="center" wrapText="1"/>
    </xf>
    <xf numFmtId="0" fontId="65" fillId="5" borderId="1" xfId="0" applyFont="1" applyFill="1" applyBorder="1" applyAlignment="1">
      <alignment horizontal="right" vertical="center" wrapText="1"/>
    </xf>
    <xf numFmtId="0" fontId="65" fillId="5" borderId="1" xfId="0" applyFont="1" applyFill="1" applyBorder="1" applyAlignment="1">
      <alignment horizontal="center" vertical="center" wrapText="1"/>
    </xf>
    <xf numFmtId="0" fontId="63" fillId="2" borderId="0" xfId="0" applyFont="1" applyFill="1" applyAlignment="1">
      <alignment vertical="center" wrapText="1"/>
    </xf>
    <xf numFmtId="0" fontId="63" fillId="2" borderId="0" xfId="0" applyFont="1" applyFill="1" applyAlignment="1">
      <alignment vertical="center"/>
    </xf>
    <xf numFmtId="0" fontId="51" fillId="2" borderId="0" xfId="0" applyFont="1" applyFill="1" applyAlignment="1">
      <alignment vertical="center" wrapText="1"/>
    </xf>
    <xf numFmtId="0" fontId="53" fillId="3" borderId="0" xfId="0" applyFont="1" applyFill="1" applyAlignment="1">
      <alignment vertical="center" wrapText="1"/>
    </xf>
    <xf numFmtId="0" fontId="0" fillId="0" borderId="0" xfId="0"/>
    <xf numFmtId="0" fontId="58" fillId="3" borderId="0" xfId="0" applyFont="1" applyFill="1" applyAlignment="1">
      <alignment horizontal="center"/>
    </xf>
    <xf numFmtId="0" fontId="0" fillId="2" borderId="24" xfId="0" applyFill="1" applyBorder="1" applyAlignment="1">
      <alignment horizontal="center" vertical="center" wrapText="1"/>
    </xf>
    <xf numFmtId="0" fontId="0" fillId="0" borderId="0" xfId="0"/>
    <xf numFmtId="0" fontId="58" fillId="3" borderId="0" xfId="0" applyFont="1" applyFill="1" applyAlignment="1">
      <alignment horizontal="center"/>
    </xf>
    <xf numFmtId="0" fontId="32" fillId="2" borderId="0" xfId="0" applyFont="1" applyFill="1" applyAlignment="1">
      <alignment horizontal="center" vertical="center" wrapText="1"/>
    </xf>
    <xf numFmtId="0" fontId="30" fillId="2" borderId="0" xfId="0" applyFont="1" applyFill="1" applyAlignment="1">
      <alignment horizontal="center" vertical="center"/>
    </xf>
    <xf numFmtId="0" fontId="4" fillId="3" borderId="0" xfId="0" applyFont="1" applyFill="1" applyBorder="1" applyAlignment="1">
      <alignment vertical="center"/>
    </xf>
    <xf numFmtId="0" fontId="31" fillId="0" borderId="0" xfId="0" applyFont="1" applyBorder="1" applyAlignment="1"/>
    <xf numFmtId="168" fontId="1" fillId="3" borderId="0" xfId="3" applyNumberFormat="1" applyFont="1" applyFill="1" applyBorder="1"/>
    <xf numFmtId="0" fontId="54" fillId="5" borderId="0" xfId="3" applyNumberFormat="1" applyFont="1" applyFill="1" applyAlignment="1">
      <alignment horizontal="center"/>
    </xf>
    <xf numFmtId="0" fontId="0" fillId="2" borderId="24" xfId="0" applyFill="1" applyBorder="1" applyAlignment="1">
      <alignment vertical="center" wrapText="1"/>
    </xf>
    <xf numFmtId="0" fontId="0" fillId="2" borderId="1" xfId="0" applyFill="1" applyBorder="1" applyAlignment="1">
      <alignment vertical="center" wrapText="1"/>
    </xf>
    <xf numFmtId="0" fontId="51" fillId="2" borderId="0" xfId="0" applyFont="1" applyFill="1" applyAlignment="1">
      <alignment horizontal="center"/>
    </xf>
    <xf numFmtId="0" fontId="66" fillId="0" borderId="1" xfId="0" applyFont="1" applyBorder="1" applyAlignment="1">
      <alignment horizontal="center" vertical="center" wrapText="1"/>
    </xf>
    <xf numFmtId="0" fontId="0" fillId="0" borderId="0" xfId="0" applyAlignment="1">
      <alignment horizontal="center"/>
    </xf>
    <xf numFmtId="0" fontId="44" fillId="5" borderId="0" xfId="0" applyFont="1" applyFill="1" applyAlignment="1">
      <alignment vertical="center"/>
    </xf>
    <xf numFmtId="0" fontId="31" fillId="0" borderId="0" xfId="0" applyFont="1" applyAlignment="1"/>
    <xf numFmtId="0" fontId="4" fillId="3" borderId="3" xfId="29" applyFont="1" applyFill="1" applyBorder="1" applyAlignment="1">
      <alignment horizontal="center"/>
    </xf>
    <xf numFmtId="0" fontId="67" fillId="3" borderId="0" xfId="0" applyFont="1" applyFill="1"/>
    <xf numFmtId="0" fontId="1" fillId="3" borderId="0" xfId="29" applyFont="1" applyFill="1" applyAlignment="1">
      <alignment horizontal="center"/>
    </xf>
    <xf numFmtId="0" fontId="35" fillId="0" borderId="0" xfId="0" applyFont="1" applyAlignment="1">
      <alignment horizontal="center" vertical="center"/>
    </xf>
    <xf numFmtId="0" fontId="31" fillId="0" borderId="25" xfId="0" applyFont="1" applyBorder="1"/>
    <xf numFmtId="0" fontId="4" fillId="3" borderId="8" xfId="0" applyFont="1" applyFill="1" applyBorder="1" applyAlignment="1">
      <alignment horizontal="center" vertical="center"/>
    </xf>
    <xf numFmtId="0" fontId="4" fillId="3" borderId="4" xfId="0" applyFont="1" applyFill="1" applyBorder="1" applyAlignment="1">
      <alignment vertical="center"/>
    </xf>
    <xf numFmtId="0" fontId="31" fillId="0" borderId="4" xfId="0" applyFont="1" applyBorder="1"/>
    <xf numFmtId="0" fontId="31" fillId="0" borderId="26" xfId="0" applyFont="1" applyBorder="1"/>
    <xf numFmtId="0" fontId="32" fillId="0" borderId="24" xfId="0" applyFont="1" applyBorder="1" applyAlignment="1">
      <alignment horizontal="center" vertical="center"/>
    </xf>
    <xf numFmtId="0" fontId="32" fillId="0" borderId="9" xfId="0" applyFont="1" applyBorder="1" applyAlignment="1">
      <alignment horizontal="center" vertical="center"/>
    </xf>
    <xf numFmtId="0" fontId="27" fillId="0" borderId="9" xfId="2" applyBorder="1" applyAlignment="1">
      <alignment horizontal="center"/>
    </xf>
    <xf numFmtId="0" fontId="27" fillId="0" borderId="9" xfId="2" quotePrefix="1" applyBorder="1" applyAlignment="1">
      <alignment horizontal="center"/>
    </xf>
    <xf numFmtId="0" fontId="59" fillId="0" borderId="9" xfId="2" quotePrefix="1" applyFont="1" applyBorder="1" applyAlignment="1">
      <alignment horizontal="center"/>
    </xf>
    <xf numFmtId="1" fontId="54" fillId="5" borderId="0" xfId="3" applyNumberFormat="1" applyFont="1" applyFill="1" applyAlignment="1">
      <alignment horizontal="center"/>
    </xf>
    <xf numFmtId="166" fontId="27" fillId="0" borderId="0" xfId="2" applyNumberFormat="1" applyAlignment="1">
      <alignment horizontal="center" vertical="center"/>
    </xf>
    <xf numFmtId="0" fontId="68" fillId="5" borderId="0" xfId="0" applyFont="1" applyFill="1" applyAlignment="1">
      <alignment vertical="center"/>
    </xf>
    <xf numFmtId="0" fontId="69" fillId="0" borderId="0" xfId="0" applyFont="1"/>
    <xf numFmtId="0" fontId="67" fillId="2" borderId="0" xfId="0" applyFont="1" applyFill="1" applyAlignment="1">
      <alignment horizontal="left" vertical="top" wrapText="1"/>
    </xf>
    <xf numFmtId="0" fontId="0" fillId="0" borderId="3" xfId="0" applyBorder="1"/>
    <xf numFmtId="0" fontId="0" fillId="0" borderId="3" xfId="0" applyBorder="1" applyAlignment="1">
      <alignment horizontal="center"/>
    </xf>
    <xf numFmtId="0" fontId="0" fillId="2" borderId="0" xfId="0" applyFont="1" applyFill="1" applyAlignment="1">
      <alignment horizontal="left" vertical="center"/>
    </xf>
    <xf numFmtId="0" fontId="0" fillId="2" borderId="0" xfId="0" applyFont="1" applyFill="1"/>
    <xf numFmtId="0" fontId="30" fillId="2" borderId="3" xfId="0" applyFont="1" applyFill="1" applyBorder="1"/>
    <xf numFmtId="0" fontId="0" fillId="0" borderId="0" xfId="0"/>
    <xf numFmtId="0" fontId="60" fillId="2" borderId="0" xfId="0" applyFont="1" applyFill="1" applyAlignment="1">
      <alignment horizontal="center"/>
    </xf>
    <xf numFmtId="0" fontId="44" fillId="5" borderId="25" xfId="0" applyFont="1" applyFill="1" applyBorder="1" applyAlignment="1">
      <alignment vertical="center"/>
    </xf>
    <xf numFmtId="0" fontId="44" fillId="5" borderId="8" xfId="0" applyFont="1" applyFill="1" applyBorder="1" applyAlignment="1">
      <alignment vertical="center"/>
    </xf>
    <xf numFmtId="0" fontId="44" fillId="5" borderId="27" xfId="0" applyFont="1" applyFill="1" applyBorder="1" applyAlignment="1">
      <alignment vertical="center"/>
    </xf>
    <xf numFmtId="0" fontId="44" fillId="5" borderId="0" xfId="0" applyFont="1" applyFill="1" applyBorder="1" applyAlignment="1">
      <alignment vertical="center"/>
    </xf>
    <xf numFmtId="0" fontId="32" fillId="0" borderId="0" xfId="0" applyFont="1" applyBorder="1" applyAlignment="1">
      <alignment vertical="center"/>
    </xf>
    <xf numFmtId="0" fontId="0" fillId="0" borderId="0" xfId="0"/>
    <xf numFmtId="0" fontId="44" fillId="5" borderId="0" xfId="0" applyFont="1" applyFill="1" applyAlignment="1">
      <alignment horizontal="center" vertical="center" wrapText="1"/>
    </xf>
    <xf numFmtId="0" fontId="44" fillId="5" borderId="0" xfId="0" applyFont="1" applyFill="1" applyBorder="1" applyAlignment="1">
      <alignment horizontal="left" vertical="center"/>
    </xf>
    <xf numFmtId="0" fontId="63" fillId="0" borderId="1" xfId="0" applyFont="1" applyBorder="1" applyAlignment="1">
      <alignment horizontal="justify" vertical="center" wrapText="1"/>
    </xf>
    <xf numFmtId="0" fontId="69" fillId="3" borderId="0" xfId="0" applyFont="1" applyFill="1"/>
    <xf numFmtId="0" fontId="69" fillId="0" borderId="0" xfId="0" applyFont="1" applyBorder="1"/>
    <xf numFmtId="3" fontId="31" fillId="0" borderId="0" xfId="4" applyNumberFormat="1" applyFont="1" applyFill="1" applyAlignment="1">
      <alignment horizontal="center"/>
    </xf>
    <xf numFmtId="3" fontId="31" fillId="0" borderId="0" xfId="3" applyNumberFormat="1" applyFont="1" applyFill="1" applyAlignment="1">
      <alignment horizontal="center"/>
    </xf>
    <xf numFmtId="3" fontId="31" fillId="0" borderId="0" xfId="0" applyNumberFormat="1" applyFont="1" applyFill="1" applyAlignment="1">
      <alignment horizontal="center"/>
    </xf>
    <xf numFmtId="3" fontId="4" fillId="0" borderId="0" xfId="0" applyNumberFormat="1" applyFont="1" applyFill="1" applyAlignment="1">
      <alignment horizontal="center"/>
    </xf>
    <xf numFmtId="3" fontId="32" fillId="0" borderId="0" xfId="3" applyNumberFormat="1" applyFont="1" applyFill="1" applyAlignment="1">
      <alignment horizontal="center"/>
    </xf>
    <xf numFmtId="3" fontId="4" fillId="0" borderId="0" xfId="3" applyNumberFormat="1" applyFont="1" applyFill="1" applyAlignment="1">
      <alignment horizontal="center"/>
    </xf>
    <xf numFmtId="0" fontId="51" fillId="2" borderId="0" xfId="0" applyFont="1" applyFill="1" applyBorder="1"/>
    <xf numFmtId="0" fontId="11" fillId="2" borderId="0" xfId="0" applyFont="1" applyFill="1" applyBorder="1" applyAlignment="1">
      <alignment vertical="center" wrapText="1"/>
    </xf>
    <xf numFmtId="0" fontId="11" fillId="2" borderId="0" xfId="0" applyFont="1" applyFill="1" applyBorder="1" applyAlignment="1">
      <alignment horizontal="center" vertical="center" wrapText="1"/>
    </xf>
    <xf numFmtId="0" fontId="14" fillId="0" borderId="28" xfId="0" applyFont="1" applyBorder="1" applyAlignment="1">
      <alignment vertical="center" wrapText="1"/>
    </xf>
    <xf numFmtId="9" fontId="56" fillId="2" borderId="0" xfId="95" applyFont="1" applyFill="1" applyBorder="1" applyAlignment="1"/>
    <xf numFmtId="168" fontId="33" fillId="2" borderId="0" xfId="7" applyNumberFormat="1" applyFont="1" applyFill="1" applyBorder="1" applyAlignment="1">
      <alignment horizontal="center"/>
    </xf>
    <xf numFmtId="0" fontId="56" fillId="2" borderId="0" xfId="0" applyFont="1" applyFill="1" applyBorder="1" applyAlignment="1"/>
    <xf numFmtId="0" fontId="70" fillId="2" borderId="0" xfId="0" applyFont="1" applyFill="1" applyBorder="1"/>
    <xf numFmtId="0" fontId="29" fillId="2" borderId="0" xfId="0" applyFont="1" applyFill="1" applyAlignment="1">
      <alignment wrapText="1"/>
    </xf>
    <xf numFmtId="0" fontId="53" fillId="2" borderId="0" xfId="0" applyFont="1" applyFill="1" applyAlignment="1">
      <alignment wrapText="1"/>
    </xf>
    <xf numFmtId="0" fontId="51" fillId="2" borderId="0" xfId="0" applyFont="1" applyFill="1" applyAlignment="1">
      <alignment horizontal="center" wrapText="1"/>
    </xf>
    <xf numFmtId="3" fontId="51" fillId="2" borderId="0" xfId="0" applyNumberFormat="1" applyFont="1" applyFill="1" applyAlignment="1">
      <alignment horizontal="center"/>
    </xf>
    <xf numFmtId="0" fontId="52" fillId="2" borderId="0" xfId="0" applyFont="1" applyFill="1" applyAlignment="1">
      <alignment wrapText="1"/>
    </xf>
    <xf numFmtId="0" fontId="52" fillId="2" borderId="0" xfId="0" applyFont="1" applyFill="1" applyAlignment="1">
      <alignment horizontal="center" wrapText="1"/>
    </xf>
    <xf numFmtId="0" fontId="9" fillId="0" borderId="0" xfId="0" applyFont="1" applyAlignment="1"/>
    <xf numFmtId="168" fontId="68" fillId="0" borderId="0" xfId="3" applyNumberFormat="1" applyFont="1" applyFill="1" applyBorder="1"/>
    <xf numFmtId="0" fontId="71" fillId="0" borderId="0" xfId="0" applyFont="1"/>
    <xf numFmtId="0" fontId="31" fillId="3" borderId="2" xfId="0" applyFont="1" applyFill="1" applyBorder="1" applyAlignment="1"/>
    <xf numFmtId="0" fontId="31" fillId="3" borderId="7" xfId="0" applyFont="1" applyFill="1" applyBorder="1" applyAlignment="1"/>
    <xf numFmtId="0" fontId="31" fillId="3" borderId="29" xfId="0" applyFont="1" applyFill="1" applyBorder="1" applyAlignment="1"/>
    <xf numFmtId="0" fontId="32" fillId="3" borderId="25" xfId="0" applyFont="1" applyFill="1" applyBorder="1" applyAlignment="1">
      <alignment vertical="center"/>
    </xf>
    <xf numFmtId="0" fontId="32" fillId="3" borderId="2" xfId="0" applyFont="1" applyFill="1" applyBorder="1" applyAlignment="1">
      <alignment vertical="center"/>
    </xf>
    <xf numFmtId="14" fontId="32" fillId="3" borderId="29" xfId="0" applyNumberFormat="1" applyFont="1" applyFill="1" applyBorder="1" applyAlignment="1">
      <alignment vertical="center"/>
    </xf>
    <xf numFmtId="0" fontId="31" fillId="3" borderId="8" xfId="0" applyFont="1" applyFill="1" applyBorder="1"/>
    <xf numFmtId="0" fontId="31" fillId="0" borderId="0" xfId="0" applyFont="1" applyFill="1" applyBorder="1" applyAlignment="1"/>
    <xf numFmtId="0" fontId="31" fillId="0" borderId="1" xfId="0" applyFont="1" applyFill="1" applyBorder="1" applyAlignment="1">
      <alignment horizontal="center"/>
    </xf>
    <xf numFmtId="167" fontId="31" fillId="0" borderId="30" xfId="3" applyNumberFormat="1" applyFont="1" applyFill="1" applyBorder="1"/>
    <xf numFmtId="167" fontId="31" fillId="3" borderId="29" xfId="3" applyNumberFormat="1" applyFont="1" applyFill="1" applyBorder="1"/>
    <xf numFmtId="0" fontId="31" fillId="3" borderId="1" xfId="0" applyFont="1" applyFill="1" applyBorder="1" applyAlignment="1">
      <alignment wrapText="1"/>
    </xf>
    <xf numFmtId="167" fontId="31" fillId="3" borderId="6" xfId="3" applyNumberFormat="1" applyFont="1" applyFill="1" applyBorder="1"/>
    <xf numFmtId="0" fontId="1" fillId="3" borderId="1" xfId="0" applyFont="1" applyFill="1" applyBorder="1"/>
    <xf numFmtId="0" fontId="1" fillId="3" borderId="1" xfId="0" applyFont="1" applyFill="1" applyBorder="1" applyAlignment="1">
      <alignment wrapText="1"/>
    </xf>
    <xf numFmtId="167" fontId="31" fillId="3" borderId="2" xfId="3" applyNumberFormat="1" applyFont="1" applyFill="1" applyBorder="1" applyAlignment="1">
      <alignment vertical="center"/>
    </xf>
    <xf numFmtId="9" fontId="31" fillId="0" borderId="29" xfId="95" applyFont="1" applyFill="1" applyBorder="1" applyAlignment="1">
      <alignment horizontal="center"/>
    </xf>
    <xf numFmtId="0" fontId="67" fillId="3" borderId="2" xfId="0" applyFont="1" applyFill="1" applyBorder="1"/>
    <xf numFmtId="0" fontId="32" fillId="3" borderId="0" xfId="0" applyFont="1" applyFill="1" applyBorder="1" applyAlignment="1">
      <alignment vertical="center"/>
    </xf>
    <xf numFmtId="0" fontId="44" fillId="0" borderId="0" xfId="0" applyFont="1" applyFill="1" applyBorder="1" applyAlignment="1">
      <alignment vertical="center"/>
    </xf>
    <xf numFmtId="0" fontId="44" fillId="5" borderId="1" xfId="0" applyFont="1" applyFill="1" applyBorder="1" applyAlignment="1">
      <alignment horizontal="center" vertical="center"/>
    </xf>
    <xf numFmtId="0" fontId="0" fillId="0" borderId="0" xfId="0"/>
    <xf numFmtId="0" fontId="44" fillId="5" borderId="3" xfId="29" quotePrefix="1" applyNumberFormat="1" applyFont="1" applyFill="1" applyBorder="1" applyAlignment="1">
      <alignment horizontal="center"/>
    </xf>
    <xf numFmtId="0" fontId="44" fillId="5" borderId="0" xfId="0" applyFont="1" applyFill="1" applyBorder="1" applyAlignment="1">
      <alignment horizontal="center" vertical="center"/>
    </xf>
    <xf numFmtId="0" fontId="60" fillId="3" borderId="0" xfId="0" applyFont="1" applyFill="1" applyAlignment="1"/>
    <xf numFmtId="0" fontId="26" fillId="5" borderId="0" xfId="0" applyFont="1" applyFill="1" applyAlignment="1">
      <alignment horizontal="center"/>
    </xf>
    <xf numFmtId="0" fontId="26" fillId="5" borderId="0" xfId="0" applyFont="1" applyFill="1" applyAlignment="1">
      <alignment horizontal="center" vertical="center"/>
    </xf>
    <xf numFmtId="0" fontId="26" fillId="5" borderId="0" xfId="0" applyFont="1" applyFill="1" applyAlignment="1">
      <alignment vertical="center"/>
    </xf>
    <xf numFmtId="0" fontId="60" fillId="2" borderId="2" xfId="0" applyFont="1" applyFill="1" applyBorder="1" applyAlignment="1"/>
    <xf numFmtId="0" fontId="60" fillId="2" borderId="29" xfId="0" applyFont="1" applyFill="1" applyBorder="1" applyAlignment="1"/>
    <xf numFmtId="0" fontId="44" fillId="5" borderId="3" xfId="29" quotePrefix="1" applyNumberFormat="1" applyFont="1" applyFill="1" applyBorder="1" applyAlignment="1">
      <alignment horizontal="right"/>
    </xf>
    <xf numFmtId="0" fontId="72" fillId="8" borderId="57" xfId="17" applyFont="1" applyFill="1" applyBorder="1" applyAlignment="1">
      <alignment vertical="center"/>
    </xf>
    <xf numFmtId="0" fontId="11" fillId="8" borderId="57" xfId="17" applyFont="1" applyFill="1" applyBorder="1" applyAlignment="1">
      <alignment vertical="center"/>
    </xf>
    <xf numFmtId="0" fontId="72" fillId="9" borderId="58" xfId="17" applyFont="1" applyFill="1" applyBorder="1" applyAlignment="1">
      <alignment horizontal="center" vertical="center" wrapText="1"/>
    </xf>
    <xf numFmtId="0" fontId="72" fillId="9" borderId="59" xfId="17" applyFont="1" applyFill="1" applyBorder="1" applyAlignment="1">
      <alignment horizontal="center" vertical="center" wrapText="1"/>
    </xf>
    <xf numFmtId="0" fontId="72" fillId="9" borderId="60" xfId="17" applyFont="1" applyFill="1" applyBorder="1" applyAlignment="1">
      <alignment horizontal="center" vertical="center"/>
    </xf>
    <xf numFmtId="0" fontId="72" fillId="9" borderId="61" xfId="17" applyFont="1" applyFill="1" applyBorder="1" applyAlignment="1">
      <alignment vertical="center"/>
    </xf>
    <xf numFmtId="0" fontId="72" fillId="9" borderId="61" xfId="17" applyFont="1" applyFill="1" applyBorder="1" applyAlignment="1">
      <alignment vertical="center" wrapText="1"/>
    </xf>
    <xf numFmtId="0" fontId="72" fillId="9" borderId="62" xfId="17" applyFont="1" applyFill="1" applyBorder="1" applyAlignment="1">
      <alignment horizontal="center" vertical="center" wrapText="1"/>
    </xf>
    <xf numFmtId="0" fontId="44" fillId="5" borderId="63" xfId="29" quotePrefix="1" applyNumberFormat="1" applyFont="1" applyFill="1" applyBorder="1" applyAlignment="1">
      <alignment horizontal="center"/>
    </xf>
    <xf numFmtId="0" fontId="44" fillId="5" borderId="64" xfId="29" quotePrefix="1" applyNumberFormat="1" applyFont="1" applyFill="1" applyBorder="1" applyAlignment="1">
      <alignment horizontal="center"/>
    </xf>
    <xf numFmtId="0" fontId="44" fillId="5" borderId="3" xfId="29" applyFont="1" applyFill="1" applyBorder="1" applyAlignment="1">
      <alignment horizontal="center"/>
    </xf>
    <xf numFmtId="0" fontId="26" fillId="5" borderId="3" xfId="0" applyFont="1" applyFill="1" applyBorder="1" applyAlignment="1">
      <alignment horizontal="center" vertical="center"/>
    </xf>
    <xf numFmtId="0" fontId="26" fillId="5" borderId="0" xfId="0" applyFont="1" applyFill="1" applyAlignment="1"/>
    <xf numFmtId="0" fontId="44" fillId="0" borderId="0" xfId="0" applyFont="1" applyFill="1" applyAlignment="1">
      <alignment vertical="center" wrapText="1"/>
    </xf>
    <xf numFmtId="0" fontId="73" fillId="5" borderId="65" xfId="0" applyFont="1" applyFill="1" applyBorder="1" applyAlignment="1">
      <alignment horizontal="center" vertical="center" wrapText="1"/>
    </xf>
    <xf numFmtId="0" fontId="26" fillId="5" borderId="66" xfId="0" applyFont="1" applyFill="1" applyBorder="1"/>
    <xf numFmtId="0" fontId="73" fillId="5" borderId="67" xfId="0" applyFont="1" applyFill="1" applyBorder="1" applyAlignment="1">
      <alignment horizontal="center" vertical="center" wrapText="1"/>
    </xf>
    <xf numFmtId="0" fontId="73" fillId="5" borderId="68" xfId="0" applyFont="1" applyFill="1" applyBorder="1" applyAlignment="1">
      <alignment vertical="center" wrapText="1"/>
    </xf>
    <xf numFmtId="0" fontId="73" fillId="5" borderId="67" xfId="0" applyFont="1" applyFill="1" applyBorder="1" applyAlignment="1">
      <alignment vertical="center" wrapText="1"/>
    </xf>
    <xf numFmtId="0" fontId="26" fillId="5" borderId="69" xfId="0" applyFont="1" applyFill="1" applyBorder="1"/>
    <xf numFmtId="0" fontId="48" fillId="2" borderId="0" xfId="0" applyFont="1" applyFill="1" applyBorder="1" applyAlignment="1">
      <alignment horizontal="center"/>
    </xf>
    <xf numFmtId="0" fontId="44" fillId="5" borderId="0" xfId="0" applyFont="1" applyFill="1" applyBorder="1" applyAlignment="1"/>
    <xf numFmtId="9" fontId="70" fillId="2" borderId="0" xfId="95" applyFont="1" applyFill="1" applyBorder="1" applyAlignment="1"/>
    <xf numFmtId="0" fontId="51" fillId="2" borderId="31" xfId="0" applyFont="1" applyFill="1" applyBorder="1" applyAlignment="1"/>
    <xf numFmtId="0" fontId="4" fillId="0" borderId="0" xfId="0" applyFont="1" applyFill="1" applyAlignment="1"/>
    <xf numFmtId="0" fontId="68" fillId="5" borderId="0" xfId="0" applyFont="1" applyFill="1"/>
    <xf numFmtId="168" fontId="68" fillId="5" borderId="0" xfId="3" applyNumberFormat="1" applyFont="1" applyFill="1" applyBorder="1"/>
    <xf numFmtId="0" fontId="31" fillId="0" borderId="0" xfId="0" applyFont="1" applyFill="1" applyAlignment="1">
      <alignment horizontal="center"/>
    </xf>
    <xf numFmtId="0" fontId="27" fillId="0" borderId="0" xfId="2" applyAlignment="1">
      <alignment horizontal="right"/>
    </xf>
    <xf numFmtId="0" fontId="31" fillId="0" borderId="0" xfId="0" applyFont="1" applyAlignment="1">
      <alignment horizontal="justify" vertical="center"/>
    </xf>
    <xf numFmtId="0" fontId="74" fillId="10" borderId="0" xfId="0" applyFont="1" applyFill="1" applyBorder="1"/>
    <xf numFmtId="0" fontId="74" fillId="10" borderId="9" xfId="0" applyFont="1" applyFill="1" applyBorder="1"/>
    <xf numFmtId="0" fontId="74" fillId="10" borderId="1" xfId="0" applyFont="1" applyFill="1" applyBorder="1" applyAlignment="1">
      <alignment horizontal="center"/>
    </xf>
    <xf numFmtId="0" fontId="75" fillId="10" borderId="1" xfId="0" applyFont="1" applyFill="1" applyBorder="1"/>
    <xf numFmtId="0" fontId="74" fillId="10" borderId="1" xfId="0" applyFont="1" applyFill="1" applyBorder="1"/>
    <xf numFmtId="0" fontId="16" fillId="10" borderId="0" xfId="0" applyFont="1" applyFill="1" applyBorder="1"/>
    <xf numFmtId="0" fontId="17" fillId="10" borderId="30" xfId="0" applyFont="1" applyFill="1" applyBorder="1"/>
    <xf numFmtId="0" fontId="17" fillId="10" borderId="1" xfId="0" applyFont="1" applyFill="1" applyBorder="1"/>
    <xf numFmtId="0" fontId="16" fillId="10" borderId="1" xfId="0" applyFont="1" applyFill="1" applyBorder="1"/>
    <xf numFmtId="0" fontId="76" fillId="10" borderId="0" xfId="0" applyFont="1" applyFill="1" applyBorder="1"/>
    <xf numFmtId="0" fontId="77" fillId="11" borderId="0" xfId="0" applyFont="1" applyFill="1" applyBorder="1" applyAlignment="1"/>
    <xf numFmtId="0" fontId="77" fillId="8" borderId="0" xfId="0" applyFont="1" applyFill="1" applyBorder="1" applyAlignment="1"/>
    <xf numFmtId="0" fontId="27" fillId="0" borderId="0" xfId="2" applyAlignment="1">
      <alignment horizontal="center" vertical="center"/>
    </xf>
    <xf numFmtId="0" fontId="27" fillId="0" borderId="30" xfId="2" applyBorder="1" applyAlignment="1">
      <alignment horizontal="center" vertical="center"/>
    </xf>
    <xf numFmtId="0" fontId="36" fillId="0" borderId="0" xfId="0" applyFont="1" applyFill="1"/>
    <xf numFmtId="14" fontId="37" fillId="6" borderId="0" xfId="0" applyNumberFormat="1" applyFont="1" applyFill="1"/>
    <xf numFmtId="0" fontId="32" fillId="0" borderId="0" xfId="0" applyFont="1" applyAlignment="1">
      <alignment horizontal="right"/>
    </xf>
    <xf numFmtId="0" fontId="31" fillId="0" borderId="3" xfId="0" applyFont="1" applyBorder="1"/>
    <xf numFmtId="0" fontId="0" fillId="2" borderId="0" xfId="0" applyFill="1" applyAlignment="1">
      <alignment horizontal="center"/>
    </xf>
    <xf numFmtId="0" fontId="58" fillId="3" borderId="0" xfId="0" applyFont="1" applyFill="1" applyAlignment="1">
      <alignment horizontal="center"/>
    </xf>
    <xf numFmtId="0" fontId="37" fillId="6" borderId="0" xfId="0" applyFont="1" applyFill="1" applyAlignment="1">
      <alignment horizontal="center"/>
    </xf>
    <xf numFmtId="0" fontId="0" fillId="0" borderId="0" xfId="0"/>
    <xf numFmtId="0" fontId="36" fillId="0" borderId="0" xfId="0" applyFont="1"/>
    <xf numFmtId="0" fontId="36" fillId="0" borderId="0" xfId="0" applyFont="1" applyBorder="1"/>
    <xf numFmtId="3" fontId="0" fillId="0" borderId="0" xfId="0" applyNumberFormat="1"/>
    <xf numFmtId="0" fontId="31" fillId="0" borderId="0" xfId="0" applyFont="1" applyBorder="1" applyAlignment="1">
      <alignment vertical="justify" wrapText="1"/>
    </xf>
    <xf numFmtId="3" fontId="36" fillId="0" borderId="0" xfId="0" applyNumberFormat="1" applyFont="1" applyBorder="1" applyAlignment="1">
      <alignment horizontal="center" vertical="center"/>
    </xf>
    <xf numFmtId="3" fontId="31" fillId="3" borderId="1" xfId="0" applyNumberFormat="1" applyFont="1" applyFill="1" applyBorder="1" applyAlignment="1">
      <alignment horizontal="center"/>
    </xf>
    <xf numFmtId="3" fontId="32" fillId="3" borderId="1" xfId="0" applyNumberFormat="1" applyFont="1" applyFill="1" applyBorder="1" applyAlignment="1">
      <alignment horizontal="center"/>
    </xf>
    <xf numFmtId="3" fontId="0" fillId="0" borderId="0" xfId="0" applyNumberFormat="1" applyAlignment="1">
      <alignment horizontal="center"/>
    </xf>
    <xf numFmtId="3" fontId="31" fillId="3" borderId="0" xfId="0" applyNumberFormat="1" applyFont="1" applyFill="1" applyAlignment="1">
      <alignment horizontal="center"/>
    </xf>
    <xf numFmtId="0" fontId="34" fillId="0" borderId="0" xfId="0" applyFont="1" applyAlignment="1">
      <alignment vertical="center"/>
    </xf>
    <xf numFmtId="3" fontId="1" fillId="3" borderId="0" xfId="29" quotePrefix="1" applyNumberFormat="1" applyFont="1" applyFill="1" applyBorder="1" applyAlignment="1">
      <alignment horizontal="center"/>
    </xf>
    <xf numFmtId="3" fontId="4" fillId="3" borderId="32" xfId="3" applyNumberFormat="1" applyFont="1" applyFill="1" applyBorder="1" applyAlignment="1">
      <alignment horizontal="center"/>
    </xf>
    <xf numFmtId="3" fontId="1" fillId="3" borderId="0" xfId="6" applyNumberFormat="1" applyFont="1" applyFill="1" applyAlignment="1">
      <alignment horizontal="center"/>
    </xf>
    <xf numFmtId="3" fontId="1" fillId="3" borderId="0" xfId="6" applyNumberFormat="1" applyFont="1" applyFill="1" applyBorder="1" applyAlignment="1">
      <alignment horizontal="center"/>
    </xf>
    <xf numFmtId="3" fontId="1" fillId="3" borderId="0" xfId="3" applyNumberFormat="1" applyFont="1" applyFill="1" applyBorder="1" applyAlignment="1">
      <alignment horizontal="center"/>
    </xf>
    <xf numFmtId="173" fontId="4" fillId="3" borderId="0" xfId="10" applyNumberFormat="1" applyFont="1" applyFill="1" applyBorder="1" applyAlignment="1">
      <alignment horizontal="center"/>
    </xf>
    <xf numFmtId="0" fontId="20" fillId="0" borderId="1" xfId="93" applyFont="1" applyBorder="1"/>
    <xf numFmtId="3" fontId="31" fillId="2" borderId="0" xfId="0" applyNumberFormat="1" applyFont="1" applyFill="1" applyAlignment="1">
      <alignment horizontal="center" vertical="top" wrapText="1"/>
    </xf>
    <xf numFmtId="3" fontId="0" fillId="2" borderId="0" xfId="0" applyNumberFormat="1" applyFill="1" applyAlignment="1">
      <alignment horizontal="center"/>
    </xf>
    <xf numFmtId="173" fontId="25" fillId="2" borderId="8" xfId="4" applyNumberFormat="1" applyFont="1" applyFill="1" applyBorder="1" applyAlignment="1">
      <alignment horizontal="center"/>
    </xf>
    <xf numFmtId="3" fontId="0" fillId="2" borderId="0" xfId="0" applyNumberFormat="1" applyFill="1"/>
    <xf numFmtId="3" fontId="1" fillId="3" borderId="0" xfId="3" applyNumberFormat="1" applyFont="1" applyFill="1" applyAlignment="1">
      <alignment horizontal="center"/>
    </xf>
    <xf numFmtId="3" fontId="31" fillId="3" borderId="0" xfId="4" applyNumberFormat="1" applyFont="1" applyFill="1" applyAlignment="1">
      <alignment horizontal="center"/>
    </xf>
    <xf numFmtId="3" fontId="32" fillId="3" borderId="32" xfId="0" applyNumberFormat="1" applyFont="1" applyFill="1" applyBorder="1" applyAlignment="1">
      <alignment horizontal="center"/>
    </xf>
    <xf numFmtId="3" fontId="4" fillId="3" borderId="32" xfId="30" applyNumberFormat="1" applyFont="1" applyFill="1" applyBorder="1" applyAlignment="1">
      <alignment horizontal="center"/>
    </xf>
    <xf numFmtId="3" fontId="25" fillId="2" borderId="8" xfId="4" applyNumberFormat="1" applyFont="1" applyFill="1" applyBorder="1" applyAlignment="1">
      <alignment horizontal="center"/>
    </xf>
    <xf numFmtId="14" fontId="0" fillId="0" borderId="0" xfId="0" applyNumberFormat="1" applyAlignment="1">
      <alignment horizontal="center"/>
    </xf>
    <xf numFmtId="14" fontId="0" fillId="0" borderId="0" xfId="0" applyNumberFormat="1" applyFont="1" applyBorder="1" applyAlignment="1">
      <alignment horizontal="center" vertical="center"/>
    </xf>
    <xf numFmtId="14" fontId="0" fillId="0" borderId="0" xfId="0" applyNumberFormat="1" applyFont="1" applyAlignment="1">
      <alignment horizontal="center"/>
    </xf>
    <xf numFmtId="0" fontId="68" fillId="5" borderId="0" xfId="0" applyFont="1" applyFill="1" applyAlignment="1">
      <alignment horizontal="center" vertical="center"/>
    </xf>
    <xf numFmtId="3" fontId="0" fillId="0" borderId="0" xfId="0" applyNumberFormat="1" applyFont="1" applyBorder="1" applyAlignment="1">
      <alignment horizontal="center"/>
    </xf>
    <xf numFmtId="3" fontId="0" fillId="0" borderId="0" xfId="0" applyNumberFormat="1" applyFont="1" applyAlignment="1">
      <alignment horizontal="center"/>
    </xf>
    <xf numFmtId="3" fontId="30" fillId="0" borderId="0" xfId="0" applyNumberFormat="1" applyFont="1" applyAlignment="1">
      <alignment horizontal="center"/>
    </xf>
    <xf numFmtId="14" fontId="0" fillId="0" borderId="0" xfId="0" quotePrefix="1" applyNumberFormat="1" applyAlignment="1">
      <alignment horizontal="center"/>
    </xf>
    <xf numFmtId="14" fontId="0" fillId="0" borderId="0" xfId="0" applyNumberFormat="1" applyFont="1" applyFill="1" applyBorder="1" applyAlignment="1">
      <alignment horizontal="center" vertical="center"/>
    </xf>
    <xf numFmtId="3" fontId="0" fillId="0" borderId="0" xfId="0" applyNumberFormat="1" applyFont="1" applyFill="1" applyBorder="1" applyAlignment="1">
      <alignment horizontal="center"/>
    </xf>
    <xf numFmtId="166" fontId="35" fillId="0" borderId="0" xfId="0" applyNumberFormat="1" applyFont="1" applyFill="1"/>
    <xf numFmtId="3" fontId="3" fillId="2" borderId="9" xfId="12" applyNumberFormat="1" applyFont="1" applyFill="1" applyBorder="1" applyAlignment="1">
      <alignment horizontal="center"/>
    </xf>
    <xf numFmtId="3" fontId="3" fillId="2" borderId="9" xfId="12" applyNumberFormat="1" applyFont="1" applyFill="1" applyBorder="1"/>
    <xf numFmtId="3" fontId="11" fillId="2" borderId="9" xfId="12" applyNumberFormat="1" applyFont="1" applyFill="1" applyBorder="1"/>
    <xf numFmtId="3" fontId="11" fillId="2" borderId="5" xfId="12" applyNumberFormat="1" applyFont="1" applyFill="1" applyBorder="1"/>
    <xf numFmtId="3" fontId="3" fillId="2" borderId="5" xfId="12" applyNumberFormat="1" applyFont="1" applyFill="1" applyBorder="1"/>
    <xf numFmtId="3" fontId="11" fillId="2" borderId="9" xfId="12" quotePrefix="1" applyNumberFormat="1" applyFont="1" applyFill="1" applyBorder="1"/>
    <xf numFmtId="3" fontId="11" fillId="2" borderId="9" xfId="12" applyNumberFormat="1" applyFont="1" applyFill="1" applyBorder="1" applyAlignment="1">
      <alignment horizontal="center"/>
    </xf>
    <xf numFmtId="3" fontId="3" fillId="2" borderId="4" xfId="12" applyNumberFormat="1" applyFont="1" applyFill="1" applyBorder="1" applyAlignment="1">
      <alignment horizontal="center"/>
    </xf>
    <xf numFmtId="3" fontId="11" fillId="2" borderId="4" xfId="12" applyNumberFormat="1" applyFont="1" applyFill="1" applyBorder="1" applyAlignment="1">
      <alignment horizontal="center"/>
    </xf>
    <xf numFmtId="173" fontId="9" fillId="3" borderId="32" xfId="8" applyNumberFormat="1" applyFont="1" applyFill="1" applyBorder="1" applyAlignment="1">
      <alignment horizontal="center"/>
    </xf>
    <xf numFmtId="3" fontId="31" fillId="0" borderId="0" xfId="0" applyNumberFormat="1" applyFont="1" applyFill="1" applyBorder="1"/>
    <xf numFmtId="3" fontId="31" fillId="0" borderId="0" xfId="0" applyNumberFormat="1" applyFont="1" applyFill="1" applyBorder="1" applyAlignment="1">
      <alignment horizontal="center"/>
    </xf>
    <xf numFmtId="0" fontId="0" fillId="0" borderId="0" xfId="0" applyFill="1" applyBorder="1" applyAlignment="1">
      <alignment horizontal="center"/>
    </xf>
    <xf numFmtId="0" fontId="0" fillId="0" borderId="0" xfId="0" applyFill="1" applyBorder="1"/>
    <xf numFmtId="14" fontId="31" fillId="0" borderId="0" xfId="0" applyNumberFormat="1" applyFont="1" applyFill="1" applyBorder="1" applyAlignment="1">
      <alignment horizontal="right"/>
    </xf>
    <xf numFmtId="14" fontId="0" fillId="0" borderId="0" xfId="0" applyNumberFormat="1" applyFill="1" applyAlignment="1">
      <alignment horizontal="center"/>
    </xf>
    <xf numFmtId="0" fontId="0" fillId="0" borderId="0" xfId="0" applyFont="1"/>
    <xf numFmtId="3" fontId="0" fillId="0" borderId="3" xfId="0" applyNumberFormat="1" applyFont="1" applyBorder="1" applyAlignment="1">
      <alignment horizontal="center"/>
    </xf>
    <xf numFmtId="3" fontId="0" fillId="0" borderId="0" xfId="0" applyNumberFormat="1" applyFill="1" applyAlignment="1">
      <alignment horizontal="center"/>
    </xf>
    <xf numFmtId="3" fontId="0" fillId="0" borderId="0" xfId="0" applyNumberFormat="1" applyFill="1" applyBorder="1"/>
    <xf numFmtId="3" fontId="4" fillId="0" borderId="0" xfId="0" applyNumberFormat="1" applyFont="1" applyFill="1"/>
    <xf numFmtId="3" fontId="32" fillId="0" borderId="0" xfId="0" applyNumberFormat="1" applyFont="1" applyFill="1" applyBorder="1"/>
    <xf numFmtId="3" fontId="58" fillId="3" borderId="0" xfId="0" applyNumberFormat="1" applyFont="1" applyFill="1" applyAlignment="1">
      <alignment horizontal="center"/>
    </xf>
    <xf numFmtId="3" fontId="4" fillId="3" borderId="0" xfId="29" quotePrefix="1" applyNumberFormat="1" applyFont="1" applyFill="1" applyAlignment="1">
      <alignment horizontal="center"/>
    </xf>
    <xf numFmtId="3" fontId="0" fillId="0" borderId="0" xfId="0" applyNumberFormat="1" applyBorder="1" applyAlignment="1">
      <alignment horizontal="center"/>
    </xf>
    <xf numFmtId="3" fontId="1" fillId="3" borderId="32" xfId="3" applyNumberFormat="1" applyFont="1" applyFill="1" applyBorder="1" applyAlignment="1">
      <alignment horizontal="center"/>
    </xf>
    <xf numFmtId="3" fontId="0" fillId="0" borderId="3" xfId="0" applyNumberFormat="1" applyBorder="1" applyAlignment="1">
      <alignment horizontal="center"/>
    </xf>
    <xf numFmtId="3" fontId="0" fillId="2" borderId="3" xfId="0" applyNumberFormat="1" applyFont="1" applyFill="1" applyBorder="1"/>
    <xf numFmtId="3" fontId="0" fillId="3" borderId="0" xfId="0" applyNumberFormat="1" applyFill="1"/>
    <xf numFmtId="3" fontId="0" fillId="3" borderId="0" xfId="0" applyNumberFormat="1" applyFill="1" applyAlignment="1">
      <alignment horizontal="center"/>
    </xf>
    <xf numFmtId="173" fontId="25" fillId="3" borderId="8" xfId="4" applyNumberFormat="1" applyFont="1" applyFill="1" applyBorder="1" applyAlignment="1">
      <alignment horizontal="center"/>
    </xf>
    <xf numFmtId="3" fontId="35" fillId="0" borderId="0" xfId="0" applyNumberFormat="1" applyFont="1" applyFill="1"/>
    <xf numFmtId="3" fontId="11" fillId="0" borderId="33" xfId="0" applyNumberFormat="1" applyFont="1" applyBorder="1" applyAlignment="1">
      <alignment horizontal="center" vertical="center" wrapText="1"/>
    </xf>
    <xf numFmtId="3" fontId="11" fillId="0" borderId="34" xfId="0" applyNumberFormat="1" applyFont="1" applyBorder="1" applyAlignment="1">
      <alignment horizontal="center" vertical="center" wrapText="1"/>
    </xf>
    <xf numFmtId="3" fontId="11" fillId="0" borderId="35" xfId="0" applyNumberFormat="1" applyFont="1" applyBorder="1" applyAlignment="1">
      <alignment horizontal="center" vertical="center" wrapText="1"/>
    </xf>
    <xf numFmtId="0" fontId="0" fillId="0" borderId="0" xfId="0" quotePrefix="1" applyFill="1"/>
    <xf numFmtId="3" fontId="26" fillId="0" borderId="0" xfId="0" applyNumberFormat="1" applyFont="1" applyFill="1" applyAlignment="1">
      <alignment horizontal="center" vertical="center"/>
    </xf>
    <xf numFmtId="3" fontId="0" fillId="3" borderId="8" xfId="0" applyNumberFormat="1" applyFill="1" applyBorder="1" applyAlignment="1">
      <alignment horizontal="center"/>
    </xf>
    <xf numFmtId="3" fontId="33" fillId="2" borderId="8" xfId="4" applyNumberFormat="1" applyFont="1" applyFill="1" applyBorder="1" applyAlignment="1">
      <alignment horizontal="center"/>
    </xf>
    <xf numFmtId="3" fontId="33" fillId="2" borderId="0" xfId="0" applyNumberFormat="1" applyFont="1" applyFill="1" applyBorder="1" applyAlignment="1">
      <alignment horizontal="center"/>
    </xf>
    <xf numFmtId="3" fontId="33" fillId="2" borderId="0" xfId="95" applyNumberFormat="1" applyFont="1" applyFill="1" applyBorder="1" applyAlignment="1">
      <alignment horizontal="center"/>
    </xf>
    <xf numFmtId="3" fontId="33" fillId="2" borderId="0" xfId="4" applyNumberFormat="1" applyFont="1" applyFill="1" applyBorder="1" applyAlignment="1">
      <alignment horizontal="center"/>
    </xf>
    <xf numFmtId="3" fontId="31" fillId="0" borderId="0" xfId="0" applyNumberFormat="1" applyFont="1"/>
    <xf numFmtId="166" fontId="44" fillId="5" borderId="0" xfId="3" applyNumberFormat="1" applyFont="1" applyFill="1" applyAlignment="1">
      <alignment horizontal="center" vertical="center" wrapText="1"/>
    </xf>
    <xf numFmtId="0" fontId="36" fillId="0" borderId="0" xfId="0" applyFont="1" applyAlignment="1">
      <alignment horizontal="center"/>
    </xf>
    <xf numFmtId="0" fontId="44" fillId="5" borderId="0" xfId="0" applyFont="1" applyFill="1" applyAlignment="1">
      <alignment horizontal="center" vertical="center" wrapText="1"/>
    </xf>
    <xf numFmtId="0" fontId="0" fillId="0" borderId="0" xfId="0"/>
    <xf numFmtId="0" fontId="7" fillId="0" borderId="0" xfId="0" applyFont="1" applyAlignment="1">
      <alignment horizontal="center"/>
    </xf>
    <xf numFmtId="3" fontId="31" fillId="0" borderId="0" xfId="3" applyNumberFormat="1" applyFont="1"/>
    <xf numFmtId="3" fontId="31" fillId="0" borderId="0" xfId="3" applyNumberFormat="1" applyFont="1" applyBorder="1"/>
    <xf numFmtId="3" fontId="37" fillId="0" borderId="0" xfId="3" applyNumberFormat="1" applyFont="1"/>
    <xf numFmtId="3" fontId="37" fillId="0" borderId="0" xfId="0" applyNumberFormat="1" applyFont="1"/>
    <xf numFmtId="3" fontId="44" fillId="6" borderId="0" xfId="3" applyNumberFormat="1" applyFont="1" applyFill="1" applyBorder="1"/>
    <xf numFmtId="3" fontId="1" fillId="0" borderId="0" xfId="3" applyNumberFormat="1" applyFont="1"/>
    <xf numFmtId="3" fontId="38" fillId="0" borderId="0" xfId="3" applyNumberFormat="1" applyFont="1"/>
    <xf numFmtId="3" fontId="44" fillId="6" borderId="0" xfId="3" applyNumberFormat="1" applyFont="1" applyFill="1" applyBorder="1" applyAlignment="1">
      <alignment vertical="center"/>
    </xf>
    <xf numFmtId="3" fontId="38" fillId="0" borderId="0" xfId="0" applyNumberFormat="1" applyFont="1"/>
    <xf numFmtId="3" fontId="1" fillId="0" borderId="0" xfId="3" applyNumberFormat="1" applyFont="1" applyBorder="1"/>
    <xf numFmtId="166" fontId="44" fillId="5" borderId="0" xfId="3" applyNumberFormat="1" applyFont="1" applyFill="1" applyBorder="1" applyAlignment="1">
      <alignment horizontal="center" vertical="center" wrapText="1"/>
    </xf>
    <xf numFmtId="166" fontId="44" fillId="3" borderId="0" xfId="3" applyNumberFormat="1" applyFont="1" applyFill="1" applyAlignment="1">
      <alignment horizontal="center" vertical="center" wrapText="1"/>
    </xf>
    <xf numFmtId="166" fontId="44" fillId="3" borderId="0" xfId="3" applyNumberFormat="1" applyFont="1" applyFill="1" applyBorder="1" applyAlignment="1">
      <alignment horizontal="center" vertical="center" wrapText="1"/>
    </xf>
    <xf numFmtId="3" fontId="31" fillId="3" borderId="0" xfId="3" applyNumberFormat="1" applyFont="1" applyFill="1"/>
    <xf numFmtId="3" fontId="44" fillId="3" borderId="0" xfId="3" applyNumberFormat="1" applyFont="1" applyFill="1" applyBorder="1"/>
    <xf numFmtId="166" fontId="31" fillId="3" borderId="0" xfId="3" applyNumberFormat="1" applyFont="1" applyFill="1" applyBorder="1" applyAlignment="1">
      <alignment horizontal="center"/>
    </xf>
    <xf numFmtId="3" fontId="31" fillId="3" borderId="0" xfId="3" applyNumberFormat="1" applyFont="1" applyFill="1" applyBorder="1"/>
    <xf numFmtId="3" fontId="31" fillId="0" borderId="0" xfId="0" applyNumberFormat="1" applyFont="1" applyFill="1" applyAlignment="1">
      <alignment horizontal="center"/>
    </xf>
    <xf numFmtId="3" fontId="31" fillId="3" borderId="0" xfId="4" applyNumberFormat="1" applyFont="1" applyFill="1"/>
    <xf numFmtId="3" fontId="36" fillId="3" borderId="0" xfId="4" applyNumberFormat="1" applyFont="1" applyFill="1"/>
    <xf numFmtId="10" fontId="31" fillId="0" borderId="6" xfId="95" applyNumberFormat="1" applyFont="1" applyFill="1" applyBorder="1" applyAlignment="1">
      <alignment horizontal="center"/>
    </xf>
    <xf numFmtId="0" fontId="25" fillId="0" borderId="0" xfId="38"/>
    <xf numFmtId="0" fontId="78" fillId="0" borderId="0" xfId="38" applyFont="1"/>
    <xf numFmtId="14" fontId="32" fillId="3" borderId="0" xfId="0" applyNumberFormat="1" applyFont="1" applyFill="1" applyBorder="1" applyAlignment="1">
      <alignment vertical="center"/>
    </xf>
    <xf numFmtId="167" fontId="31" fillId="0" borderId="6" xfId="3" applyNumberFormat="1" applyFont="1" applyFill="1" applyBorder="1"/>
    <xf numFmtId="167" fontId="31" fillId="0" borderId="29" xfId="3" applyNumberFormat="1" applyFont="1" applyFill="1" applyBorder="1"/>
    <xf numFmtId="168" fontId="1" fillId="3" borderId="6" xfId="3" applyNumberFormat="1" applyFont="1" applyFill="1" applyBorder="1"/>
    <xf numFmtId="0" fontId="4" fillId="3" borderId="0" xfId="0" applyFont="1" applyFill="1"/>
    <xf numFmtId="0" fontId="1" fillId="0" borderId="0" xfId="37"/>
    <xf numFmtId="0" fontId="21" fillId="0" borderId="0" xfId="94" applyFont="1" applyBorder="1" applyAlignment="1"/>
    <xf numFmtId="0" fontId="4" fillId="0" borderId="4" xfId="37" applyFont="1" applyBorder="1" applyAlignment="1">
      <alignment horizontal="center"/>
    </xf>
    <xf numFmtId="0" fontId="4" fillId="0" borderId="0" xfId="37" applyFont="1" applyBorder="1" applyAlignment="1">
      <alignment horizontal="center"/>
    </xf>
    <xf numFmtId="0" fontId="4" fillId="0" borderId="5" xfId="37" applyFont="1" applyBorder="1" applyAlignment="1">
      <alignment horizontal="center"/>
    </xf>
    <xf numFmtId="0" fontId="5" fillId="0" borderId="25" xfId="37" applyFont="1" applyBorder="1"/>
    <xf numFmtId="0" fontId="5" fillId="0" borderId="8" xfId="37" applyFont="1" applyBorder="1"/>
    <xf numFmtId="0" fontId="1" fillId="0" borderId="8" xfId="37" applyBorder="1"/>
    <xf numFmtId="0" fontId="1" fillId="0" borderId="27" xfId="37" applyBorder="1"/>
    <xf numFmtId="0" fontId="5" fillId="0" borderId="4" xfId="37" applyFont="1" applyBorder="1"/>
    <xf numFmtId="0" fontId="5" fillId="0" borderId="0" xfId="37" applyFont="1" applyBorder="1"/>
    <xf numFmtId="0" fontId="1" fillId="0" borderId="0" xfId="37" applyBorder="1"/>
    <xf numFmtId="0" fontId="1" fillId="0" borderId="5" xfId="37" applyBorder="1"/>
    <xf numFmtId="0" fontId="23" fillId="0" borderId="0" xfId="37" applyFont="1" applyBorder="1"/>
    <xf numFmtId="0" fontId="1" fillId="0" borderId="4" xfId="37" applyBorder="1"/>
    <xf numFmtId="0" fontId="1" fillId="0" borderId="4" xfId="37" applyFont="1" applyBorder="1"/>
    <xf numFmtId="0" fontId="1" fillId="0" borderId="4" xfId="37" applyFont="1" applyFill="1" applyBorder="1"/>
    <xf numFmtId="0" fontId="1" fillId="0" borderId="0" xfId="37" applyFill="1" applyBorder="1"/>
    <xf numFmtId="0" fontId="1" fillId="0" borderId="4" xfId="37" applyFill="1" applyBorder="1"/>
    <xf numFmtId="0" fontId="3" fillId="0" borderId="2" xfId="37" applyFont="1" applyBorder="1" applyAlignment="1"/>
    <xf numFmtId="0" fontId="3" fillId="0" borderId="7" xfId="37" applyFont="1" applyBorder="1" applyAlignment="1"/>
    <xf numFmtId="0" fontId="3" fillId="0" borderId="29" xfId="37" applyFont="1" applyBorder="1" applyAlignment="1"/>
    <xf numFmtId="0" fontId="4" fillId="0" borderId="4" xfId="37" applyFont="1" applyBorder="1"/>
    <xf numFmtId="0" fontId="4" fillId="0" borderId="0" xfId="37" applyFont="1" applyBorder="1"/>
    <xf numFmtId="0" fontId="3" fillId="0" borderId="26" xfId="37" applyFont="1" applyBorder="1" applyAlignment="1"/>
    <xf numFmtId="0" fontId="3" fillId="0" borderId="3" xfId="37" applyFont="1" applyBorder="1" applyAlignment="1"/>
    <xf numFmtId="0" fontId="3" fillId="0" borderId="6" xfId="37" applyFont="1" applyBorder="1" applyAlignment="1"/>
    <xf numFmtId="0" fontId="1" fillId="0" borderId="4" xfId="37" applyBorder="1" applyAlignment="1">
      <alignment horizontal="center"/>
    </xf>
    <xf numFmtId="0" fontId="1" fillId="0" borderId="0" xfId="37" applyBorder="1" applyAlignment="1">
      <alignment horizontal="center"/>
    </xf>
    <xf numFmtId="3" fontId="1" fillId="0" borderId="0" xfId="37" applyNumberFormat="1" applyBorder="1"/>
    <xf numFmtId="0" fontId="1" fillId="0" borderId="4" xfId="37" applyFill="1" applyBorder="1" applyAlignment="1">
      <alignment horizontal="left"/>
    </xf>
    <xf numFmtId="0" fontId="1" fillId="0" borderId="0" xfId="37" applyFont="1" applyBorder="1"/>
    <xf numFmtId="3" fontId="1" fillId="0" borderId="5" xfId="37" applyNumberFormat="1" applyBorder="1"/>
    <xf numFmtId="0" fontId="1" fillId="0" borderId="0" xfId="37" applyFont="1" applyFill="1" applyBorder="1"/>
    <xf numFmtId="0" fontId="0" fillId="0" borderId="4" xfId="0" applyBorder="1"/>
    <xf numFmtId="0" fontId="1" fillId="0" borderId="26" xfId="37" applyBorder="1"/>
    <xf numFmtId="0" fontId="1" fillId="0" borderId="3" xfId="37" applyBorder="1"/>
    <xf numFmtId="0" fontId="1" fillId="0" borderId="6" xfId="37" applyBorder="1"/>
    <xf numFmtId="0" fontId="30" fillId="0" borderId="36" xfId="0" applyFont="1" applyBorder="1" applyAlignment="1">
      <alignment horizontal="center"/>
    </xf>
    <xf numFmtId="0" fontId="30" fillId="0" borderId="0" xfId="0" applyFont="1" applyBorder="1" applyAlignment="1">
      <alignment horizontal="center"/>
    </xf>
    <xf numFmtId="0" fontId="30" fillId="0" borderId="10" xfId="0" applyFont="1" applyBorder="1" applyAlignment="1">
      <alignment horizontal="center"/>
    </xf>
    <xf numFmtId="0" fontId="0" fillId="0" borderId="37" xfId="0" applyBorder="1"/>
    <xf numFmtId="3" fontId="4" fillId="0" borderId="38" xfId="0" applyNumberFormat="1" applyFont="1" applyBorder="1" applyAlignment="1">
      <alignment horizontal="center" vertical="top" wrapText="1"/>
    </xf>
    <xf numFmtId="3" fontId="1" fillId="0" borderId="38" xfId="0" applyNumberFormat="1" applyFont="1" applyBorder="1" applyAlignment="1">
      <alignment horizontal="center" vertical="top" wrapText="1"/>
    </xf>
    <xf numFmtId="3" fontId="4" fillId="0" borderId="39" xfId="0" applyNumberFormat="1" applyFont="1" applyBorder="1" applyAlignment="1">
      <alignment horizontal="center" vertical="top" wrapText="1"/>
    </xf>
    <xf numFmtId="0" fontId="4" fillId="12" borderId="40" xfId="0" applyFont="1" applyFill="1" applyBorder="1" applyAlignment="1">
      <alignment horizontal="center" vertical="top" wrapText="1"/>
    </xf>
    <xf numFmtId="0" fontId="4" fillId="12" borderId="41" xfId="0" applyFont="1" applyFill="1" applyBorder="1" applyAlignment="1">
      <alignment horizontal="center" vertical="top" wrapText="1"/>
    </xf>
    <xf numFmtId="0" fontId="4" fillId="0" borderId="37" xfId="0" applyFont="1" applyFill="1" applyBorder="1" applyAlignment="1">
      <alignment horizontal="center" vertical="top" wrapText="1"/>
    </xf>
    <xf numFmtId="49" fontId="4" fillId="0" borderId="42" xfId="0" applyNumberFormat="1" applyFont="1" applyFill="1" applyBorder="1" applyAlignment="1">
      <alignment horizontal="left" vertical="top" wrapText="1"/>
    </xf>
    <xf numFmtId="49" fontId="4" fillId="0" borderId="42" xfId="0" applyNumberFormat="1" applyFont="1" applyFill="1" applyBorder="1" applyAlignment="1">
      <alignment horizontal="center" vertical="top" wrapText="1"/>
    </xf>
    <xf numFmtId="3" fontId="4" fillId="0" borderId="42" xfId="0" applyNumberFormat="1" applyFont="1" applyFill="1" applyBorder="1" applyAlignment="1">
      <alignment horizontal="right" vertical="top" wrapText="1"/>
    </xf>
    <xf numFmtId="10" fontId="4" fillId="0" borderId="42" xfId="0" applyNumberFormat="1" applyFont="1" applyFill="1" applyBorder="1" applyAlignment="1">
      <alignment horizontal="center" vertical="top" wrapText="1"/>
    </xf>
    <xf numFmtId="10" fontId="4" fillId="0" borderId="41" xfId="0" applyNumberFormat="1" applyFont="1" applyFill="1" applyBorder="1" applyAlignment="1">
      <alignment horizontal="center" vertical="top" wrapText="1"/>
    </xf>
    <xf numFmtId="0" fontId="4" fillId="0" borderId="43" xfId="0" applyFont="1" applyFill="1" applyBorder="1" applyAlignment="1">
      <alignment horizontal="center" vertical="top" wrapText="1"/>
    </xf>
    <xf numFmtId="49" fontId="4" fillId="0" borderId="0" xfId="0" applyNumberFormat="1" applyFont="1" applyFill="1" applyBorder="1" applyAlignment="1">
      <alignment horizontal="left" vertical="top" wrapText="1"/>
    </xf>
    <xf numFmtId="49" fontId="4" fillId="0" borderId="0" xfId="0" applyNumberFormat="1" applyFont="1" applyFill="1" applyBorder="1" applyAlignment="1">
      <alignment horizontal="center" vertical="top" wrapText="1"/>
    </xf>
    <xf numFmtId="3" fontId="4" fillId="0" borderId="0" xfId="0" applyNumberFormat="1" applyFont="1" applyFill="1" applyBorder="1" applyAlignment="1">
      <alignment horizontal="right" vertical="top" wrapText="1"/>
    </xf>
    <xf numFmtId="10" fontId="4" fillId="0" borderId="0" xfId="0" applyNumberFormat="1" applyFont="1" applyFill="1" applyBorder="1" applyAlignment="1">
      <alignment horizontal="center" vertical="top" wrapText="1"/>
    </xf>
    <xf numFmtId="10" fontId="4" fillId="0" borderId="44" xfId="0" applyNumberFormat="1" applyFont="1" applyFill="1" applyBorder="1" applyAlignment="1">
      <alignment horizontal="center" vertical="top" wrapText="1"/>
    </xf>
    <xf numFmtId="0" fontId="4" fillId="0" borderId="45" xfId="0" applyFont="1" applyFill="1" applyBorder="1" applyAlignment="1">
      <alignment horizontal="center" vertical="top" wrapText="1"/>
    </xf>
    <xf numFmtId="49" fontId="4" fillId="0" borderId="46" xfId="0" applyNumberFormat="1" applyFont="1" applyFill="1" applyBorder="1" applyAlignment="1">
      <alignment horizontal="left" vertical="top" wrapText="1"/>
    </xf>
    <xf numFmtId="49" fontId="4" fillId="0" borderId="46" xfId="0" applyNumberFormat="1" applyFont="1" applyFill="1" applyBorder="1" applyAlignment="1">
      <alignment horizontal="center" vertical="top" wrapText="1"/>
    </xf>
    <xf numFmtId="3" fontId="4" fillId="0" borderId="46" xfId="0" applyNumberFormat="1" applyFont="1" applyFill="1" applyBorder="1" applyAlignment="1">
      <alignment horizontal="right" vertical="top" wrapText="1"/>
    </xf>
    <xf numFmtId="10" fontId="4" fillId="0" borderId="46" xfId="0" applyNumberFormat="1" applyFont="1" applyFill="1" applyBorder="1" applyAlignment="1">
      <alignment horizontal="center" vertical="top" wrapText="1"/>
    </xf>
    <xf numFmtId="10" fontId="4" fillId="0" borderId="47" xfId="0" applyNumberFormat="1" applyFont="1" applyFill="1" applyBorder="1" applyAlignment="1">
      <alignment horizontal="center" vertical="top" wrapText="1"/>
    </xf>
    <xf numFmtId="0" fontId="4" fillId="0" borderId="48" xfId="0" applyFont="1" applyFill="1" applyBorder="1" applyAlignment="1">
      <alignment horizontal="center" vertical="top" wrapText="1"/>
    </xf>
    <xf numFmtId="49" fontId="4" fillId="0" borderId="31" xfId="0" applyNumberFormat="1" applyFont="1" applyFill="1" applyBorder="1" applyAlignment="1">
      <alignment horizontal="left" vertical="top" wrapText="1"/>
    </xf>
    <xf numFmtId="49" fontId="4" fillId="0" borderId="31" xfId="0" applyNumberFormat="1" applyFont="1" applyFill="1" applyBorder="1" applyAlignment="1">
      <alignment horizontal="center" vertical="top" wrapText="1"/>
    </xf>
    <xf numFmtId="3" fontId="4" fillId="0" borderId="31" xfId="0" applyNumberFormat="1" applyFont="1" applyFill="1" applyBorder="1" applyAlignment="1">
      <alignment horizontal="right" vertical="top" wrapText="1"/>
    </xf>
    <xf numFmtId="10" fontId="4" fillId="0" borderId="31" xfId="0" applyNumberFormat="1" applyFont="1" applyFill="1" applyBorder="1" applyAlignment="1">
      <alignment horizontal="center" vertical="top" wrapText="1"/>
    </xf>
    <xf numFmtId="10" fontId="4" fillId="0" borderId="49" xfId="0" applyNumberFormat="1" applyFont="1" applyFill="1" applyBorder="1" applyAlignment="1">
      <alignment horizontal="center" vertical="top" wrapText="1"/>
    </xf>
    <xf numFmtId="49" fontId="36" fillId="0" borderId="0" xfId="0" applyNumberFormat="1" applyFont="1" applyBorder="1" applyAlignment="1">
      <alignment vertical="center" wrapText="1"/>
    </xf>
    <xf numFmtId="49" fontId="36" fillId="0" borderId="0" xfId="0" applyNumberFormat="1" applyFont="1" applyBorder="1" applyAlignment="1">
      <alignment wrapText="1"/>
    </xf>
    <xf numFmtId="0" fontId="30" fillId="0" borderId="0" xfId="0" applyFont="1" applyBorder="1"/>
    <xf numFmtId="0" fontId="0" fillId="0" borderId="0" xfId="0" applyBorder="1"/>
    <xf numFmtId="0" fontId="79" fillId="0" borderId="0" xfId="0" applyFont="1" applyBorder="1"/>
    <xf numFmtId="0" fontId="0" fillId="0" borderId="0" xfId="0" applyBorder="1" applyAlignment="1">
      <alignment horizontal="left"/>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80" fillId="0" borderId="0" xfId="0" applyFont="1" applyFill="1" applyBorder="1" applyAlignment="1">
      <alignment horizontal="left"/>
    </xf>
    <xf numFmtId="0" fontId="80" fillId="0" borderId="0" xfId="0" applyFont="1" applyFill="1" applyBorder="1" applyAlignment="1">
      <alignment horizontal="center"/>
    </xf>
    <xf numFmtId="0" fontId="80" fillId="0" borderId="0" xfId="0" applyFont="1" applyFill="1" applyBorder="1" applyAlignment="1">
      <alignment horizontal="center" wrapText="1"/>
    </xf>
    <xf numFmtId="10" fontId="36" fillId="0" borderId="0" xfId="0" applyNumberFormat="1" applyFont="1"/>
    <xf numFmtId="10" fontId="32" fillId="0" borderId="0" xfId="0" applyNumberFormat="1" applyFont="1" applyAlignment="1">
      <alignment vertical="center"/>
    </xf>
    <xf numFmtId="10" fontId="31" fillId="0" borderId="0" xfId="0" applyNumberFormat="1" applyFont="1" applyAlignment="1">
      <alignment vertical="center"/>
    </xf>
    <xf numFmtId="10" fontId="4" fillId="12" borderId="41" xfId="0" applyNumberFormat="1" applyFont="1" applyFill="1" applyBorder="1" applyAlignment="1">
      <alignment horizontal="center" vertical="top" wrapText="1"/>
    </xf>
    <xf numFmtId="3" fontId="4" fillId="0" borderId="7" xfId="3" applyNumberFormat="1" applyFont="1" applyFill="1" applyBorder="1" applyAlignment="1">
      <alignment horizontal="center"/>
    </xf>
    <xf numFmtId="3" fontId="1" fillId="0" borderId="0" xfId="3" applyNumberFormat="1" applyFont="1" applyFill="1" applyAlignment="1">
      <alignment horizontal="center"/>
    </xf>
    <xf numFmtId="3" fontId="54" fillId="5" borderId="0" xfId="3" applyNumberFormat="1" applyFont="1" applyFill="1" applyBorder="1" applyAlignment="1">
      <alignment horizontal="center"/>
    </xf>
    <xf numFmtId="3" fontId="54" fillId="5" borderId="8" xfId="3" applyNumberFormat="1" applyFont="1" applyFill="1" applyBorder="1" applyAlignment="1">
      <alignment horizontal="center"/>
    </xf>
    <xf numFmtId="3" fontId="81" fillId="3" borderId="0" xfId="3" applyNumberFormat="1" applyFont="1" applyFill="1" applyAlignment="1">
      <alignment horizontal="center"/>
    </xf>
    <xf numFmtId="3" fontId="81" fillId="3" borderId="0" xfId="3" applyNumberFormat="1" applyFont="1" applyFill="1" applyBorder="1" applyAlignment="1">
      <alignment horizontal="center"/>
    </xf>
    <xf numFmtId="3" fontId="37" fillId="0" borderId="0" xfId="0" applyNumberFormat="1" applyFont="1" applyFill="1" applyAlignment="1">
      <alignment horizontal="center"/>
    </xf>
    <xf numFmtId="3" fontId="50" fillId="0" borderId="0" xfId="0" applyNumberFormat="1" applyFont="1" applyFill="1" applyAlignment="1">
      <alignment horizontal="center"/>
    </xf>
    <xf numFmtId="3" fontId="34" fillId="0" borderId="0" xfId="0" applyNumberFormat="1" applyFont="1" applyFill="1" applyAlignment="1">
      <alignment horizontal="center"/>
    </xf>
    <xf numFmtId="3" fontId="82" fillId="0" borderId="0" xfId="4" applyNumberFormat="1" applyFont="1" applyFill="1" applyAlignment="1">
      <alignment horizontal="center"/>
    </xf>
    <xf numFmtId="3" fontId="31" fillId="0" borderId="0" xfId="0" applyNumberFormat="1" applyFont="1" applyFill="1" applyAlignment="1">
      <alignment horizontal="center"/>
    </xf>
    <xf numFmtId="0" fontId="36" fillId="0" borderId="0" xfId="0" applyFont="1"/>
    <xf numFmtId="0" fontId="36" fillId="0" borderId="0" xfId="0" applyFont="1" applyBorder="1"/>
    <xf numFmtId="0" fontId="4" fillId="12" borderId="10" xfId="0" applyFont="1" applyFill="1" applyBorder="1" applyAlignment="1">
      <alignment horizontal="center" vertical="top" wrapText="1"/>
    </xf>
    <xf numFmtId="0" fontId="4" fillId="12" borderId="11" xfId="0" applyFont="1" applyFill="1" applyBorder="1" applyAlignment="1">
      <alignment horizontal="center" vertical="top" wrapText="1"/>
    </xf>
    <xf numFmtId="0" fontId="4" fillId="13" borderId="39" xfId="0" applyFont="1" applyFill="1" applyBorder="1" applyAlignment="1">
      <alignment horizontal="center" vertical="top" wrapText="1"/>
    </xf>
    <xf numFmtId="49" fontId="4" fillId="13" borderId="10" xfId="0" applyNumberFormat="1" applyFont="1" applyFill="1" applyBorder="1" applyAlignment="1">
      <alignment horizontal="left" vertical="top" wrapText="1"/>
    </xf>
    <xf numFmtId="49" fontId="4" fillId="13" borderId="49" xfId="0" applyNumberFormat="1" applyFont="1" applyFill="1" applyBorder="1" applyAlignment="1">
      <alignment horizontal="center" vertical="top" wrapText="1"/>
    </xf>
    <xf numFmtId="3" fontId="4" fillId="13" borderId="10" xfId="0" applyNumberFormat="1" applyFont="1" applyFill="1" applyBorder="1" applyAlignment="1">
      <alignment horizontal="right" vertical="top" wrapText="1"/>
    </xf>
    <xf numFmtId="49" fontId="4" fillId="13" borderId="10" xfId="0" applyNumberFormat="1" applyFont="1" applyFill="1" applyBorder="1" applyAlignment="1">
      <alignment horizontal="center" vertical="top" wrapText="1"/>
    </xf>
    <xf numFmtId="3" fontId="4" fillId="13" borderId="49" xfId="0" applyNumberFormat="1" applyFont="1" applyFill="1" applyBorder="1" applyAlignment="1">
      <alignment horizontal="right" vertical="top" wrapText="1"/>
    </xf>
    <xf numFmtId="10" fontId="4" fillId="13" borderId="49" xfId="0" applyNumberFormat="1" applyFont="1" applyFill="1" applyBorder="1" applyAlignment="1">
      <alignment horizontal="center" vertical="top" wrapText="1"/>
    </xf>
    <xf numFmtId="49" fontId="4" fillId="13" borderId="39" xfId="0" applyNumberFormat="1" applyFont="1" applyFill="1" applyBorder="1" applyAlignment="1">
      <alignment horizontal="left" vertical="top" wrapText="1"/>
    </xf>
    <xf numFmtId="3" fontId="4" fillId="13" borderId="39" xfId="0" applyNumberFormat="1" applyFont="1" applyFill="1" applyBorder="1" applyAlignment="1">
      <alignment horizontal="right" vertical="top" wrapText="1"/>
    </xf>
    <xf numFmtId="49" fontId="4" fillId="13" borderId="39" xfId="0" applyNumberFormat="1" applyFont="1" applyFill="1" applyBorder="1" applyAlignment="1">
      <alignment horizontal="center" vertical="top" wrapText="1"/>
    </xf>
    <xf numFmtId="49" fontId="4" fillId="0" borderId="39" xfId="0" applyNumberFormat="1" applyFont="1" applyFill="1" applyBorder="1" applyAlignment="1">
      <alignment horizontal="left" vertical="top" wrapText="1"/>
    </xf>
    <xf numFmtId="49" fontId="4" fillId="0" borderId="49" xfId="0" applyNumberFormat="1" applyFont="1" applyFill="1" applyBorder="1" applyAlignment="1">
      <alignment horizontal="center" vertical="top" wrapText="1"/>
    </xf>
    <xf numFmtId="3" fontId="4" fillId="0" borderId="39" xfId="0" applyNumberFormat="1" applyFont="1" applyFill="1" applyBorder="1" applyAlignment="1">
      <alignment horizontal="right" vertical="top" wrapText="1"/>
    </xf>
    <xf numFmtId="49" fontId="4" fillId="0" borderId="39" xfId="0" applyNumberFormat="1" applyFont="1" applyFill="1" applyBorder="1" applyAlignment="1">
      <alignment horizontal="center" vertical="top" wrapText="1"/>
    </xf>
    <xf numFmtId="3" fontId="4" fillId="0" borderId="49" xfId="0" applyNumberFormat="1" applyFont="1" applyFill="1" applyBorder="1" applyAlignment="1">
      <alignment horizontal="right" vertical="top" wrapText="1"/>
    </xf>
    <xf numFmtId="49" fontId="4" fillId="0" borderId="10" xfId="0" applyNumberFormat="1" applyFont="1" applyFill="1" applyBorder="1" applyAlignment="1">
      <alignment horizontal="left" vertical="top" wrapText="1"/>
    </xf>
    <xf numFmtId="49" fontId="4" fillId="0" borderId="10" xfId="0" applyNumberFormat="1" applyFont="1" applyFill="1" applyBorder="1" applyAlignment="1">
      <alignment horizontal="center" vertical="top" wrapText="1"/>
    </xf>
    <xf numFmtId="49" fontId="4" fillId="0" borderId="11" xfId="0" applyNumberFormat="1" applyFont="1" applyFill="1" applyBorder="1" applyAlignment="1">
      <alignment horizontal="center" vertical="top" wrapText="1"/>
    </xf>
    <xf numFmtId="3" fontId="4" fillId="0" borderId="10" xfId="0" applyNumberFormat="1" applyFont="1" applyFill="1" applyBorder="1" applyAlignment="1">
      <alignment horizontal="right" vertical="top" wrapText="1"/>
    </xf>
    <xf numFmtId="3" fontId="4" fillId="0" borderId="11" xfId="0" applyNumberFormat="1" applyFont="1" applyFill="1" applyBorder="1" applyAlignment="1">
      <alignment horizontal="right" vertical="top" wrapText="1"/>
    </xf>
    <xf numFmtId="10" fontId="4" fillId="0" borderId="11" xfId="0" applyNumberFormat="1" applyFont="1" applyFill="1" applyBorder="1" applyAlignment="1">
      <alignment horizontal="center" vertical="top" wrapText="1"/>
    </xf>
    <xf numFmtId="0" fontId="4" fillId="13" borderId="10" xfId="0" applyFont="1" applyFill="1" applyBorder="1" applyAlignment="1">
      <alignment horizontal="center" vertical="top" wrapText="1"/>
    </xf>
    <xf numFmtId="0" fontId="4" fillId="13" borderId="50" xfId="0" applyFont="1" applyFill="1" applyBorder="1" applyAlignment="1">
      <alignment horizontal="justify" vertical="top" wrapText="1"/>
    </xf>
    <xf numFmtId="49" fontId="4" fillId="13" borderId="11" xfId="0" applyNumberFormat="1" applyFont="1" applyFill="1" applyBorder="1" applyAlignment="1">
      <alignment horizontal="justify" vertical="top" wrapText="1"/>
    </xf>
    <xf numFmtId="10" fontId="4" fillId="13" borderId="11" xfId="0" applyNumberFormat="1" applyFont="1" applyFill="1" applyBorder="1" applyAlignment="1">
      <alignment horizontal="center" vertical="top" wrapText="1"/>
    </xf>
    <xf numFmtId="0" fontId="79" fillId="0" borderId="0" xfId="0" applyFont="1"/>
    <xf numFmtId="0" fontId="36" fillId="0" borderId="0" xfId="0" applyFont="1" applyAlignment="1"/>
    <xf numFmtId="0" fontId="36" fillId="0" borderId="5" xfId="0" applyFont="1" applyBorder="1" applyAlignment="1"/>
    <xf numFmtId="3" fontId="0" fillId="2" borderId="1" xfId="0" applyNumberFormat="1" applyFill="1" applyBorder="1" applyAlignment="1">
      <alignment horizontal="center"/>
    </xf>
    <xf numFmtId="10" fontId="57" fillId="0" borderId="1" xfId="0" applyNumberFormat="1" applyFont="1" applyBorder="1" applyAlignment="1">
      <alignment horizontal="center" vertical="center" wrapText="1"/>
    </xf>
    <xf numFmtId="3" fontId="0" fillId="0" borderId="0" xfId="0" applyNumberFormat="1" applyFill="1" applyBorder="1" applyAlignment="1">
      <alignment horizontal="center"/>
    </xf>
    <xf numFmtId="0" fontId="0" fillId="0" borderId="0" xfId="0"/>
    <xf numFmtId="3" fontId="31" fillId="0" borderId="0" xfId="0" applyNumberFormat="1" applyFont="1" applyFill="1" applyAlignment="1">
      <alignment horizontal="center"/>
    </xf>
    <xf numFmtId="166" fontId="0" fillId="0" borderId="0" xfId="0" applyNumberFormat="1"/>
    <xf numFmtId="3" fontId="51" fillId="2" borderId="0" xfId="0" applyNumberFormat="1" applyFont="1" applyFill="1"/>
    <xf numFmtId="0" fontId="0" fillId="0" borderId="0" xfId="0"/>
    <xf numFmtId="0" fontId="0" fillId="2" borderId="0" xfId="0" applyFill="1" applyAlignment="1">
      <alignment horizontal="center"/>
    </xf>
    <xf numFmtId="3" fontId="1" fillId="2" borderId="0" xfId="0" applyNumberFormat="1" applyFont="1" applyFill="1" applyAlignment="1">
      <alignment horizontal="center"/>
    </xf>
    <xf numFmtId="0" fontId="31" fillId="3" borderId="0" xfId="0" applyFont="1" applyFill="1" applyAlignment="1">
      <alignment horizontal="center"/>
    </xf>
    <xf numFmtId="3" fontId="30" fillId="0" borderId="0" xfId="0" applyNumberFormat="1" applyFont="1" applyBorder="1" applyAlignment="1">
      <alignment horizontal="center"/>
    </xf>
    <xf numFmtId="3" fontId="0" fillId="0" borderId="0" xfId="0" applyNumberFormat="1" applyFont="1" applyFill="1" applyAlignment="1">
      <alignment horizontal="center"/>
    </xf>
    <xf numFmtId="166" fontId="4" fillId="3" borderId="32" xfId="8" applyNumberFormat="1" applyFont="1" applyFill="1" applyBorder="1" applyAlignment="1">
      <alignment horizontal="center"/>
    </xf>
    <xf numFmtId="173" fontId="31" fillId="0" borderId="0" xfId="0" applyNumberFormat="1" applyFont="1" applyAlignment="1">
      <alignment horizontal="center"/>
    </xf>
    <xf numFmtId="3" fontId="32" fillId="3" borderId="0" xfId="0" applyNumberFormat="1" applyFont="1" applyFill="1"/>
    <xf numFmtId="3" fontId="30" fillId="0" borderId="0" xfId="0" applyNumberFormat="1" applyFont="1" applyFill="1" applyAlignment="1">
      <alignment horizontal="center"/>
    </xf>
    <xf numFmtId="3" fontId="30" fillId="0" borderId="0" xfId="0" applyNumberFormat="1" applyFont="1" applyFill="1" applyBorder="1" applyAlignment="1">
      <alignment horizontal="center"/>
    </xf>
    <xf numFmtId="0" fontId="0" fillId="0" borderId="0" xfId="0" applyFont="1" applyFill="1" applyAlignment="1">
      <alignment horizontal="center"/>
    </xf>
    <xf numFmtId="3" fontId="0" fillId="2" borderId="3" xfId="0" applyNumberFormat="1" applyFont="1" applyFill="1" applyBorder="1" applyAlignment="1">
      <alignment horizontal="center"/>
    </xf>
    <xf numFmtId="3" fontId="32" fillId="0" borderId="0" xfId="4" applyNumberFormat="1" applyFont="1" applyFill="1" applyAlignment="1">
      <alignment horizontal="center"/>
    </xf>
    <xf numFmtId="3" fontId="3" fillId="0" borderId="34" xfId="0" applyNumberFormat="1" applyFont="1" applyBorder="1" applyAlignment="1">
      <alignment horizontal="center" vertical="center" wrapText="1"/>
    </xf>
    <xf numFmtId="0" fontId="29" fillId="2" borderId="0" xfId="0" applyFont="1" applyFill="1" applyAlignment="1">
      <alignment horizontal="center"/>
    </xf>
    <xf numFmtId="3" fontId="51" fillId="0" borderId="0" xfId="0" applyNumberFormat="1" applyFont="1" applyAlignment="1">
      <alignment horizontal="center"/>
    </xf>
    <xf numFmtId="0" fontId="0" fillId="0" borderId="0" xfId="0"/>
    <xf numFmtId="0" fontId="0" fillId="0" borderId="0" xfId="0"/>
    <xf numFmtId="0" fontId="68" fillId="0" borderId="0" xfId="0" applyFont="1"/>
    <xf numFmtId="167" fontId="31" fillId="3" borderId="0" xfId="0" applyNumberFormat="1" applyFont="1" applyFill="1"/>
    <xf numFmtId="3" fontId="31" fillId="3" borderId="0" xfId="0" applyNumberFormat="1" applyFont="1" applyFill="1"/>
    <xf numFmtId="10" fontId="31" fillId="0" borderId="29" xfId="95" applyNumberFormat="1" applyFont="1" applyFill="1" applyBorder="1" applyAlignment="1">
      <alignment horizontal="center"/>
    </xf>
    <xf numFmtId="17" fontId="30" fillId="0" borderId="0" xfId="0" applyNumberFormat="1" applyFont="1" applyAlignment="1">
      <alignment horizontal="left"/>
    </xf>
    <xf numFmtId="0" fontId="0" fillId="0" borderId="10" xfId="0" applyBorder="1"/>
    <xf numFmtId="0" fontId="0" fillId="0" borderId="11" xfId="0" applyBorder="1"/>
    <xf numFmtId="0" fontId="78" fillId="3" borderId="38" xfId="0" applyFont="1" applyFill="1" applyBorder="1" applyAlignment="1">
      <alignment horizontal="center" vertical="center"/>
    </xf>
    <xf numFmtId="0" fontId="78" fillId="3" borderId="44" xfId="0" applyFont="1" applyFill="1" applyBorder="1" applyAlignment="1">
      <alignment horizontal="center" vertical="center"/>
    </xf>
    <xf numFmtId="9" fontId="78" fillId="3" borderId="44" xfId="0" applyNumberFormat="1" applyFont="1" applyFill="1" applyBorder="1" applyAlignment="1">
      <alignment horizontal="center" vertical="center"/>
    </xf>
    <xf numFmtId="0" fontId="78" fillId="13" borderId="38" xfId="0" applyFont="1" applyFill="1" applyBorder="1" applyAlignment="1">
      <alignment horizontal="center" vertical="center"/>
    </xf>
    <xf numFmtId="9" fontId="78" fillId="13" borderId="44" xfId="0" applyNumberFormat="1" applyFont="1" applyFill="1" applyBorder="1" applyAlignment="1">
      <alignment horizontal="center" vertical="center"/>
    </xf>
    <xf numFmtId="0" fontId="78" fillId="13" borderId="39" xfId="0" applyFont="1" applyFill="1" applyBorder="1" applyAlignment="1">
      <alignment horizontal="center" vertical="center"/>
    </xf>
    <xf numFmtId="9" fontId="78" fillId="13" borderId="49" xfId="0" applyNumberFormat="1" applyFont="1" applyFill="1" applyBorder="1" applyAlignment="1">
      <alignment horizontal="center" vertical="center"/>
    </xf>
    <xf numFmtId="0" fontId="0" fillId="0" borderId="0" xfId="0" pivotButton="1"/>
    <xf numFmtId="10" fontId="30" fillId="0" borderId="0" xfId="0" applyNumberFormat="1" applyFont="1" applyFill="1"/>
    <xf numFmtId="174" fontId="31" fillId="0" borderId="29" xfId="95" applyNumberFormat="1" applyFont="1" applyFill="1" applyBorder="1" applyAlignment="1">
      <alignment horizontal="center"/>
    </xf>
    <xf numFmtId="0" fontId="0" fillId="0" borderId="0" xfId="0"/>
    <xf numFmtId="3" fontId="4" fillId="0" borderId="32" xfId="3" applyNumberFormat="1" applyFont="1" applyFill="1" applyBorder="1" applyAlignment="1">
      <alignment horizontal="center"/>
    </xf>
    <xf numFmtId="0" fontId="11" fillId="0" borderId="22" xfId="0" applyFont="1" applyFill="1" applyBorder="1" applyAlignment="1">
      <alignment vertical="center" wrapText="1"/>
    </xf>
    <xf numFmtId="3" fontId="11" fillId="0" borderId="34" xfId="0" applyNumberFormat="1" applyFont="1" applyFill="1" applyBorder="1" applyAlignment="1">
      <alignment horizontal="center" vertical="center" wrapText="1"/>
    </xf>
    <xf numFmtId="3" fontId="0" fillId="0" borderId="0" xfId="0" applyNumberFormat="1" applyBorder="1"/>
    <xf numFmtId="0" fontId="0" fillId="3" borderId="0" xfId="0" applyFill="1" applyAlignment="1">
      <alignment horizontal="center"/>
    </xf>
    <xf numFmtId="0" fontId="44" fillId="5" borderId="0" xfId="0" applyFont="1" applyFill="1" applyAlignment="1">
      <alignment horizontal="center" vertical="center"/>
    </xf>
    <xf numFmtId="41" fontId="35" fillId="3" borderId="0" xfId="0" applyNumberFormat="1" applyFont="1" applyFill="1"/>
    <xf numFmtId="166" fontId="35" fillId="3" borderId="0" xfId="0" applyNumberFormat="1" applyFont="1" applyFill="1"/>
    <xf numFmtId="10" fontId="30" fillId="3" borderId="0" xfId="0" applyNumberFormat="1" applyFont="1" applyFill="1"/>
    <xf numFmtId="3" fontId="30" fillId="3" borderId="0" xfId="0" applyNumberFormat="1" applyFont="1" applyFill="1"/>
    <xf numFmtId="3" fontId="1" fillId="2" borderId="0" xfId="0" applyNumberFormat="1" applyFont="1" applyFill="1"/>
    <xf numFmtId="0" fontId="0" fillId="0" borderId="0" xfId="0" applyAlignment="1">
      <alignment vertical="center"/>
    </xf>
    <xf numFmtId="0" fontId="0" fillId="0" borderId="0" xfId="0" applyAlignment="1">
      <alignment vertical="center" wrapText="1"/>
    </xf>
    <xf numFmtId="0" fontId="32" fillId="0" borderId="25" xfId="0" applyFont="1" applyFill="1" applyBorder="1" applyAlignment="1">
      <alignment vertical="center"/>
    </xf>
    <xf numFmtId="0" fontId="32" fillId="0" borderId="1" xfId="0" applyFont="1" applyFill="1" applyBorder="1" applyAlignment="1">
      <alignment horizontal="center" vertical="center" wrapText="1"/>
    </xf>
    <xf numFmtId="0" fontId="31" fillId="0" borderId="2" xfId="0" applyFont="1" applyFill="1" applyBorder="1"/>
    <xf numFmtId="0" fontId="31" fillId="0" borderId="24" xfId="0" applyFont="1" applyFill="1" applyBorder="1"/>
    <xf numFmtId="0" fontId="67" fillId="0" borderId="2" xfId="0" applyFont="1" applyFill="1" applyBorder="1"/>
    <xf numFmtId="0" fontId="31" fillId="0" borderId="1" xfId="0" applyFont="1" applyFill="1" applyBorder="1"/>
    <xf numFmtId="167" fontId="31" fillId="0" borderId="7" xfId="3" applyNumberFormat="1" applyFont="1" applyFill="1" applyBorder="1"/>
    <xf numFmtId="0" fontId="31" fillId="0" borderId="1" xfId="0" applyFont="1" applyFill="1" applyBorder="1" applyAlignment="1">
      <alignment wrapText="1"/>
    </xf>
    <xf numFmtId="0" fontId="1" fillId="0" borderId="1" xfId="0" applyFont="1" applyFill="1" applyBorder="1"/>
    <xf numFmtId="168" fontId="1" fillId="0" borderId="1" xfId="3" applyNumberFormat="1" applyFont="1" applyFill="1" applyBorder="1"/>
    <xf numFmtId="0" fontId="31" fillId="0" borderId="2" xfId="0" applyFont="1" applyFill="1" applyBorder="1" applyAlignment="1"/>
    <xf numFmtId="0" fontId="31" fillId="0" borderId="7" xfId="0" applyFont="1" applyFill="1" applyBorder="1" applyAlignment="1"/>
    <xf numFmtId="0" fontId="1" fillId="0" borderId="1" xfId="0" applyFont="1" applyFill="1" applyBorder="1" applyAlignment="1">
      <alignment wrapText="1"/>
    </xf>
    <xf numFmtId="167" fontId="31" fillId="0" borderId="2" xfId="3" applyNumberFormat="1" applyFont="1" applyFill="1" applyBorder="1" applyAlignment="1">
      <alignment vertical="center"/>
    </xf>
    <xf numFmtId="1" fontId="1" fillId="3" borderId="0" xfId="3" applyNumberFormat="1" applyFont="1" applyFill="1" applyAlignment="1">
      <alignment horizontal="center"/>
    </xf>
    <xf numFmtId="1" fontId="1" fillId="3" borderId="0" xfId="10" applyNumberFormat="1" applyFont="1" applyFill="1" applyAlignment="1">
      <alignment horizontal="center"/>
    </xf>
    <xf numFmtId="1" fontId="1" fillId="3" borderId="32" xfId="3" applyNumberFormat="1" applyFont="1" applyFill="1" applyBorder="1" applyAlignment="1">
      <alignment horizontal="center"/>
    </xf>
    <xf numFmtId="0" fontId="0" fillId="0" borderId="24" xfId="0" applyFill="1" applyBorder="1" applyAlignment="1">
      <alignment vertical="center" wrapText="1"/>
    </xf>
    <xf numFmtId="3" fontId="0" fillId="0" borderId="1" xfId="0" applyNumberFormat="1" applyFill="1" applyBorder="1" applyAlignment="1">
      <alignment horizontal="center"/>
    </xf>
    <xf numFmtId="0" fontId="66" fillId="0" borderId="1" xfId="0" applyFont="1" applyFill="1" applyBorder="1" applyAlignment="1">
      <alignment horizontal="center" vertical="center" wrapText="1"/>
    </xf>
    <xf numFmtId="3" fontId="3" fillId="0" borderId="51" xfId="0" applyNumberFormat="1" applyFont="1" applyBorder="1" applyAlignment="1">
      <alignment horizontal="center" vertical="center" wrapText="1"/>
    </xf>
    <xf numFmtId="3" fontId="52" fillId="2" borderId="0" xfId="0" applyNumberFormat="1" applyFont="1" applyFill="1" applyAlignment="1">
      <alignment horizontal="center"/>
    </xf>
    <xf numFmtId="3" fontId="51" fillId="2" borderId="0" xfId="0" applyNumberFormat="1" applyFont="1" applyFill="1" applyAlignment="1">
      <alignment horizontal="center" wrapText="1"/>
    </xf>
    <xf numFmtId="14" fontId="1" fillId="0" borderId="0" xfId="37" applyNumberFormat="1" applyBorder="1" applyAlignment="1">
      <alignment horizontal="center"/>
    </xf>
    <xf numFmtId="3" fontId="1" fillId="0" borderId="0" xfId="37" applyNumberFormat="1" applyBorder="1" applyAlignment="1">
      <alignment horizontal="center"/>
    </xf>
    <xf numFmtId="3" fontId="1" fillId="0" borderId="0" xfId="37" applyNumberFormat="1" applyFont="1" applyBorder="1" applyAlignment="1">
      <alignment horizontal="center"/>
    </xf>
    <xf numFmtId="0" fontId="0" fillId="0" borderId="0" xfId="0"/>
    <xf numFmtId="0" fontId="4" fillId="0" borderId="0" xfId="0" applyFont="1" applyFill="1" applyAlignment="1">
      <alignment horizontal="center"/>
    </xf>
    <xf numFmtId="0" fontId="1" fillId="0" borderId="0" xfId="0" applyFont="1" applyFill="1" applyAlignment="1">
      <alignment horizontal="center"/>
    </xf>
    <xf numFmtId="3" fontId="4" fillId="0" borderId="0" xfId="0" applyNumberFormat="1" applyFont="1" applyFill="1" applyAlignment="1">
      <alignment horizontal="center"/>
    </xf>
    <xf numFmtId="0" fontId="4" fillId="0" borderId="0" xfId="0" applyFont="1" applyFill="1" applyAlignment="1">
      <alignment horizontal="left"/>
    </xf>
    <xf numFmtId="0" fontId="8" fillId="0" borderId="0" xfId="0" applyFont="1" applyFill="1" applyAlignment="1">
      <alignment horizontal="left" vertical="center"/>
    </xf>
    <xf numFmtId="0" fontId="54" fillId="5" borderId="0" xfId="0" applyFont="1" applyFill="1" applyAlignment="1">
      <alignment horizontal="left" vertical="center"/>
    </xf>
    <xf numFmtId="166" fontId="83" fillId="0" borderId="0" xfId="3" applyNumberFormat="1" applyFont="1" applyFill="1" applyAlignment="1">
      <alignment horizontal="center"/>
    </xf>
    <xf numFmtId="166" fontId="39" fillId="0" borderId="0" xfId="3" applyNumberFormat="1" applyFont="1" applyFill="1" applyAlignment="1">
      <alignment horizontal="center"/>
    </xf>
    <xf numFmtId="0" fontId="31" fillId="0" borderId="0" xfId="0" applyFont="1" applyFill="1" applyAlignment="1">
      <alignment horizontal="left"/>
    </xf>
    <xf numFmtId="3" fontId="39" fillId="0" borderId="0" xfId="3" applyNumberFormat="1" applyFont="1" applyFill="1" applyAlignment="1">
      <alignment horizontal="center"/>
    </xf>
    <xf numFmtId="0" fontId="4" fillId="0" borderId="0" xfId="0" applyFont="1" applyFill="1" applyAlignment="1">
      <alignment horizontal="left" vertical="center"/>
    </xf>
    <xf numFmtId="0" fontId="54" fillId="5" borderId="0" xfId="0" applyFont="1" applyFill="1" applyAlignment="1">
      <alignment horizontal="left"/>
    </xf>
    <xf numFmtId="0" fontId="0" fillId="0" borderId="0" xfId="0" applyAlignment="1">
      <alignment horizontal="left"/>
    </xf>
    <xf numFmtId="3" fontId="31" fillId="0" borderId="0" xfId="0" applyNumberFormat="1" applyFont="1" applyFill="1" applyAlignment="1">
      <alignment horizontal="center"/>
    </xf>
    <xf numFmtId="0" fontId="31" fillId="0" borderId="0" xfId="0" applyFont="1" applyFill="1" applyAlignment="1">
      <alignment horizontal="center"/>
    </xf>
    <xf numFmtId="0" fontId="44" fillId="5" borderId="0" xfId="0" applyFont="1" applyFill="1" applyAlignment="1">
      <alignment horizontal="center" vertical="center" wrapText="1"/>
    </xf>
    <xf numFmtId="166" fontId="44" fillId="5" borderId="0" xfId="3" applyNumberFormat="1" applyFont="1" applyFill="1" applyAlignment="1">
      <alignment horizontal="center" vertical="center" wrapText="1"/>
    </xf>
    <xf numFmtId="166" fontId="44" fillId="5" borderId="3" xfId="3" applyNumberFormat="1" applyFont="1" applyFill="1" applyBorder="1" applyAlignment="1">
      <alignment horizontal="center" vertical="center" wrapText="1"/>
    </xf>
    <xf numFmtId="0" fontId="36" fillId="0" borderId="0" xfId="0" applyFont="1" applyAlignment="1">
      <alignment horizontal="center"/>
    </xf>
    <xf numFmtId="0" fontId="44" fillId="0" borderId="0" xfId="0" applyFont="1" applyFill="1" applyAlignment="1">
      <alignment horizontal="center" vertical="center" wrapText="1"/>
    </xf>
    <xf numFmtId="0" fontId="36" fillId="4" borderId="0" xfId="0" applyFont="1" applyFill="1" applyAlignment="1">
      <alignment horizontal="center"/>
    </xf>
    <xf numFmtId="0" fontId="9" fillId="0" borderId="0" xfId="0" applyFont="1" applyAlignment="1">
      <alignment horizontal="center"/>
    </xf>
    <xf numFmtId="0" fontId="7" fillId="0" borderId="0" xfId="0" applyFont="1" applyAlignment="1">
      <alignment horizontal="center"/>
    </xf>
    <xf numFmtId="49" fontId="36" fillId="0" borderId="0" xfId="0" applyNumberFormat="1" applyFont="1" applyAlignment="1">
      <alignment horizontal="justify" vertical="center" wrapText="1"/>
    </xf>
    <xf numFmtId="49" fontId="36" fillId="0" borderId="0" xfId="0" applyNumberFormat="1" applyFont="1" applyAlignment="1">
      <alignment wrapText="1"/>
    </xf>
    <xf numFmtId="49" fontId="36" fillId="0" borderId="0" xfId="0" applyNumberFormat="1" applyFont="1" applyAlignment="1">
      <alignment horizontal="left" wrapText="1"/>
    </xf>
    <xf numFmtId="0" fontId="31" fillId="0" borderId="0" xfId="0" applyFont="1" applyBorder="1" applyAlignment="1">
      <alignment horizontal="center" vertical="center"/>
    </xf>
    <xf numFmtId="0" fontId="32" fillId="0" borderId="0" xfId="0" applyFont="1" applyAlignment="1">
      <alignment horizontal="left" vertical="center"/>
    </xf>
    <xf numFmtId="0" fontId="36" fillId="0" borderId="0" xfId="0" applyFont="1" applyAlignment="1">
      <alignment wrapText="1"/>
    </xf>
    <xf numFmtId="0" fontId="36" fillId="0" borderId="0" xfId="0" applyFont="1" applyBorder="1" applyAlignment="1">
      <alignment horizontal="left" wrapText="1"/>
    </xf>
    <xf numFmtId="0" fontId="4" fillId="0" borderId="36" xfId="0" applyFont="1" applyBorder="1" applyAlignment="1">
      <alignment horizontal="center" vertical="top" wrapText="1"/>
    </xf>
    <xf numFmtId="0" fontId="4" fillId="0" borderId="50" xfId="0" applyFont="1" applyBorder="1" applyAlignment="1">
      <alignment horizontal="center" vertical="top" wrapText="1"/>
    </xf>
    <xf numFmtId="0" fontId="4" fillId="0" borderId="11" xfId="0" applyFont="1" applyBorder="1" applyAlignment="1">
      <alignment horizontal="center" vertical="top" wrapText="1"/>
    </xf>
    <xf numFmtId="0" fontId="4" fillId="0" borderId="50" xfId="0" applyFont="1" applyBorder="1" applyAlignment="1">
      <alignment horizontal="justify" vertical="top" wrapText="1"/>
    </xf>
    <xf numFmtId="0" fontId="4" fillId="0" borderId="0" xfId="0" applyFont="1" applyBorder="1" applyAlignment="1">
      <alignment horizontal="justify" vertical="top" wrapText="1"/>
    </xf>
    <xf numFmtId="0" fontId="30" fillId="0" borderId="36" xfId="0" applyFont="1" applyBorder="1" applyAlignment="1">
      <alignment horizontal="center"/>
    </xf>
    <xf numFmtId="0" fontId="30" fillId="0" borderId="50" xfId="0" applyFont="1" applyBorder="1" applyAlignment="1">
      <alignment horizontal="center"/>
    </xf>
    <xf numFmtId="0" fontId="30" fillId="0" borderId="11" xfId="0" applyFont="1" applyBorder="1" applyAlignment="1">
      <alignment horizontal="center"/>
    </xf>
    <xf numFmtId="0" fontId="13" fillId="0" borderId="0" xfId="0" applyFont="1" applyBorder="1" applyAlignment="1">
      <alignment horizontal="justify" vertical="justify" wrapText="1"/>
    </xf>
    <xf numFmtId="0" fontId="0" fillId="0" borderId="0" xfId="0" applyAlignment="1">
      <alignment horizontal="center" vertical="center" wrapText="1"/>
    </xf>
    <xf numFmtId="0" fontId="31" fillId="0" borderId="0" xfId="0" applyFont="1" applyFill="1" applyAlignment="1">
      <alignment horizontal="left" vertical="justify" wrapText="1"/>
    </xf>
    <xf numFmtId="0" fontId="34" fillId="0" borderId="4" xfId="0" applyFont="1" applyFill="1" applyBorder="1" applyAlignment="1">
      <alignment horizontal="justify" vertical="justify" wrapText="1"/>
    </xf>
    <xf numFmtId="0" fontId="34" fillId="0" borderId="0" xfId="0" applyFont="1" applyFill="1" applyBorder="1" applyAlignment="1">
      <alignment horizontal="justify" vertical="justify" wrapText="1"/>
    </xf>
    <xf numFmtId="0" fontId="34" fillId="0" borderId="5" xfId="0" applyFont="1" applyFill="1" applyBorder="1" applyAlignment="1">
      <alignment horizontal="justify" vertical="justify" wrapText="1"/>
    </xf>
    <xf numFmtId="0" fontId="31" fillId="0" borderId="4" xfId="0" applyFont="1" applyFill="1" applyBorder="1" applyAlignment="1">
      <alignment horizontal="left" vertical="justify" wrapText="1"/>
    </xf>
    <xf numFmtId="0" fontId="31" fillId="0" borderId="0" xfId="0" applyFont="1" applyFill="1" applyBorder="1" applyAlignment="1">
      <alignment horizontal="left" vertical="justify" wrapText="1"/>
    </xf>
    <xf numFmtId="0" fontId="31" fillId="0" borderId="5" xfId="0" applyFont="1" applyFill="1" applyBorder="1" applyAlignment="1">
      <alignment horizontal="left" vertical="justify" wrapText="1"/>
    </xf>
    <xf numFmtId="0" fontId="32" fillId="0" borderId="4" xfId="0" applyFont="1" applyFill="1" applyBorder="1" applyAlignment="1">
      <alignment horizontal="left" vertical="justify" wrapText="1"/>
    </xf>
    <xf numFmtId="0" fontId="32" fillId="0" borderId="0" xfId="0" applyFont="1" applyFill="1" applyBorder="1" applyAlignment="1">
      <alignment horizontal="left" vertical="justify" wrapText="1"/>
    </xf>
    <xf numFmtId="0" fontId="32" fillId="0" borderId="5" xfId="0" applyFont="1" applyFill="1" applyBorder="1" applyAlignment="1">
      <alignment horizontal="left" vertical="justify" wrapText="1"/>
    </xf>
    <xf numFmtId="0" fontId="34" fillId="0" borderId="0" xfId="0" applyFont="1" applyFill="1" applyAlignment="1">
      <alignment horizontal="left" vertical="justify" wrapText="1"/>
    </xf>
    <xf numFmtId="0" fontId="4" fillId="0" borderId="4" xfId="0" applyFont="1" applyFill="1" applyBorder="1" applyAlignment="1">
      <alignment horizontal="left" vertical="justify" wrapText="1"/>
    </xf>
    <xf numFmtId="0" fontId="4" fillId="0" borderId="0" xfId="0" applyFont="1" applyFill="1" applyBorder="1" applyAlignment="1">
      <alignment horizontal="left" vertical="justify" wrapText="1"/>
    </xf>
    <xf numFmtId="0" fontId="4" fillId="0" borderId="5" xfId="0" applyFont="1" applyFill="1" applyBorder="1" applyAlignment="1">
      <alignment horizontal="left" vertical="justify" wrapText="1"/>
    </xf>
    <xf numFmtId="0" fontId="31" fillId="0" borderId="0" xfId="0" applyFont="1" applyAlignment="1">
      <alignment horizontal="left" vertical="top" wrapText="1"/>
    </xf>
    <xf numFmtId="0" fontId="1" fillId="0" borderId="26" xfId="0" applyFont="1" applyFill="1" applyBorder="1" applyAlignment="1">
      <alignment horizontal="left" vertical="justify" wrapText="1"/>
    </xf>
    <xf numFmtId="0" fontId="1" fillId="0" borderId="3" xfId="0" applyFont="1" applyFill="1" applyBorder="1" applyAlignment="1">
      <alignment horizontal="left" vertical="justify" wrapText="1"/>
    </xf>
    <xf numFmtId="0" fontId="1" fillId="0" borderId="6" xfId="0" applyFont="1" applyFill="1" applyBorder="1" applyAlignment="1">
      <alignment horizontal="left" vertical="justify" wrapText="1"/>
    </xf>
    <xf numFmtId="0" fontId="84" fillId="14" borderId="0" xfId="0" applyFont="1" applyFill="1" applyAlignment="1">
      <alignment horizontal="left" vertical="center" wrapText="1"/>
    </xf>
    <xf numFmtId="0" fontId="84" fillId="14" borderId="5" xfId="0" applyFont="1" applyFill="1" applyBorder="1" applyAlignment="1">
      <alignment horizontal="left" vertical="center" wrapText="1"/>
    </xf>
    <xf numFmtId="0" fontId="32" fillId="0" borderId="4" xfId="0" applyFont="1" applyFill="1" applyBorder="1" applyAlignment="1">
      <alignment horizontal="left"/>
    </xf>
    <xf numFmtId="0" fontId="32" fillId="0" borderId="0" xfId="0" applyFont="1" applyFill="1" applyBorder="1" applyAlignment="1">
      <alignment horizontal="left"/>
    </xf>
    <xf numFmtId="0" fontId="32" fillId="0" borderId="5" xfId="0" applyFont="1" applyFill="1" applyBorder="1" applyAlignment="1">
      <alignment horizontal="left"/>
    </xf>
    <xf numFmtId="0" fontId="44" fillId="5" borderId="4" xfId="0" applyFont="1" applyFill="1" applyBorder="1" applyAlignment="1">
      <alignment horizontal="left" vertical="center"/>
    </xf>
    <xf numFmtId="0" fontId="44" fillId="5" borderId="0" xfId="0" applyFont="1" applyFill="1" applyBorder="1" applyAlignment="1">
      <alignment horizontal="left" vertical="center"/>
    </xf>
    <xf numFmtId="0" fontId="44" fillId="5" borderId="5" xfId="0" applyFont="1" applyFill="1" applyBorder="1" applyAlignment="1">
      <alignment horizontal="left" vertical="center"/>
    </xf>
    <xf numFmtId="0" fontId="34" fillId="0" borderId="0" xfId="0" applyFont="1" applyFill="1" applyBorder="1" applyAlignment="1">
      <alignment horizontal="justify" vertical="justify"/>
    </xf>
    <xf numFmtId="0" fontId="34" fillId="0" borderId="5" xfId="0" applyFont="1" applyFill="1" applyBorder="1" applyAlignment="1">
      <alignment horizontal="justify" vertical="justify"/>
    </xf>
    <xf numFmtId="0" fontId="34" fillId="0" borderId="4" xfId="0" applyFont="1" applyFill="1" applyBorder="1" applyAlignment="1">
      <alignment horizontal="left" vertical="justify" wrapText="1"/>
    </xf>
    <xf numFmtId="0" fontId="34" fillId="0" borderId="0" xfId="0" applyFont="1" applyFill="1" applyBorder="1" applyAlignment="1">
      <alignment horizontal="left" vertical="justify" wrapText="1"/>
    </xf>
    <xf numFmtId="0" fontId="34" fillId="0" borderId="5" xfId="0" applyFont="1" applyFill="1" applyBorder="1" applyAlignment="1">
      <alignment horizontal="left" vertical="justify" wrapText="1"/>
    </xf>
    <xf numFmtId="0" fontId="56" fillId="0" borderId="4" xfId="0" applyFont="1" applyBorder="1" applyAlignment="1">
      <alignment horizontal="left" vertical="top" wrapText="1"/>
    </xf>
    <xf numFmtId="0" fontId="56" fillId="0" borderId="0" xfId="0" applyFont="1" applyBorder="1" applyAlignment="1">
      <alignment horizontal="left" vertical="top" wrapText="1"/>
    </xf>
    <xf numFmtId="0" fontId="56" fillId="0" borderId="5" xfId="0" applyFont="1" applyBorder="1" applyAlignment="1">
      <alignment horizontal="left" vertical="top" wrapText="1"/>
    </xf>
    <xf numFmtId="0" fontId="85" fillId="0" borderId="4" xfId="0" applyFont="1" applyFill="1" applyBorder="1" applyAlignment="1">
      <alignment horizontal="left" wrapText="1"/>
    </xf>
    <xf numFmtId="0" fontId="85" fillId="0" borderId="0" xfId="0" applyFont="1" applyFill="1" applyBorder="1" applyAlignment="1">
      <alignment horizontal="left" wrapText="1"/>
    </xf>
    <xf numFmtId="0" fontId="85" fillId="0" borderId="5" xfId="0" applyFont="1" applyFill="1" applyBorder="1" applyAlignment="1">
      <alignment horizontal="left" wrapText="1"/>
    </xf>
    <xf numFmtId="0" fontId="11" fillId="0" borderId="25" xfId="0" applyFont="1" applyFill="1" applyBorder="1" applyAlignment="1">
      <alignment horizontal="justify" vertical="justify" wrapText="1"/>
    </xf>
    <xf numFmtId="0" fontId="11" fillId="0" borderId="8" xfId="0" applyFont="1" applyFill="1" applyBorder="1" applyAlignment="1">
      <alignment horizontal="justify" vertical="justify" wrapText="1"/>
    </xf>
    <xf numFmtId="0" fontId="11" fillId="0" borderId="27" xfId="0" applyFont="1" applyFill="1" applyBorder="1" applyAlignment="1">
      <alignment horizontal="justify" vertical="justify" wrapText="1"/>
    </xf>
    <xf numFmtId="0" fontId="44" fillId="5" borderId="0" xfId="0" applyFont="1" applyFill="1" applyAlignment="1">
      <alignment horizontal="left"/>
    </xf>
    <xf numFmtId="0" fontId="58" fillId="3" borderId="0" xfId="0" applyFont="1" applyFill="1" applyAlignment="1">
      <alignment horizontal="center"/>
    </xf>
    <xf numFmtId="0" fontId="34" fillId="3" borderId="2" xfId="0" applyFont="1" applyFill="1" applyBorder="1" applyAlignment="1">
      <alignment horizontal="center"/>
    </xf>
    <xf numFmtId="0" fontId="34" fillId="3" borderId="29" xfId="0" applyFont="1" applyFill="1" applyBorder="1" applyAlignment="1">
      <alignment horizontal="center"/>
    </xf>
    <xf numFmtId="0" fontId="31" fillId="0" borderId="0" xfId="0" applyFont="1" applyAlignment="1">
      <alignment horizontal="left" vertical="center"/>
    </xf>
    <xf numFmtId="0" fontId="44" fillId="5" borderId="0" xfId="0" applyFont="1" applyFill="1" applyAlignment="1">
      <alignment horizontal="left" vertical="center"/>
    </xf>
    <xf numFmtId="0" fontId="72" fillId="9" borderId="2" xfId="17" applyFont="1" applyFill="1" applyBorder="1" applyAlignment="1">
      <alignment horizontal="left" vertical="center"/>
    </xf>
    <xf numFmtId="0" fontId="72" fillId="9" borderId="7" xfId="17" applyFont="1" applyFill="1" applyBorder="1" applyAlignment="1">
      <alignment horizontal="left" vertical="center"/>
    </xf>
    <xf numFmtId="0" fontId="72" fillId="9" borderId="29" xfId="17" applyFont="1" applyFill="1" applyBorder="1" applyAlignment="1">
      <alignment horizontal="left" vertical="center"/>
    </xf>
    <xf numFmtId="0" fontId="32" fillId="0" borderId="0" xfId="0" applyFont="1" applyAlignment="1">
      <alignment horizontal="left"/>
    </xf>
    <xf numFmtId="0" fontId="30" fillId="2" borderId="0" xfId="0" applyFont="1" applyFill="1" applyAlignment="1">
      <alignment horizontal="center" vertical="center"/>
    </xf>
    <xf numFmtId="0" fontId="61" fillId="3" borderId="0" xfId="0" applyFont="1" applyFill="1" applyAlignment="1">
      <alignment horizontal="left"/>
    </xf>
    <xf numFmtId="0" fontId="44" fillId="5" borderId="0" xfId="0" applyFont="1" applyFill="1" applyAlignment="1">
      <alignment horizontal="center" vertical="center"/>
    </xf>
    <xf numFmtId="0" fontId="0" fillId="2" borderId="0" xfId="0" applyFill="1" applyAlignment="1">
      <alignment horizontal="center"/>
    </xf>
    <xf numFmtId="0" fontId="60" fillId="2" borderId="0" xfId="0" applyFont="1" applyFill="1" applyAlignment="1">
      <alignment horizontal="center"/>
    </xf>
    <xf numFmtId="0" fontId="84" fillId="2" borderId="0" xfId="0" applyFont="1" applyFill="1" applyAlignment="1">
      <alignment horizontal="left" wrapText="1"/>
    </xf>
    <xf numFmtId="0" fontId="11" fillId="0" borderId="37" xfId="0" applyFont="1" applyBorder="1" applyAlignment="1">
      <alignment horizontal="center" vertical="center" wrapText="1"/>
    </xf>
    <xf numFmtId="0" fontId="11" fillId="0" borderId="48" xfId="0" applyFont="1" applyBorder="1" applyAlignment="1">
      <alignment horizontal="center" vertical="center" wrapText="1"/>
    </xf>
    <xf numFmtId="0" fontId="44" fillId="5" borderId="0" xfId="0" applyFont="1" applyFill="1" applyBorder="1" applyAlignment="1">
      <alignment horizontal="left"/>
    </xf>
    <xf numFmtId="9" fontId="33" fillId="2" borderId="0" xfId="95" applyFont="1" applyFill="1" applyBorder="1" applyAlignment="1">
      <alignment horizontal="center"/>
    </xf>
    <xf numFmtId="9" fontId="70" fillId="2" borderId="0" xfId="95" applyFont="1" applyFill="1" applyBorder="1" applyAlignment="1">
      <alignment horizontal="left"/>
    </xf>
    <xf numFmtId="0" fontId="56" fillId="2" borderId="0" xfId="0" applyFont="1" applyFill="1" applyBorder="1" applyAlignment="1">
      <alignment horizontal="left"/>
    </xf>
    <xf numFmtId="0" fontId="51" fillId="2" borderId="0" xfId="0" applyFont="1" applyFill="1" applyAlignment="1">
      <alignment horizontal="left"/>
    </xf>
    <xf numFmtId="0" fontId="84" fillId="0" borderId="0" xfId="0" applyFont="1" applyFill="1" applyAlignment="1">
      <alignment horizontal="left" vertical="center" wrapText="1"/>
    </xf>
    <xf numFmtId="0" fontId="51" fillId="2" borderId="0" xfId="0" applyFont="1" applyFill="1" applyAlignment="1">
      <alignment horizontal="left" vertical="center" wrapText="1"/>
    </xf>
    <xf numFmtId="0" fontId="26" fillId="5" borderId="0" xfId="0" applyFont="1" applyFill="1" applyAlignment="1">
      <alignment horizontal="left"/>
    </xf>
    <xf numFmtId="0" fontId="63" fillId="0" borderId="0" xfId="0" applyFont="1" applyAlignment="1">
      <alignment horizontal="left" vertical="center" wrapText="1"/>
    </xf>
    <xf numFmtId="0" fontId="63" fillId="2" borderId="0" xfId="0" applyFont="1" applyFill="1" applyAlignment="1">
      <alignment horizontal="left" vertical="center" wrapText="1"/>
    </xf>
    <xf numFmtId="0" fontId="63" fillId="2" borderId="0" xfId="0" applyFont="1" applyFill="1" applyAlignment="1">
      <alignment horizontal="left" vertical="center"/>
    </xf>
    <xf numFmtId="0" fontId="51" fillId="2" borderId="0" xfId="0" applyFont="1" applyFill="1" applyAlignment="1">
      <alignment horizontal="left" wrapText="1"/>
    </xf>
    <xf numFmtId="0" fontId="75" fillId="10" borderId="0" xfId="0" applyFont="1" applyFill="1" applyBorder="1" applyAlignment="1">
      <alignment horizontal="left"/>
    </xf>
    <xf numFmtId="0" fontId="18" fillId="10" borderId="0" xfId="0" applyFont="1" applyFill="1" applyBorder="1" applyAlignment="1">
      <alignment horizontal="left" wrapText="1"/>
    </xf>
    <xf numFmtId="0" fontId="1" fillId="0" borderId="0" xfId="37" applyFont="1" applyBorder="1" applyAlignment="1">
      <alignment horizontal="center"/>
    </xf>
    <xf numFmtId="0" fontId="1" fillId="0" borderId="0" xfId="37" applyBorder="1" applyAlignment="1">
      <alignment horizontal="center"/>
    </xf>
    <xf numFmtId="0" fontId="3" fillId="0" borderId="4" xfId="37" applyFont="1" applyFill="1" applyBorder="1" applyAlignment="1">
      <alignment horizontal="left"/>
    </xf>
    <xf numFmtId="0" fontId="3" fillId="0" borderId="0" xfId="37" applyFont="1" applyFill="1" applyBorder="1" applyAlignment="1">
      <alignment horizontal="left"/>
    </xf>
    <xf numFmtId="0" fontId="3" fillId="0" borderId="5" xfId="37" applyFont="1" applyFill="1" applyBorder="1" applyAlignment="1">
      <alignment horizontal="left"/>
    </xf>
    <xf numFmtId="0" fontId="6" fillId="12" borderId="2" xfId="37" applyFont="1" applyFill="1" applyBorder="1" applyAlignment="1">
      <alignment horizontal="center" vertical="center"/>
    </xf>
    <xf numFmtId="0" fontId="6" fillId="12" borderId="7" xfId="37" applyFont="1" applyFill="1" applyBorder="1" applyAlignment="1">
      <alignment horizontal="center" vertical="center"/>
    </xf>
    <xf numFmtId="0" fontId="6" fillId="12" borderId="29" xfId="37" applyFont="1" applyFill="1" applyBorder="1" applyAlignment="1">
      <alignment horizontal="center" vertical="center"/>
    </xf>
    <xf numFmtId="0" fontId="13" fillId="12" borderId="7" xfId="37" applyFont="1" applyFill="1" applyBorder="1" applyAlignment="1">
      <alignment horizontal="center" vertical="center" wrapText="1" shrinkToFit="1"/>
    </xf>
    <xf numFmtId="0" fontId="13" fillId="12" borderId="29" xfId="37" applyFont="1" applyFill="1" applyBorder="1" applyAlignment="1">
      <alignment horizontal="center" vertical="center" wrapText="1" shrinkToFit="1"/>
    </xf>
    <xf numFmtId="0" fontId="1" fillId="0" borderId="1" xfId="37" applyBorder="1" applyAlignment="1">
      <alignment horizontal="center"/>
    </xf>
    <xf numFmtId="0" fontId="24" fillId="12" borderId="4" xfId="37" applyFont="1" applyFill="1" applyBorder="1" applyAlignment="1">
      <alignment horizontal="center"/>
    </xf>
    <xf numFmtId="0" fontId="24" fillId="12" borderId="0" xfId="37" applyFont="1" applyFill="1" applyBorder="1" applyAlignment="1">
      <alignment horizontal="center"/>
    </xf>
    <xf numFmtId="0" fontId="24" fillId="12" borderId="5" xfId="37" applyFont="1" applyFill="1" applyBorder="1" applyAlignment="1">
      <alignment horizontal="center"/>
    </xf>
    <xf numFmtId="0" fontId="13" fillId="0" borderId="1" xfId="37" applyFont="1" applyBorder="1" applyAlignment="1">
      <alignment horizontal="center" vertical="center"/>
    </xf>
    <xf numFmtId="0" fontId="13" fillId="0" borderId="2" xfId="37" applyFont="1" applyBorder="1" applyAlignment="1">
      <alignment horizontal="center" vertical="center" wrapText="1" shrinkToFit="1"/>
    </xf>
    <xf numFmtId="0" fontId="13" fillId="0" borderId="29" xfId="37" applyFont="1" applyBorder="1" applyAlignment="1">
      <alignment horizontal="center" vertical="center" wrapText="1" shrinkToFit="1"/>
    </xf>
    <xf numFmtId="3" fontId="1" fillId="0" borderId="2" xfId="37" applyNumberFormat="1" applyBorder="1" applyAlignment="1">
      <alignment horizontal="center"/>
    </xf>
    <xf numFmtId="3" fontId="1" fillId="0" borderId="29" xfId="37" applyNumberFormat="1" applyBorder="1" applyAlignment="1">
      <alignment horizontal="center"/>
    </xf>
    <xf numFmtId="9" fontId="1" fillId="0" borderId="1" xfId="37" applyNumberFormat="1" applyBorder="1" applyAlignment="1">
      <alignment horizontal="center"/>
    </xf>
    <xf numFmtId="0" fontId="22" fillId="12" borderId="52" xfId="37" applyFont="1" applyFill="1" applyBorder="1" applyAlignment="1">
      <alignment horizontal="center"/>
    </xf>
    <xf numFmtId="0" fontId="22" fillId="12" borderId="53" xfId="37" applyFont="1" applyFill="1" applyBorder="1" applyAlignment="1">
      <alignment horizontal="center"/>
    </xf>
    <xf numFmtId="0" fontId="22" fillId="12" borderId="54" xfId="37" applyFont="1" applyFill="1" applyBorder="1" applyAlignment="1">
      <alignment horizontal="center"/>
    </xf>
    <xf numFmtId="0" fontId="4" fillId="0" borderId="55" xfId="37" applyFont="1" applyBorder="1" applyAlignment="1">
      <alignment horizontal="center"/>
    </xf>
    <xf numFmtId="0" fontId="4" fillId="0" borderId="42" xfId="37" applyFont="1" applyBorder="1" applyAlignment="1">
      <alignment horizontal="center"/>
    </xf>
    <xf numFmtId="0" fontId="4" fillId="0" borderId="56" xfId="37" applyFont="1" applyBorder="1" applyAlignment="1">
      <alignment horizontal="center"/>
    </xf>
    <xf numFmtId="0" fontId="13" fillId="0" borderId="1" xfId="37" applyFont="1" applyBorder="1" applyAlignment="1">
      <alignment horizontal="center" wrapText="1" shrinkToFit="1"/>
    </xf>
  </cellXfs>
  <cellStyles count="96">
    <cellStyle name="Comma 4 2" xfId="1"/>
    <cellStyle name="Hipervínculo" xfId="2" builtinId="8"/>
    <cellStyle name="Millares" xfId="3" builtinId="3"/>
    <cellStyle name="Millares [0]" xfId="4" builtinId="6"/>
    <cellStyle name="Millares [0] 3" xfId="5"/>
    <cellStyle name="Millares 100 11" xfId="6"/>
    <cellStyle name="Millares 174 2" xfId="7"/>
    <cellStyle name="Millares 2" xfId="8"/>
    <cellStyle name="Millares 2 2" xfId="9"/>
    <cellStyle name="Millares 212" xfId="10"/>
    <cellStyle name="Millares 3" xfId="11"/>
    <cellStyle name="Millares 3 11" xfId="12"/>
    <cellStyle name="Millares 4" xfId="13"/>
    <cellStyle name="Millares 654 2 2" xfId="14"/>
    <cellStyle name="Millares 656" xfId="15"/>
    <cellStyle name="Millares 657" xfId="16"/>
    <cellStyle name="Normal" xfId="0" builtinId="0"/>
    <cellStyle name="Normal 10 10 2 2 2" xfId="17"/>
    <cellStyle name="Normal 1016" xfId="18"/>
    <cellStyle name="Normal 1018" xfId="19"/>
    <cellStyle name="Normal 1022" xfId="20"/>
    <cellStyle name="Normal 1024" xfId="21"/>
    <cellStyle name="Normal 1025" xfId="22"/>
    <cellStyle name="Normal 1026" xfId="23"/>
    <cellStyle name="Normal 1027" xfId="24"/>
    <cellStyle name="Normal 105" xfId="25"/>
    <cellStyle name="Normal 107" xfId="26"/>
    <cellStyle name="Normal 109" xfId="27"/>
    <cellStyle name="Normal 12 10" xfId="28"/>
    <cellStyle name="Normal 12 2 10" xfId="29"/>
    <cellStyle name="Normal 12 2 2 4" xfId="30"/>
    <cellStyle name="Normal 125" xfId="31"/>
    <cellStyle name="Normal 126" xfId="32"/>
    <cellStyle name="Normal 199 2 2" xfId="33"/>
    <cellStyle name="Normal 2" xfId="34"/>
    <cellStyle name="Normal 2 10 2 2 2" xfId="35"/>
    <cellStyle name="Normal 2 2 2 3" xfId="36"/>
    <cellStyle name="Normal 4" xfId="37"/>
    <cellStyle name="Normal 6" xfId="38"/>
    <cellStyle name="Normal 601" xfId="39"/>
    <cellStyle name="Normal 605" xfId="40"/>
    <cellStyle name="Normal 606" xfId="41"/>
    <cellStyle name="Normal 636" xfId="42"/>
    <cellStyle name="Normal 640" xfId="43"/>
    <cellStyle name="Normal 643" xfId="44"/>
    <cellStyle name="Normal 646" xfId="45"/>
    <cellStyle name="Normal 647" xfId="46"/>
    <cellStyle name="Normal 649" xfId="47"/>
    <cellStyle name="Normal 650" xfId="48"/>
    <cellStyle name="Normal 651" xfId="49"/>
    <cellStyle name="Normal 652" xfId="50"/>
    <cellStyle name="Normal 653" xfId="51"/>
    <cellStyle name="Normal 654" xfId="52"/>
    <cellStyle name="Normal 655" xfId="53"/>
    <cellStyle name="Normal 656" xfId="54"/>
    <cellStyle name="Normal 657" xfId="55"/>
    <cellStyle name="Normal 658" xfId="56"/>
    <cellStyle name="Normal 659" xfId="57"/>
    <cellStyle name="Normal 660" xfId="58"/>
    <cellStyle name="Normal 662" xfId="59"/>
    <cellStyle name="Normal 663" xfId="60"/>
    <cellStyle name="Normal 664" xfId="61"/>
    <cellStyle name="Normal 665" xfId="62"/>
    <cellStyle name="Normal 667" xfId="63"/>
    <cellStyle name="Normal 673" xfId="64"/>
    <cellStyle name="Normal 674" xfId="65"/>
    <cellStyle name="Normal 675" xfId="66"/>
    <cellStyle name="Normal 676" xfId="67"/>
    <cellStyle name="Normal 677" xfId="68"/>
    <cellStyle name="Normal 678" xfId="69"/>
    <cellStyle name="Normal 679" xfId="70"/>
    <cellStyle name="Normal 684" xfId="71"/>
    <cellStyle name="Normal 713" xfId="72"/>
    <cellStyle name="Normal 714" xfId="73"/>
    <cellStyle name="Normal 715" xfId="74"/>
    <cellStyle name="Normal 744" xfId="75"/>
    <cellStyle name="Normal 802" xfId="76"/>
    <cellStyle name="Normal 944" xfId="77"/>
    <cellStyle name="Normal 947" xfId="78"/>
    <cellStyle name="Normal 952" xfId="79"/>
    <cellStyle name="Normal 957" xfId="80"/>
    <cellStyle name="Normal 958" xfId="81"/>
    <cellStyle name="Normal 959" xfId="82"/>
    <cellStyle name="Normal 960" xfId="83"/>
    <cellStyle name="Normal 961" xfId="84"/>
    <cellStyle name="Normal 962" xfId="85"/>
    <cellStyle name="Normal 963" xfId="86"/>
    <cellStyle name="Normal 964" xfId="87"/>
    <cellStyle name="Normal 965" xfId="88"/>
    <cellStyle name="Normal 966" xfId="89"/>
    <cellStyle name="Normal 967" xfId="90"/>
    <cellStyle name="Normal 971" xfId="91"/>
    <cellStyle name="Normal 986" xfId="92"/>
    <cellStyle name="Normal_ANEXOC" xfId="93"/>
    <cellStyle name="Normal_ANEXOJ" xfId="94"/>
    <cellStyle name="Porcentaje" xfId="9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externalLink" Target="externalLinks/externalLink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5.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2.emf"/></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106680</xdr:colOff>
      <xdr:row>0</xdr:row>
      <xdr:rowOff>76200</xdr:rowOff>
    </xdr:from>
    <xdr:to>
      <xdr:col>0</xdr:col>
      <xdr:colOff>1394460</xdr:colOff>
      <xdr:row>3</xdr:row>
      <xdr:rowOff>45720</xdr:rowOff>
    </xdr:to>
    <xdr:pic>
      <xdr:nvPicPr>
        <xdr:cNvPr id="1391" name="Picture 1" descr="image001">
          <a:extLst>
            <a:ext uri="{FF2B5EF4-FFF2-40B4-BE49-F238E27FC236}">
              <a16:creationId xmlns:a16="http://schemas.microsoft.com/office/drawing/2014/main" id="{2E640450-CD11-496F-983B-5213B2058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76200"/>
          <a:ext cx="128778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198120</xdr:colOff>
      <xdr:row>34</xdr:row>
      <xdr:rowOff>45720</xdr:rowOff>
    </xdr:from>
    <xdr:to>
      <xdr:col>6</xdr:col>
      <xdr:colOff>198120</xdr:colOff>
      <xdr:row>43</xdr:row>
      <xdr:rowOff>38100</xdr:rowOff>
    </xdr:to>
    <xdr:pic>
      <xdr:nvPicPr>
        <xdr:cNvPr id="10973" name="Imagen 1">
          <a:extLst>
            <a:ext uri="{FF2B5EF4-FFF2-40B4-BE49-F238E27FC236}">
              <a16:creationId xmlns:a16="http://schemas.microsoft.com/office/drawing/2014/main" id="{F43CDD36-9855-4DA2-B617-FA749DFC98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005" r="10535" b="16901"/>
        <a:stretch>
          <a:fillRect/>
        </a:stretch>
      </xdr:blipFill>
      <xdr:spPr bwMode="auto">
        <a:xfrm>
          <a:off x="8282940" y="7025640"/>
          <a:ext cx="422148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0</xdr:rowOff>
    </xdr:from>
    <xdr:to>
      <xdr:col>7</xdr:col>
      <xdr:colOff>1287780</xdr:colOff>
      <xdr:row>2</xdr:row>
      <xdr:rowOff>68580</xdr:rowOff>
    </xdr:to>
    <xdr:pic>
      <xdr:nvPicPr>
        <xdr:cNvPr id="10974" name="Picture 1" descr="image001">
          <a:extLst>
            <a:ext uri="{FF2B5EF4-FFF2-40B4-BE49-F238E27FC236}">
              <a16:creationId xmlns:a16="http://schemas.microsoft.com/office/drawing/2014/main" id="{AEC18AC4-CA5D-4675-A16B-8E3C570AF0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12140" y="0"/>
          <a:ext cx="12115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784860</xdr:colOff>
      <xdr:row>0</xdr:row>
      <xdr:rowOff>45720</xdr:rowOff>
    </xdr:from>
    <xdr:to>
      <xdr:col>6</xdr:col>
      <xdr:colOff>815340</xdr:colOff>
      <xdr:row>2</xdr:row>
      <xdr:rowOff>160020</xdr:rowOff>
    </xdr:to>
    <xdr:pic>
      <xdr:nvPicPr>
        <xdr:cNvPr id="11631" name="Picture 1" descr="image001">
          <a:extLst>
            <a:ext uri="{FF2B5EF4-FFF2-40B4-BE49-F238E27FC236}">
              <a16:creationId xmlns:a16="http://schemas.microsoft.com/office/drawing/2014/main" id="{06D42497-BC84-4B03-8549-BA2A87EEF3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6860" y="45720"/>
          <a:ext cx="128778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1104900</xdr:colOff>
      <xdr:row>0</xdr:row>
      <xdr:rowOff>0</xdr:rowOff>
    </xdr:from>
    <xdr:to>
      <xdr:col>2</xdr:col>
      <xdr:colOff>1089660</xdr:colOff>
      <xdr:row>2</xdr:row>
      <xdr:rowOff>76200</xdr:rowOff>
    </xdr:to>
    <xdr:pic>
      <xdr:nvPicPr>
        <xdr:cNvPr id="12655" name="Picture 1" descr="image001">
          <a:extLst>
            <a:ext uri="{FF2B5EF4-FFF2-40B4-BE49-F238E27FC236}">
              <a16:creationId xmlns:a16="http://schemas.microsoft.com/office/drawing/2014/main" id="{74AB9E8D-43A9-426C-9837-E98E54E9E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1520" y="0"/>
          <a:ext cx="12877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403860</xdr:colOff>
      <xdr:row>0</xdr:row>
      <xdr:rowOff>45720</xdr:rowOff>
    </xdr:from>
    <xdr:to>
      <xdr:col>2</xdr:col>
      <xdr:colOff>1684020</xdr:colOff>
      <xdr:row>2</xdr:row>
      <xdr:rowOff>121920</xdr:rowOff>
    </xdr:to>
    <xdr:pic>
      <xdr:nvPicPr>
        <xdr:cNvPr id="13679" name="Picture 1" descr="image001">
          <a:extLst>
            <a:ext uri="{FF2B5EF4-FFF2-40B4-BE49-F238E27FC236}">
              <a16:creationId xmlns:a16="http://schemas.microsoft.com/office/drawing/2014/main" id="{B3AF3BA3-2FA1-4BEB-9F89-3D67DFD70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6320" y="45720"/>
          <a:ext cx="128016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243840</xdr:colOff>
      <xdr:row>1</xdr:row>
      <xdr:rowOff>91440</xdr:rowOff>
    </xdr:from>
    <xdr:to>
      <xdr:col>12</xdr:col>
      <xdr:colOff>746760</xdr:colOff>
      <xdr:row>3</xdr:row>
      <xdr:rowOff>167640</xdr:rowOff>
    </xdr:to>
    <xdr:pic>
      <xdr:nvPicPr>
        <xdr:cNvPr id="14703" name="Picture 1" descr="image001">
          <a:extLst>
            <a:ext uri="{FF2B5EF4-FFF2-40B4-BE49-F238E27FC236}">
              <a16:creationId xmlns:a16="http://schemas.microsoft.com/office/drawing/2014/main" id="{76324371-88DF-4E2F-A5A2-4A9BC4AF1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53900" y="274320"/>
          <a:ext cx="12877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1066800</xdr:colOff>
      <xdr:row>0</xdr:row>
      <xdr:rowOff>15240</xdr:rowOff>
    </xdr:from>
    <xdr:to>
      <xdr:col>4</xdr:col>
      <xdr:colOff>7620</xdr:colOff>
      <xdr:row>2</xdr:row>
      <xdr:rowOff>91440</xdr:rowOff>
    </xdr:to>
    <xdr:pic>
      <xdr:nvPicPr>
        <xdr:cNvPr id="15727" name="Picture 1" descr="image001">
          <a:extLst>
            <a:ext uri="{FF2B5EF4-FFF2-40B4-BE49-F238E27FC236}">
              <a16:creationId xmlns:a16="http://schemas.microsoft.com/office/drawing/2014/main" id="{B6A8DFF8-B059-44E5-AE26-90F0B313C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0620" y="15240"/>
          <a:ext cx="12877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7620</xdr:colOff>
      <xdr:row>0</xdr:row>
      <xdr:rowOff>53340</xdr:rowOff>
    </xdr:from>
    <xdr:to>
      <xdr:col>4</xdr:col>
      <xdr:colOff>510540</xdr:colOff>
      <xdr:row>2</xdr:row>
      <xdr:rowOff>129540</xdr:rowOff>
    </xdr:to>
    <xdr:pic>
      <xdr:nvPicPr>
        <xdr:cNvPr id="16751" name="Picture 1" descr="image001">
          <a:extLst>
            <a:ext uri="{FF2B5EF4-FFF2-40B4-BE49-F238E27FC236}">
              <a16:creationId xmlns:a16="http://schemas.microsoft.com/office/drawing/2014/main" id="{3197BB7F-7491-425E-A5FE-AAC3632DD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5380" y="53340"/>
          <a:ext cx="12877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533400</xdr:colOff>
      <xdr:row>0</xdr:row>
      <xdr:rowOff>60960</xdr:rowOff>
    </xdr:from>
    <xdr:to>
      <xdr:col>3</xdr:col>
      <xdr:colOff>624840</xdr:colOff>
      <xdr:row>2</xdr:row>
      <xdr:rowOff>137160</xdr:rowOff>
    </xdr:to>
    <xdr:pic>
      <xdr:nvPicPr>
        <xdr:cNvPr id="17775" name="Picture 1" descr="image001">
          <a:extLst>
            <a:ext uri="{FF2B5EF4-FFF2-40B4-BE49-F238E27FC236}">
              <a16:creationId xmlns:a16="http://schemas.microsoft.com/office/drawing/2014/main" id="{9D45F836-72E0-4F37-ADBB-74E99C339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98520" y="60960"/>
          <a:ext cx="128016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1127760</xdr:colOff>
      <xdr:row>0</xdr:row>
      <xdr:rowOff>60960</xdr:rowOff>
    </xdr:from>
    <xdr:to>
      <xdr:col>4</xdr:col>
      <xdr:colOff>1143000</xdr:colOff>
      <xdr:row>2</xdr:row>
      <xdr:rowOff>137160</xdr:rowOff>
    </xdr:to>
    <xdr:pic>
      <xdr:nvPicPr>
        <xdr:cNvPr id="18799" name="Picture 1" descr="image001">
          <a:extLst>
            <a:ext uri="{FF2B5EF4-FFF2-40B4-BE49-F238E27FC236}">
              <a16:creationId xmlns:a16="http://schemas.microsoft.com/office/drawing/2014/main" id="{50531625-3B95-4886-A3BE-CF595A1E5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3440" y="60960"/>
          <a:ext cx="128016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1211580</xdr:colOff>
      <xdr:row>0</xdr:row>
      <xdr:rowOff>68580</xdr:rowOff>
    </xdr:from>
    <xdr:to>
      <xdr:col>11</xdr:col>
      <xdr:colOff>1257300</xdr:colOff>
      <xdr:row>2</xdr:row>
      <xdr:rowOff>144780</xdr:rowOff>
    </xdr:to>
    <xdr:pic>
      <xdr:nvPicPr>
        <xdr:cNvPr id="19823" name="Picture 1" descr="image001">
          <a:extLst>
            <a:ext uri="{FF2B5EF4-FFF2-40B4-BE49-F238E27FC236}">
              <a16:creationId xmlns:a16="http://schemas.microsoft.com/office/drawing/2014/main" id="{84C2BF50-0DB4-44D4-9AC2-2CEDA349D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4300" y="68580"/>
          <a:ext cx="128778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1280160</xdr:colOff>
      <xdr:row>4</xdr:row>
      <xdr:rowOff>22860</xdr:rowOff>
    </xdr:to>
    <xdr:pic>
      <xdr:nvPicPr>
        <xdr:cNvPr id="2415" name="Picture 1" descr="image001">
          <a:extLst>
            <a:ext uri="{FF2B5EF4-FFF2-40B4-BE49-F238E27FC236}">
              <a16:creationId xmlns:a16="http://schemas.microsoft.com/office/drawing/2014/main" id="{D830B516-02A3-4B96-B84B-9F091FED1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5060" y="182880"/>
          <a:ext cx="128016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0</xdr:colOff>
      <xdr:row>0</xdr:row>
      <xdr:rowOff>91440</xdr:rowOff>
    </xdr:from>
    <xdr:to>
      <xdr:col>2</xdr:col>
      <xdr:colOff>1280160</xdr:colOff>
      <xdr:row>2</xdr:row>
      <xdr:rowOff>167640</xdr:rowOff>
    </xdr:to>
    <xdr:pic>
      <xdr:nvPicPr>
        <xdr:cNvPr id="20847" name="Picture 1" descr="image001">
          <a:extLst>
            <a:ext uri="{FF2B5EF4-FFF2-40B4-BE49-F238E27FC236}">
              <a16:creationId xmlns:a16="http://schemas.microsoft.com/office/drawing/2014/main" id="{E1137D97-719C-462E-A3B9-0DDC9E89B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0540" y="91440"/>
          <a:ext cx="128016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1493520</xdr:colOff>
      <xdr:row>0</xdr:row>
      <xdr:rowOff>30480</xdr:rowOff>
    </xdr:from>
    <xdr:to>
      <xdr:col>4</xdr:col>
      <xdr:colOff>441960</xdr:colOff>
      <xdr:row>2</xdr:row>
      <xdr:rowOff>99060</xdr:rowOff>
    </xdr:to>
    <xdr:pic>
      <xdr:nvPicPr>
        <xdr:cNvPr id="21871" name="Picture 1" descr="image001">
          <a:extLst>
            <a:ext uri="{FF2B5EF4-FFF2-40B4-BE49-F238E27FC236}">
              <a16:creationId xmlns:a16="http://schemas.microsoft.com/office/drawing/2014/main" id="{A70114AA-810C-4061-B3D8-3079AF0B7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0320" y="30480"/>
          <a:ext cx="12877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739140</xdr:colOff>
      <xdr:row>0</xdr:row>
      <xdr:rowOff>45720</xdr:rowOff>
    </xdr:from>
    <xdr:to>
      <xdr:col>5</xdr:col>
      <xdr:colOff>449580</xdr:colOff>
      <xdr:row>2</xdr:row>
      <xdr:rowOff>121920</xdr:rowOff>
    </xdr:to>
    <xdr:pic>
      <xdr:nvPicPr>
        <xdr:cNvPr id="22895" name="Picture 1" descr="image001">
          <a:extLst>
            <a:ext uri="{FF2B5EF4-FFF2-40B4-BE49-F238E27FC236}">
              <a16:creationId xmlns:a16="http://schemas.microsoft.com/office/drawing/2014/main" id="{8CFC026A-8AF3-44DC-BD58-FED42830E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3780" y="45720"/>
          <a:ext cx="128016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3</xdr:col>
      <xdr:colOff>274320</xdr:colOff>
      <xdr:row>0</xdr:row>
      <xdr:rowOff>0</xdr:rowOff>
    </xdr:from>
    <xdr:to>
      <xdr:col>4</xdr:col>
      <xdr:colOff>777240</xdr:colOff>
      <xdr:row>2</xdr:row>
      <xdr:rowOff>76200</xdr:rowOff>
    </xdr:to>
    <xdr:pic>
      <xdr:nvPicPr>
        <xdr:cNvPr id="23919" name="Picture 1" descr="image001">
          <a:extLst>
            <a:ext uri="{FF2B5EF4-FFF2-40B4-BE49-F238E27FC236}">
              <a16:creationId xmlns:a16="http://schemas.microsoft.com/office/drawing/2014/main" id="{15B3E54C-B46F-4C94-9A60-19AFEAB04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9780" y="0"/>
          <a:ext cx="12877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106680</xdr:colOff>
      <xdr:row>2</xdr:row>
      <xdr:rowOff>76200</xdr:rowOff>
    </xdr:to>
    <xdr:pic>
      <xdr:nvPicPr>
        <xdr:cNvPr id="24943" name="Picture 1" descr="image001">
          <a:extLst>
            <a:ext uri="{FF2B5EF4-FFF2-40B4-BE49-F238E27FC236}">
              <a16:creationId xmlns:a16="http://schemas.microsoft.com/office/drawing/2014/main" id="{C9C7C47B-48D5-4773-B676-4D955A9F4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98480" y="0"/>
          <a:ext cx="128016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1173480</xdr:colOff>
      <xdr:row>0</xdr:row>
      <xdr:rowOff>0</xdr:rowOff>
    </xdr:from>
    <xdr:to>
      <xdr:col>2</xdr:col>
      <xdr:colOff>1120140</xdr:colOff>
      <xdr:row>2</xdr:row>
      <xdr:rowOff>76200</xdr:rowOff>
    </xdr:to>
    <xdr:pic>
      <xdr:nvPicPr>
        <xdr:cNvPr id="25967" name="Picture 1" descr="image001">
          <a:extLst>
            <a:ext uri="{FF2B5EF4-FFF2-40B4-BE49-F238E27FC236}">
              <a16:creationId xmlns:a16="http://schemas.microsoft.com/office/drawing/2014/main" id="{8A7AE8EB-72AF-4130-A8C0-21F029D31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2380" y="0"/>
          <a:ext cx="12877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1272540</xdr:colOff>
      <xdr:row>0</xdr:row>
      <xdr:rowOff>30480</xdr:rowOff>
    </xdr:from>
    <xdr:to>
      <xdr:col>4</xdr:col>
      <xdr:colOff>472440</xdr:colOff>
      <xdr:row>2</xdr:row>
      <xdr:rowOff>99060</xdr:rowOff>
    </xdr:to>
    <xdr:pic>
      <xdr:nvPicPr>
        <xdr:cNvPr id="26991" name="Picture 1" descr="image001">
          <a:extLst>
            <a:ext uri="{FF2B5EF4-FFF2-40B4-BE49-F238E27FC236}">
              <a16:creationId xmlns:a16="http://schemas.microsoft.com/office/drawing/2014/main" id="{31E66AEC-6135-4B59-9877-1B6505A78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37760" y="30480"/>
          <a:ext cx="12877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47625</xdr:colOff>
      <xdr:row>8</xdr:row>
      <xdr:rowOff>28575</xdr:rowOff>
    </xdr:from>
    <xdr:to>
      <xdr:col>8</xdr:col>
      <xdr:colOff>91440</xdr:colOff>
      <xdr:row>10</xdr:row>
      <xdr:rowOff>156150</xdr:rowOff>
    </xdr:to>
    <xdr:sp macro="" textlink="">
      <xdr:nvSpPr>
        <xdr:cNvPr id="3" name="CuadroTexto 2">
          <a:extLst>
            <a:ext uri="{FF2B5EF4-FFF2-40B4-BE49-F238E27FC236}">
              <a16:creationId xmlns:a16="http://schemas.microsoft.com/office/drawing/2014/main" id="{A592BE4A-36F4-4E0A-BEA5-5F86FF358094}"/>
            </a:ext>
          </a:extLst>
        </xdr:cNvPr>
        <xdr:cNvSpPr txBox="1"/>
      </xdr:nvSpPr>
      <xdr:spPr>
        <a:xfrm>
          <a:off x="47625" y="2124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Breve Descripción</a:t>
          </a:r>
        </a:p>
      </xdr:txBody>
    </xdr:sp>
    <xdr:clientData/>
  </xdr:twoCellAnchor>
  <xdr:twoCellAnchor>
    <xdr:from>
      <xdr:col>0</xdr:col>
      <xdr:colOff>47625</xdr:colOff>
      <xdr:row>12</xdr:row>
      <xdr:rowOff>38100</xdr:rowOff>
    </xdr:from>
    <xdr:to>
      <xdr:col>8</xdr:col>
      <xdr:colOff>91440</xdr:colOff>
      <xdr:row>14</xdr:row>
      <xdr:rowOff>175323</xdr:rowOff>
    </xdr:to>
    <xdr:sp macro="" textlink="">
      <xdr:nvSpPr>
        <xdr:cNvPr id="4" name="CuadroTexto 3">
          <a:extLst>
            <a:ext uri="{FF2B5EF4-FFF2-40B4-BE49-F238E27FC236}">
              <a16:creationId xmlns:a16="http://schemas.microsoft.com/office/drawing/2014/main" id="{863BB12C-9095-4208-A626-8F67DF7772DC}"/>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Breve Descripción</a:t>
          </a:r>
          <a:endParaRPr lang="es-PY">
            <a:effectLst/>
          </a:endParaRPr>
        </a:p>
        <a:p>
          <a:endParaRPr lang="es-PY" sz="1100"/>
        </a:p>
      </xdr:txBody>
    </xdr:sp>
    <xdr:clientData/>
  </xdr:twoCellAnchor>
  <xdr:twoCellAnchor>
    <xdr:from>
      <xdr:col>0</xdr:col>
      <xdr:colOff>47625</xdr:colOff>
      <xdr:row>16</xdr:row>
      <xdr:rowOff>28575</xdr:rowOff>
    </xdr:from>
    <xdr:to>
      <xdr:col>8</xdr:col>
      <xdr:colOff>91440</xdr:colOff>
      <xdr:row>18</xdr:row>
      <xdr:rowOff>156150</xdr:rowOff>
    </xdr:to>
    <xdr:sp macro="" textlink="">
      <xdr:nvSpPr>
        <xdr:cNvPr id="5" name="CuadroTexto 4">
          <a:extLst>
            <a:ext uri="{FF2B5EF4-FFF2-40B4-BE49-F238E27FC236}">
              <a16:creationId xmlns:a16="http://schemas.microsoft.com/office/drawing/2014/main" id="{5CE4CD8E-BCB7-4FFB-B4E6-FC45D6CDE30A}"/>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Breve Descripción</a:t>
          </a:r>
          <a:endParaRPr lang="es-PY">
            <a:effectLst/>
          </a:endParaRPr>
        </a:p>
        <a:p>
          <a:endParaRPr lang="es-PY" sz="1100"/>
        </a:p>
      </xdr:txBody>
    </xdr:sp>
    <xdr:clientData/>
  </xdr:twoCellAnchor>
  <xdr:twoCellAnchor>
    <xdr:from>
      <xdr:col>0</xdr:col>
      <xdr:colOff>47625</xdr:colOff>
      <xdr:row>23</xdr:row>
      <xdr:rowOff>85725</xdr:rowOff>
    </xdr:from>
    <xdr:to>
      <xdr:col>8</xdr:col>
      <xdr:colOff>91440</xdr:colOff>
      <xdr:row>26</xdr:row>
      <xdr:rowOff>38100</xdr:rowOff>
    </xdr:to>
    <xdr:sp macro="" textlink="">
      <xdr:nvSpPr>
        <xdr:cNvPr id="6" name="CuadroTexto 5">
          <a:extLst>
            <a:ext uri="{FF2B5EF4-FFF2-40B4-BE49-F238E27FC236}">
              <a16:creationId xmlns:a16="http://schemas.microsoft.com/office/drawing/2014/main" id="{BFF06267-AFC4-4041-AF18-D85A005322B3}"/>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Breve Descripción</a:t>
          </a:r>
          <a:endParaRPr lang="es-PY">
            <a:effectLst/>
          </a:endParaRPr>
        </a:p>
        <a:p>
          <a:endParaRPr lang="es-PY" sz="1100"/>
        </a:p>
      </xdr:txBody>
    </xdr:sp>
    <xdr:clientData/>
  </xdr:twoCellAnchor>
  <xdr:twoCellAnchor>
    <xdr:from>
      <xdr:col>6</xdr:col>
      <xdr:colOff>114300</xdr:colOff>
      <xdr:row>0</xdr:row>
      <xdr:rowOff>76200</xdr:rowOff>
    </xdr:from>
    <xdr:to>
      <xdr:col>7</xdr:col>
      <xdr:colOff>617220</xdr:colOff>
      <xdr:row>2</xdr:row>
      <xdr:rowOff>144780</xdr:rowOff>
    </xdr:to>
    <xdr:pic>
      <xdr:nvPicPr>
        <xdr:cNvPr id="51309" name="Picture 1" descr="image001">
          <a:extLst>
            <a:ext uri="{FF2B5EF4-FFF2-40B4-BE49-F238E27FC236}">
              <a16:creationId xmlns:a16="http://schemas.microsoft.com/office/drawing/2014/main" id="{3E3AB8B1-95A4-4D8F-8647-0F4D35FEF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1300" y="76200"/>
          <a:ext cx="12877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3</xdr:col>
      <xdr:colOff>60960</xdr:colOff>
      <xdr:row>0</xdr:row>
      <xdr:rowOff>15240</xdr:rowOff>
    </xdr:from>
    <xdr:to>
      <xdr:col>4</xdr:col>
      <xdr:colOff>556260</xdr:colOff>
      <xdr:row>2</xdr:row>
      <xdr:rowOff>91440</xdr:rowOff>
    </xdr:to>
    <xdr:pic>
      <xdr:nvPicPr>
        <xdr:cNvPr id="29039" name="Picture 1" descr="image001">
          <a:extLst>
            <a:ext uri="{FF2B5EF4-FFF2-40B4-BE49-F238E27FC236}">
              <a16:creationId xmlns:a16="http://schemas.microsoft.com/office/drawing/2014/main" id="{7AD89CEB-1745-4ACA-8956-C7193D6B0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5920" y="15240"/>
          <a:ext cx="128016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2</xdr:col>
      <xdr:colOff>1280160</xdr:colOff>
      <xdr:row>0</xdr:row>
      <xdr:rowOff>76200</xdr:rowOff>
    </xdr:from>
    <xdr:to>
      <xdr:col>4</xdr:col>
      <xdr:colOff>480060</xdr:colOff>
      <xdr:row>2</xdr:row>
      <xdr:rowOff>144780</xdr:rowOff>
    </xdr:to>
    <xdr:pic>
      <xdr:nvPicPr>
        <xdr:cNvPr id="30063" name="Picture 1" descr="image001">
          <a:extLst>
            <a:ext uri="{FF2B5EF4-FFF2-40B4-BE49-F238E27FC236}">
              <a16:creationId xmlns:a16="http://schemas.microsoft.com/office/drawing/2014/main" id="{D0CB83F3-63D5-4B48-9C60-6518F937B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2100" y="76200"/>
          <a:ext cx="12877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1280160</xdr:colOff>
      <xdr:row>3</xdr:row>
      <xdr:rowOff>137160</xdr:rowOff>
    </xdr:to>
    <xdr:pic>
      <xdr:nvPicPr>
        <xdr:cNvPr id="3439" name="Picture 1" descr="image001">
          <a:extLst>
            <a:ext uri="{FF2B5EF4-FFF2-40B4-BE49-F238E27FC236}">
              <a16:creationId xmlns:a16="http://schemas.microsoft.com/office/drawing/2014/main" id="{A4F7FC16-B4D8-46A3-B6BF-BF370F553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9940" y="182880"/>
          <a:ext cx="128016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381000</xdr:colOff>
      <xdr:row>0</xdr:row>
      <xdr:rowOff>15240</xdr:rowOff>
    </xdr:from>
    <xdr:to>
      <xdr:col>6</xdr:col>
      <xdr:colOff>99060</xdr:colOff>
      <xdr:row>2</xdr:row>
      <xdr:rowOff>91440</xdr:rowOff>
    </xdr:to>
    <xdr:pic>
      <xdr:nvPicPr>
        <xdr:cNvPr id="31087" name="Picture 1" descr="image001">
          <a:extLst>
            <a:ext uri="{FF2B5EF4-FFF2-40B4-BE49-F238E27FC236}">
              <a16:creationId xmlns:a16="http://schemas.microsoft.com/office/drawing/2014/main" id="{89563445-4064-42F2-8E65-0EBFEE811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5240"/>
          <a:ext cx="12877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312420</xdr:colOff>
      <xdr:row>0</xdr:row>
      <xdr:rowOff>0</xdr:rowOff>
    </xdr:from>
    <xdr:to>
      <xdr:col>6</xdr:col>
      <xdr:colOff>30480</xdr:colOff>
      <xdr:row>2</xdr:row>
      <xdr:rowOff>76200</xdr:rowOff>
    </xdr:to>
    <xdr:pic>
      <xdr:nvPicPr>
        <xdr:cNvPr id="32111" name="Picture 1" descr="image001">
          <a:extLst>
            <a:ext uri="{FF2B5EF4-FFF2-40B4-BE49-F238E27FC236}">
              <a16:creationId xmlns:a16="http://schemas.microsoft.com/office/drawing/2014/main" id="{A0607542-3AD0-424C-876F-E0A4F2E12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8860" y="0"/>
          <a:ext cx="12877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6</xdr:col>
      <xdr:colOff>312420</xdr:colOff>
      <xdr:row>1</xdr:row>
      <xdr:rowOff>0</xdr:rowOff>
    </xdr:from>
    <xdr:to>
      <xdr:col>7</xdr:col>
      <xdr:colOff>22860</xdr:colOff>
      <xdr:row>3</xdr:row>
      <xdr:rowOff>76200</xdr:rowOff>
    </xdr:to>
    <xdr:pic>
      <xdr:nvPicPr>
        <xdr:cNvPr id="33135" name="Picture 1" descr="image001">
          <a:extLst>
            <a:ext uri="{FF2B5EF4-FFF2-40B4-BE49-F238E27FC236}">
              <a16:creationId xmlns:a16="http://schemas.microsoft.com/office/drawing/2014/main" id="{792139E3-C954-4582-BE13-E9AB3B8F1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05160" y="182880"/>
          <a:ext cx="12877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5</xdr:col>
      <xdr:colOff>655320</xdr:colOff>
      <xdr:row>0</xdr:row>
      <xdr:rowOff>99060</xdr:rowOff>
    </xdr:from>
    <xdr:to>
      <xdr:col>7</xdr:col>
      <xdr:colOff>30480</xdr:colOff>
      <xdr:row>2</xdr:row>
      <xdr:rowOff>175260</xdr:rowOff>
    </xdr:to>
    <xdr:pic>
      <xdr:nvPicPr>
        <xdr:cNvPr id="34159" name="Picture 1" descr="image001">
          <a:extLst>
            <a:ext uri="{FF2B5EF4-FFF2-40B4-BE49-F238E27FC236}">
              <a16:creationId xmlns:a16="http://schemas.microsoft.com/office/drawing/2014/main" id="{87865768-C8EE-43A7-BF15-F119A34BC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99060"/>
          <a:ext cx="12877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914400</xdr:colOff>
      <xdr:row>0</xdr:row>
      <xdr:rowOff>129540</xdr:rowOff>
    </xdr:from>
    <xdr:to>
      <xdr:col>6</xdr:col>
      <xdr:colOff>1005840</xdr:colOff>
      <xdr:row>3</xdr:row>
      <xdr:rowOff>15240</xdr:rowOff>
    </xdr:to>
    <xdr:pic>
      <xdr:nvPicPr>
        <xdr:cNvPr id="35183" name="Picture 1" descr="image001">
          <a:extLst>
            <a:ext uri="{FF2B5EF4-FFF2-40B4-BE49-F238E27FC236}">
              <a16:creationId xmlns:a16="http://schemas.microsoft.com/office/drawing/2014/main" id="{31A491B5-7668-4BF8-966D-9A3C92E7B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6320" y="129540"/>
          <a:ext cx="128016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2</xdr:col>
      <xdr:colOff>556260</xdr:colOff>
      <xdr:row>0</xdr:row>
      <xdr:rowOff>30480</xdr:rowOff>
    </xdr:from>
    <xdr:to>
      <xdr:col>3</xdr:col>
      <xdr:colOff>579120</xdr:colOff>
      <xdr:row>2</xdr:row>
      <xdr:rowOff>99060</xdr:rowOff>
    </xdr:to>
    <xdr:pic>
      <xdr:nvPicPr>
        <xdr:cNvPr id="36207" name="Picture 1" descr="image001">
          <a:extLst>
            <a:ext uri="{FF2B5EF4-FFF2-40B4-BE49-F238E27FC236}">
              <a16:creationId xmlns:a16="http://schemas.microsoft.com/office/drawing/2014/main" id="{C32D9CA0-16A0-4873-BBD2-D46626077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7680" y="30480"/>
          <a:ext cx="12877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2</xdr:col>
      <xdr:colOff>632460</xdr:colOff>
      <xdr:row>0</xdr:row>
      <xdr:rowOff>0</xdr:rowOff>
    </xdr:from>
    <xdr:to>
      <xdr:col>3</xdr:col>
      <xdr:colOff>708660</xdr:colOff>
      <xdr:row>2</xdr:row>
      <xdr:rowOff>76200</xdr:rowOff>
    </xdr:to>
    <xdr:pic>
      <xdr:nvPicPr>
        <xdr:cNvPr id="37231" name="Picture 1" descr="image001">
          <a:extLst>
            <a:ext uri="{FF2B5EF4-FFF2-40B4-BE49-F238E27FC236}">
              <a16:creationId xmlns:a16="http://schemas.microsoft.com/office/drawing/2014/main" id="{C8523A09-46DD-45EE-AA9F-2918DDBC0D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3420" y="0"/>
          <a:ext cx="12877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2</xdr:col>
      <xdr:colOff>617220</xdr:colOff>
      <xdr:row>0</xdr:row>
      <xdr:rowOff>38100</xdr:rowOff>
    </xdr:from>
    <xdr:to>
      <xdr:col>3</xdr:col>
      <xdr:colOff>716280</xdr:colOff>
      <xdr:row>2</xdr:row>
      <xdr:rowOff>76200</xdr:rowOff>
    </xdr:to>
    <xdr:pic>
      <xdr:nvPicPr>
        <xdr:cNvPr id="38255" name="Picture 1" descr="image001">
          <a:extLst>
            <a:ext uri="{FF2B5EF4-FFF2-40B4-BE49-F238E27FC236}">
              <a16:creationId xmlns:a16="http://schemas.microsoft.com/office/drawing/2014/main" id="{26D9258A-C1CD-47ED-A42F-293018295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3880" y="38100"/>
          <a:ext cx="128778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2</xdr:col>
      <xdr:colOff>571500</xdr:colOff>
      <xdr:row>0</xdr:row>
      <xdr:rowOff>45720</xdr:rowOff>
    </xdr:from>
    <xdr:to>
      <xdr:col>3</xdr:col>
      <xdr:colOff>624840</xdr:colOff>
      <xdr:row>2</xdr:row>
      <xdr:rowOff>121920</xdr:rowOff>
    </xdr:to>
    <xdr:pic>
      <xdr:nvPicPr>
        <xdr:cNvPr id="39279" name="Picture 1" descr="image001">
          <a:extLst>
            <a:ext uri="{FF2B5EF4-FFF2-40B4-BE49-F238E27FC236}">
              <a16:creationId xmlns:a16="http://schemas.microsoft.com/office/drawing/2014/main" id="{F300E00E-C830-4F62-9B41-2D2B80ACBA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5700" y="45720"/>
          <a:ext cx="128016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2</xdr:col>
      <xdr:colOff>609600</xdr:colOff>
      <xdr:row>0</xdr:row>
      <xdr:rowOff>53340</xdr:rowOff>
    </xdr:from>
    <xdr:to>
      <xdr:col>3</xdr:col>
      <xdr:colOff>685800</xdr:colOff>
      <xdr:row>2</xdr:row>
      <xdr:rowOff>129540</xdr:rowOff>
    </xdr:to>
    <xdr:pic>
      <xdr:nvPicPr>
        <xdr:cNvPr id="40303" name="Picture 1" descr="image001">
          <a:extLst>
            <a:ext uri="{FF2B5EF4-FFF2-40B4-BE49-F238E27FC236}">
              <a16:creationId xmlns:a16="http://schemas.microsoft.com/office/drawing/2014/main" id="{7F0E47F6-FEBF-4F84-BF96-6B7BDEC2F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2100" y="53340"/>
          <a:ext cx="128016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0</xdr:row>
      <xdr:rowOff>182880</xdr:rowOff>
    </xdr:from>
    <xdr:to>
      <xdr:col>22</xdr:col>
      <xdr:colOff>182880</xdr:colOff>
      <xdr:row>3</xdr:row>
      <xdr:rowOff>160020</xdr:rowOff>
    </xdr:to>
    <xdr:pic>
      <xdr:nvPicPr>
        <xdr:cNvPr id="4463" name="Picture 1" descr="image001">
          <a:extLst>
            <a:ext uri="{FF2B5EF4-FFF2-40B4-BE49-F238E27FC236}">
              <a16:creationId xmlns:a16="http://schemas.microsoft.com/office/drawing/2014/main" id="{CF602388-787B-4712-8B02-374469F80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20900" y="182880"/>
          <a:ext cx="145542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3</xdr:col>
      <xdr:colOff>198120</xdr:colOff>
      <xdr:row>0</xdr:row>
      <xdr:rowOff>0</xdr:rowOff>
    </xdr:from>
    <xdr:to>
      <xdr:col>3</xdr:col>
      <xdr:colOff>1478280</xdr:colOff>
      <xdr:row>2</xdr:row>
      <xdr:rowOff>76200</xdr:rowOff>
    </xdr:to>
    <xdr:pic>
      <xdr:nvPicPr>
        <xdr:cNvPr id="41327" name="Picture 1" descr="image001">
          <a:extLst>
            <a:ext uri="{FF2B5EF4-FFF2-40B4-BE49-F238E27FC236}">
              <a16:creationId xmlns:a16="http://schemas.microsoft.com/office/drawing/2014/main" id="{737F089E-F999-491F-8A6F-9649A01598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0"/>
          <a:ext cx="128016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xdr:from>
      <xdr:col>4</xdr:col>
      <xdr:colOff>510540</xdr:colOff>
      <xdr:row>0</xdr:row>
      <xdr:rowOff>45720</xdr:rowOff>
    </xdr:from>
    <xdr:to>
      <xdr:col>5</xdr:col>
      <xdr:colOff>121920</xdr:colOff>
      <xdr:row>2</xdr:row>
      <xdr:rowOff>121920</xdr:rowOff>
    </xdr:to>
    <xdr:pic>
      <xdr:nvPicPr>
        <xdr:cNvPr id="42351" name="Picture 1" descr="image001">
          <a:extLst>
            <a:ext uri="{FF2B5EF4-FFF2-40B4-BE49-F238E27FC236}">
              <a16:creationId xmlns:a16="http://schemas.microsoft.com/office/drawing/2014/main" id="{A078805D-9E65-468C-B795-07AB6C395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9020" y="45720"/>
          <a:ext cx="12877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xdr:from>
      <xdr:col>6</xdr:col>
      <xdr:colOff>403860</xdr:colOff>
      <xdr:row>0</xdr:row>
      <xdr:rowOff>60960</xdr:rowOff>
    </xdr:from>
    <xdr:to>
      <xdr:col>7</xdr:col>
      <xdr:colOff>906780</xdr:colOff>
      <xdr:row>2</xdr:row>
      <xdr:rowOff>137160</xdr:rowOff>
    </xdr:to>
    <xdr:pic>
      <xdr:nvPicPr>
        <xdr:cNvPr id="43375" name="Picture 1" descr="image001">
          <a:extLst>
            <a:ext uri="{FF2B5EF4-FFF2-40B4-BE49-F238E27FC236}">
              <a16:creationId xmlns:a16="http://schemas.microsoft.com/office/drawing/2014/main" id="{AE6601C7-7A60-430E-B473-78F8A340C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9780" y="60960"/>
          <a:ext cx="12877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xdr:from>
      <xdr:col>5</xdr:col>
      <xdr:colOff>137160</xdr:colOff>
      <xdr:row>0</xdr:row>
      <xdr:rowOff>45720</xdr:rowOff>
    </xdr:from>
    <xdr:to>
      <xdr:col>6</xdr:col>
      <xdr:colOff>640080</xdr:colOff>
      <xdr:row>2</xdr:row>
      <xdr:rowOff>121920</xdr:rowOff>
    </xdr:to>
    <xdr:pic>
      <xdr:nvPicPr>
        <xdr:cNvPr id="44399" name="Picture 1" descr="image001">
          <a:extLst>
            <a:ext uri="{FF2B5EF4-FFF2-40B4-BE49-F238E27FC236}">
              <a16:creationId xmlns:a16="http://schemas.microsoft.com/office/drawing/2014/main" id="{558EC227-901B-472B-B2C4-A345BDB19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8660" y="45720"/>
          <a:ext cx="12877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xdr:from>
      <xdr:col>7</xdr:col>
      <xdr:colOff>0</xdr:colOff>
      <xdr:row>0</xdr:row>
      <xdr:rowOff>0</xdr:rowOff>
    </xdr:from>
    <xdr:to>
      <xdr:col>8</xdr:col>
      <xdr:colOff>99060</xdr:colOff>
      <xdr:row>2</xdr:row>
      <xdr:rowOff>76200</xdr:rowOff>
    </xdr:to>
    <xdr:pic>
      <xdr:nvPicPr>
        <xdr:cNvPr id="45423" name="Picture 1" descr="image001">
          <a:extLst>
            <a:ext uri="{FF2B5EF4-FFF2-40B4-BE49-F238E27FC236}">
              <a16:creationId xmlns:a16="http://schemas.microsoft.com/office/drawing/2014/main" id="{71DB7C48-3DC6-4701-AA01-6C21FAE31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0780" y="0"/>
          <a:ext cx="12877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762000</xdr:colOff>
      <xdr:row>0</xdr:row>
      <xdr:rowOff>91440</xdr:rowOff>
    </xdr:from>
    <xdr:to>
      <xdr:col>4</xdr:col>
      <xdr:colOff>60960</xdr:colOff>
      <xdr:row>2</xdr:row>
      <xdr:rowOff>167640</xdr:rowOff>
    </xdr:to>
    <xdr:pic>
      <xdr:nvPicPr>
        <xdr:cNvPr id="46447" name="Picture 1" descr="image001">
          <a:extLst>
            <a:ext uri="{FF2B5EF4-FFF2-40B4-BE49-F238E27FC236}">
              <a16:creationId xmlns:a16="http://schemas.microsoft.com/office/drawing/2014/main" id="{BE46357F-DA37-4039-BB3D-654934F4A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6320" y="91440"/>
          <a:ext cx="12954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0</xdr:col>
      <xdr:colOff>4221480</xdr:colOff>
      <xdr:row>36</xdr:row>
      <xdr:rowOff>121920</xdr:rowOff>
    </xdr:to>
    <xdr:pic>
      <xdr:nvPicPr>
        <xdr:cNvPr id="47471" name="Imagen 1">
          <a:extLst>
            <a:ext uri="{FF2B5EF4-FFF2-40B4-BE49-F238E27FC236}">
              <a16:creationId xmlns:a16="http://schemas.microsoft.com/office/drawing/2014/main" id="{03ABDCCB-8F86-4261-9A7E-D4718D2B4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005" r="10535" b="16901"/>
        <a:stretch>
          <a:fillRect/>
        </a:stretch>
      </xdr:blipFill>
      <xdr:spPr bwMode="auto">
        <a:xfrm>
          <a:off x="0" y="5608320"/>
          <a:ext cx="4221480" cy="1584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xdr:from>
      <xdr:col>7</xdr:col>
      <xdr:colOff>0</xdr:colOff>
      <xdr:row>0</xdr:row>
      <xdr:rowOff>76200</xdr:rowOff>
    </xdr:from>
    <xdr:to>
      <xdr:col>8</xdr:col>
      <xdr:colOff>845820</xdr:colOff>
      <xdr:row>3</xdr:row>
      <xdr:rowOff>30480</xdr:rowOff>
    </xdr:to>
    <xdr:pic>
      <xdr:nvPicPr>
        <xdr:cNvPr id="50218" name="Picture 1" descr="image001">
          <a:extLst>
            <a:ext uri="{FF2B5EF4-FFF2-40B4-BE49-F238E27FC236}">
              <a16:creationId xmlns:a16="http://schemas.microsoft.com/office/drawing/2014/main" id="{6E6B38A3-4D28-44CD-9F57-9EE1ADDEB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8660" y="76200"/>
          <a:ext cx="158496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182880</xdr:colOff>
      <xdr:row>0</xdr:row>
      <xdr:rowOff>129540</xdr:rowOff>
    </xdr:from>
    <xdr:to>
      <xdr:col>2</xdr:col>
      <xdr:colOff>1638300</xdr:colOff>
      <xdr:row>4</xdr:row>
      <xdr:rowOff>106680</xdr:rowOff>
    </xdr:to>
    <xdr:pic>
      <xdr:nvPicPr>
        <xdr:cNvPr id="5533" name="Picture 1" descr="image001">
          <a:extLst>
            <a:ext uri="{FF2B5EF4-FFF2-40B4-BE49-F238E27FC236}">
              <a16:creationId xmlns:a16="http://schemas.microsoft.com/office/drawing/2014/main" id="{BE740DFE-5918-4E45-AB13-6CC75C9FA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9920" y="129540"/>
          <a:ext cx="145542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182880</xdr:colOff>
      <xdr:row>0</xdr:row>
      <xdr:rowOff>129540</xdr:rowOff>
    </xdr:from>
    <xdr:to>
      <xdr:col>2</xdr:col>
      <xdr:colOff>1638300</xdr:colOff>
      <xdr:row>4</xdr:row>
      <xdr:rowOff>106680</xdr:rowOff>
    </xdr:to>
    <xdr:pic>
      <xdr:nvPicPr>
        <xdr:cNvPr id="5534" name="Picture 1" descr="image001">
          <a:extLst>
            <a:ext uri="{FF2B5EF4-FFF2-40B4-BE49-F238E27FC236}">
              <a16:creationId xmlns:a16="http://schemas.microsoft.com/office/drawing/2014/main" id="{5DDC8C6F-60FA-4311-A2BA-108551408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9920" y="129540"/>
          <a:ext cx="145542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xdr:row>
      <xdr:rowOff>53340</xdr:rowOff>
    </xdr:from>
    <xdr:to>
      <xdr:col>5</xdr:col>
      <xdr:colOff>1181100</xdr:colOff>
      <xdr:row>4</xdr:row>
      <xdr:rowOff>30480</xdr:rowOff>
    </xdr:to>
    <xdr:pic>
      <xdr:nvPicPr>
        <xdr:cNvPr id="6857" name="Picture 1" descr="image001">
          <a:extLst>
            <a:ext uri="{FF2B5EF4-FFF2-40B4-BE49-F238E27FC236}">
              <a16:creationId xmlns:a16="http://schemas.microsoft.com/office/drawing/2014/main" id="{F08042D9-9EA6-4F11-B2A5-934027847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1060" y="243840"/>
          <a:ext cx="89916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45720</xdr:colOff>
      <xdr:row>0</xdr:row>
      <xdr:rowOff>121920</xdr:rowOff>
    </xdr:from>
    <xdr:to>
      <xdr:col>0</xdr:col>
      <xdr:colOff>1333500</xdr:colOff>
      <xdr:row>3</xdr:row>
      <xdr:rowOff>7620</xdr:rowOff>
    </xdr:to>
    <xdr:pic>
      <xdr:nvPicPr>
        <xdr:cNvPr id="7901" name="Picture 1" descr="image001">
          <a:extLst>
            <a:ext uri="{FF2B5EF4-FFF2-40B4-BE49-F238E27FC236}">
              <a16:creationId xmlns:a16="http://schemas.microsoft.com/office/drawing/2014/main" id="{ECA3CA0F-6BE3-4A0F-84CA-A97991B80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121920"/>
          <a:ext cx="128778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1226820</xdr:colOff>
      <xdr:row>45</xdr:row>
      <xdr:rowOff>7620</xdr:rowOff>
    </xdr:from>
    <xdr:to>
      <xdr:col>4</xdr:col>
      <xdr:colOff>434340</xdr:colOff>
      <xdr:row>47</xdr:row>
      <xdr:rowOff>541020</xdr:rowOff>
    </xdr:to>
    <xdr:pic>
      <xdr:nvPicPr>
        <xdr:cNvPr id="7902" name="Imagen 2">
          <a:extLst>
            <a:ext uri="{FF2B5EF4-FFF2-40B4-BE49-F238E27FC236}">
              <a16:creationId xmlns:a16="http://schemas.microsoft.com/office/drawing/2014/main" id="{6029ABF5-9A1D-4597-8666-777F6C98464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1005" r="10535" b="16901"/>
        <a:stretch>
          <a:fillRect/>
        </a:stretch>
      </xdr:blipFill>
      <xdr:spPr bwMode="auto">
        <a:xfrm>
          <a:off x="1226820" y="12374880"/>
          <a:ext cx="4229100"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1249680</xdr:colOff>
      <xdr:row>0</xdr:row>
      <xdr:rowOff>45720</xdr:rowOff>
    </xdr:from>
    <xdr:to>
      <xdr:col>3</xdr:col>
      <xdr:colOff>960120</xdr:colOff>
      <xdr:row>2</xdr:row>
      <xdr:rowOff>160020</xdr:rowOff>
    </xdr:to>
    <xdr:pic>
      <xdr:nvPicPr>
        <xdr:cNvPr id="8559" name="Picture 1" descr="image001">
          <a:extLst>
            <a:ext uri="{FF2B5EF4-FFF2-40B4-BE49-F238E27FC236}">
              <a16:creationId xmlns:a16="http://schemas.microsoft.com/office/drawing/2014/main" id="{8F97032A-A6A4-4D2C-86A5-08AEF12F1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45720"/>
          <a:ext cx="12801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838200</xdr:colOff>
      <xdr:row>0</xdr:row>
      <xdr:rowOff>15240</xdr:rowOff>
    </xdr:from>
    <xdr:to>
      <xdr:col>2</xdr:col>
      <xdr:colOff>1021080</xdr:colOff>
      <xdr:row>2</xdr:row>
      <xdr:rowOff>91440</xdr:rowOff>
    </xdr:to>
    <xdr:pic>
      <xdr:nvPicPr>
        <xdr:cNvPr id="9583" name="Picture 1" descr="image001">
          <a:extLst>
            <a:ext uri="{FF2B5EF4-FFF2-40B4-BE49-F238E27FC236}">
              <a16:creationId xmlns:a16="http://schemas.microsoft.com/office/drawing/2014/main" id="{2FBA43C1-0393-490F-80FE-C641A3D7F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36920" y="15240"/>
          <a:ext cx="12877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53.12\Users\User\AppData\Local\Temp\flujo%20cnv2020\Notas%20a%20los%20Estados%20Financieros%2031%2003%2021%20FLUJ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53.12\Users\gnunez\Desktop\Graciela%20N\datos%20gerentes\widilfo%20Copia%20de%20plana%20ejecutiva%20bcp%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53.12\Users\gnunez\Desktop\Graciela%20N\datos%20gerentes\omar%20negofin%20saeca%20-%20solicitud%20bcp%20-%20datos%20personales%20-%200701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253.12\Users\gnunez\Desktop\Graciela%20N\datos%20gerentes\gustavoj%20Copia%20de%20plana%20ejecutiva%20bc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253.12\Users\gnunez\Desktop\Graciela%20N\datos%20gerentes\lore%20de%20plana%20ejecutiva%20bc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253.12\Users\gnunez\Desktop\Graciela%20N\datos%20gerentes\julia%20Copia%20de%20plana%20ejecutiva%20bcp%20(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253.12\Users\User\AppData\Local\Temp\Notas%20a%20los%20Estados%20Financieros%2031.03.2021%20Borrad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BG"/>
      <sheetName val="ER"/>
      <sheetName val="EVPN"/>
      <sheetName val="Hoja1"/>
      <sheetName val="EEFF-"/>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anexo c"/>
      <sheetName val="Nota 17"/>
      <sheetName val="Nota 18"/>
      <sheetName val="Nota 19"/>
      <sheetName val="Nota 20"/>
      <sheetName val="Nota 22"/>
      <sheetName val=" Nota 21"/>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 val="anexco c"/>
    </sheetNames>
    <sheetDataSet>
      <sheetData sheetId="0" refreshError="1">
        <row r="1">
          <cell r="C1" t="str">
            <v>NEGOFIN S.A.E.C.A.</v>
          </cell>
        </row>
        <row r="6">
          <cell r="B6">
            <v>44286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6">
          <cell r="C6" t="str">
            <v>Widilfo Escobar Cikel</v>
          </cell>
          <cell r="L6" t="str">
            <v>Gerente Gral Adjunto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6">
          <cell r="L6" t="str">
            <v>Gerente Financiero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6">
          <cell r="L6" t="str">
            <v>Gerente de Informatica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6">
          <cell r="L6" t="str">
            <v>Gte. RRHH.</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10">
          <cell r="L10" t="str">
            <v>Auditora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Nota 22"/>
      <sheetName val=" Nota 21"/>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 val="ANEXO C"/>
      <sheetName val="ANEXO 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
          <cell r="A1" t="str">
            <v>PYG</v>
          </cell>
          <cell r="B1" t="str">
            <v>Guaraní</v>
          </cell>
        </row>
        <row r="2">
          <cell r="A2" t="str">
            <v>USD</v>
          </cell>
          <cell r="B2" t="str">
            <v>Dólar estadounidense</v>
          </cell>
        </row>
        <row r="3">
          <cell r="A3" t="str">
            <v>EUR</v>
          </cell>
          <cell r="B3" t="str">
            <v>Euro</v>
          </cell>
        </row>
        <row r="4">
          <cell r="A4" t="str">
            <v>AED</v>
          </cell>
          <cell r="B4" t="str">
            <v>Dírham de los Emiratos Árabes Unidos</v>
          </cell>
        </row>
        <row r="5">
          <cell r="A5" t="str">
            <v>AFN</v>
          </cell>
          <cell r="B5" t="str">
            <v>Afgani</v>
          </cell>
        </row>
        <row r="6">
          <cell r="A6" t="str">
            <v>ALL</v>
          </cell>
          <cell r="B6" t="str">
            <v>Lek</v>
          </cell>
        </row>
        <row r="7">
          <cell r="A7" t="str">
            <v>AMD</v>
          </cell>
          <cell r="B7" t="str">
            <v>Dram armenio</v>
          </cell>
        </row>
        <row r="8">
          <cell r="A8" t="str">
            <v>ANG</v>
          </cell>
          <cell r="B8" t="str">
            <v>Florín antillano neerlandés</v>
          </cell>
        </row>
        <row r="9">
          <cell r="A9" t="str">
            <v>AOA</v>
          </cell>
          <cell r="B9" t="str">
            <v>Kwanza</v>
          </cell>
        </row>
        <row r="10">
          <cell r="A10" t="str">
            <v>ARS</v>
          </cell>
          <cell r="B10" t="str">
            <v>Peso argentino</v>
          </cell>
        </row>
        <row r="11">
          <cell r="A11" t="str">
            <v>AUD</v>
          </cell>
          <cell r="B11" t="str">
            <v>Dólar australiano</v>
          </cell>
        </row>
        <row r="12">
          <cell r="A12" t="str">
            <v>AWG</v>
          </cell>
          <cell r="B12" t="str">
            <v>Florín arubeño</v>
          </cell>
        </row>
        <row r="13">
          <cell r="A13" t="str">
            <v>AZN</v>
          </cell>
          <cell r="B13" t="str">
            <v>Manat azerbaiyano</v>
          </cell>
        </row>
        <row r="14">
          <cell r="A14" t="str">
            <v>BAM</v>
          </cell>
          <cell r="B14" t="str">
            <v>Marco convertible</v>
          </cell>
        </row>
        <row r="15">
          <cell r="A15" t="str">
            <v>BBD</v>
          </cell>
          <cell r="B15" t="str">
            <v>Dólar de Barbados</v>
          </cell>
        </row>
        <row r="16">
          <cell r="A16" t="str">
            <v>BDT</v>
          </cell>
          <cell r="B16" t="str">
            <v>Taka</v>
          </cell>
        </row>
        <row r="17">
          <cell r="A17" t="str">
            <v>BGN</v>
          </cell>
          <cell r="B17" t="str">
            <v>Lev búlgaro</v>
          </cell>
        </row>
        <row r="18">
          <cell r="A18" t="str">
            <v>BHD</v>
          </cell>
          <cell r="B18" t="str">
            <v>Dinar bareiní</v>
          </cell>
        </row>
        <row r="19">
          <cell r="A19" t="str">
            <v>BIF</v>
          </cell>
          <cell r="B19" t="str">
            <v>Franco de Burundi</v>
          </cell>
        </row>
        <row r="20">
          <cell r="A20" t="str">
            <v>BMD</v>
          </cell>
          <cell r="B20" t="str">
            <v>Dólar bermudeño</v>
          </cell>
        </row>
        <row r="21">
          <cell r="A21" t="str">
            <v>BND</v>
          </cell>
          <cell r="B21" t="str">
            <v>Dólar de Brunéi</v>
          </cell>
        </row>
        <row r="22">
          <cell r="A22" t="str">
            <v>BOB</v>
          </cell>
          <cell r="B22" t="str">
            <v>Boliviano</v>
          </cell>
        </row>
        <row r="23">
          <cell r="A23" t="str">
            <v>BOV</v>
          </cell>
          <cell r="B23" t="str">
            <v>MVDOL</v>
          </cell>
        </row>
        <row r="24">
          <cell r="A24" t="str">
            <v>BRL</v>
          </cell>
          <cell r="B24" t="str">
            <v>Real brasileño</v>
          </cell>
        </row>
        <row r="25">
          <cell r="A25" t="str">
            <v>BSD</v>
          </cell>
          <cell r="B25" t="str">
            <v>Dólar bahameño</v>
          </cell>
        </row>
        <row r="26">
          <cell r="A26" t="str">
            <v>BTN</v>
          </cell>
          <cell r="B26" t="str">
            <v>Ngultrum</v>
          </cell>
        </row>
        <row r="27">
          <cell r="A27" t="str">
            <v>BWP</v>
          </cell>
          <cell r="B27" t="str">
            <v>Pula</v>
          </cell>
        </row>
        <row r="28">
          <cell r="A28" t="str">
            <v>BYN</v>
          </cell>
          <cell r="B28" t="str">
            <v>Rublo bielorruso</v>
          </cell>
        </row>
        <row r="29">
          <cell r="A29" t="str">
            <v>BZD</v>
          </cell>
          <cell r="B29" t="str">
            <v>Dólar beliceño</v>
          </cell>
        </row>
        <row r="30">
          <cell r="A30" t="str">
            <v>CAD</v>
          </cell>
          <cell r="B30" t="str">
            <v>Dólar canadiense</v>
          </cell>
        </row>
        <row r="31">
          <cell r="A31" t="str">
            <v>CDF</v>
          </cell>
          <cell r="B31" t="str">
            <v>Franco congoleño</v>
          </cell>
        </row>
        <row r="32">
          <cell r="A32" t="str">
            <v>CHE</v>
          </cell>
          <cell r="B32" t="str">
            <v>Euro WIR</v>
          </cell>
        </row>
        <row r="33">
          <cell r="A33" t="str">
            <v>CHF</v>
          </cell>
          <cell r="B33" t="str">
            <v>Franco suizo</v>
          </cell>
        </row>
        <row r="34">
          <cell r="A34" t="str">
            <v>CHW</v>
          </cell>
          <cell r="B34" t="str">
            <v>Franco WIR</v>
          </cell>
        </row>
        <row r="35">
          <cell r="A35" t="str">
            <v>CLF</v>
          </cell>
          <cell r="B35" t="str">
            <v>Unidad de fomento</v>
          </cell>
        </row>
        <row r="36">
          <cell r="A36" t="str">
            <v>CLP</v>
          </cell>
          <cell r="B36" t="str">
            <v>Peso chileno</v>
          </cell>
        </row>
        <row r="37">
          <cell r="A37" t="str">
            <v>CNY</v>
          </cell>
          <cell r="B37" t="str">
            <v>Yuan chino</v>
          </cell>
        </row>
        <row r="38">
          <cell r="A38" t="str">
            <v>COP</v>
          </cell>
          <cell r="B38" t="str">
            <v>Peso colombiano</v>
          </cell>
        </row>
        <row r="39">
          <cell r="A39" t="str">
            <v>COU</v>
          </cell>
          <cell r="B39" t="str">
            <v>Unidad de valor real</v>
          </cell>
        </row>
        <row r="40">
          <cell r="A40" t="str">
            <v>CRC</v>
          </cell>
          <cell r="B40" t="str">
            <v>Colón costarricense</v>
          </cell>
        </row>
        <row r="41">
          <cell r="A41" t="str">
            <v>CUC</v>
          </cell>
          <cell r="B41" t="str">
            <v>Peso convertible</v>
          </cell>
        </row>
        <row r="42">
          <cell r="A42" t="str">
            <v>CUP</v>
          </cell>
          <cell r="B42" t="str">
            <v>Peso cubano</v>
          </cell>
        </row>
        <row r="43">
          <cell r="A43" t="str">
            <v>CVE</v>
          </cell>
          <cell r="B43" t="str">
            <v>Escudo caboverdiano</v>
          </cell>
        </row>
        <row r="44">
          <cell r="A44" t="str">
            <v>CZK</v>
          </cell>
          <cell r="B44" t="str">
            <v>Corona checa</v>
          </cell>
        </row>
        <row r="45">
          <cell r="A45" t="str">
            <v>DJF</v>
          </cell>
          <cell r="B45" t="str">
            <v>Franco yibutiano</v>
          </cell>
        </row>
        <row r="46">
          <cell r="A46" t="str">
            <v>DKK</v>
          </cell>
          <cell r="B46" t="str">
            <v>Corona danesa</v>
          </cell>
        </row>
        <row r="47">
          <cell r="A47" t="str">
            <v>DOP</v>
          </cell>
          <cell r="B47" t="str">
            <v>Peso dominicano</v>
          </cell>
        </row>
        <row r="48">
          <cell r="A48" t="str">
            <v>DZD</v>
          </cell>
          <cell r="B48" t="str">
            <v>Dinar argelino</v>
          </cell>
        </row>
        <row r="49">
          <cell r="A49" t="str">
            <v>EGP</v>
          </cell>
          <cell r="B49" t="str">
            <v>Libra egipcia</v>
          </cell>
        </row>
        <row r="50">
          <cell r="A50" t="str">
            <v>ERN</v>
          </cell>
          <cell r="B50" t="str">
            <v>Nakfa</v>
          </cell>
        </row>
        <row r="51">
          <cell r="A51" t="str">
            <v>ETB</v>
          </cell>
          <cell r="B51" t="str">
            <v>Birr etíope</v>
          </cell>
        </row>
        <row r="52">
          <cell r="A52" t="str">
            <v>FJD</v>
          </cell>
          <cell r="B52" t="str">
            <v>Dólar fiyiano</v>
          </cell>
        </row>
        <row r="53">
          <cell r="A53" t="str">
            <v>FKP</v>
          </cell>
          <cell r="B53" t="str">
            <v>Libra malvinense</v>
          </cell>
        </row>
        <row r="54">
          <cell r="A54" t="str">
            <v>GBP</v>
          </cell>
          <cell r="B54" t="str">
            <v>Libra esterlina</v>
          </cell>
        </row>
        <row r="55">
          <cell r="A55" t="str">
            <v>GEL</v>
          </cell>
          <cell r="B55" t="str">
            <v>Lari</v>
          </cell>
        </row>
        <row r="56">
          <cell r="A56" t="str">
            <v>GHS</v>
          </cell>
          <cell r="B56" t="str">
            <v>Cedi ghanés</v>
          </cell>
        </row>
        <row r="57">
          <cell r="A57" t="str">
            <v>GIP</v>
          </cell>
          <cell r="B57" t="str">
            <v>Libra de Gibraltar</v>
          </cell>
        </row>
        <row r="58">
          <cell r="A58" t="str">
            <v>GMD</v>
          </cell>
          <cell r="B58" t="str">
            <v>Dalasi</v>
          </cell>
        </row>
        <row r="59">
          <cell r="A59" t="str">
            <v>GNF</v>
          </cell>
          <cell r="B59" t="str">
            <v>Franco guineano</v>
          </cell>
        </row>
        <row r="60">
          <cell r="A60" t="str">
            <v>GTQ</v>
          </cell>
          <cell r="B60" t="str">
            <v>Quetzal</v>
          </cell>
        </row>
        <row r="61">
          <cell r="A61" t="str">
            <v>GYD</v>
          </cell>
          <cell r="B61" t="str">
            <v>Dólar guyanés</v>
          </cell>
        </row>
        <row r="62">
          <cell r="A62" t="str">
            <v>HKD</v>
          </cell>
          <cell r="B62" t="str">
            <v>Dólar de Hong Kong</v>
          </cell>
        </row>
        <row r="63">
          <cell r="A63" t="str">
            <v>HNL</v>
          </cell>
          <cell r="B63" t="str">
            <v>Lempira</v>
          </cell>
        </row>
        <row r="64">
          <cell r="A64" t="str">
            <v>HRK</v>
          </cell>
          <cell r="B64" t="str">
            <v>Kuna</v>
          </cell>
        </row>
        <row r="65">
          <cell r="A65" t="str">
            <v>HTG</v>
          </cell>
          <cell r="B65" t="str">
            <v>Gourde</v>
          </cell>
        </row>
        <row r="66">
          <cell r="A66" t="str">
            <v>HUF</v>
          </cell>
          <cell r="B66" t="str">
            <v>Forinto</v>
          </cell>
        </row>
        <row r="67">
          <cell r="A67" t="str">
            <v>IDR</v>
          </cell>
          <cell r="B67" t="str">
            <v>Rupia indonesia</v>
          </cell>
        </row>
        <row r="68">
          <cell r="A68" t="str">
            <v>ILS</v>
          </cell>
          <cell r="B68" t="str">
            <v>Nuevo shéquel israelí</v>
          </cell>
        </row>
        <row r="69">
          <cell r="A69" t="str">
            <v>INR</v>
          </cell>
          <cell r="B69" t="str">
            <v>Rupia india</v>
          </cell>
        </row>
        <row r="70">
          <cell r="A70" t="str">
            <v>IQD</v>
          </cell>
          <cell r="B70" t="str">
            <v>Dinar iraquí</v>
          </cell>
        </row>
        <row r="71">
          <cell r="A71" t="str">
            <v>IRR</v>
          </cell>
          <cell r="B71" t="str">
            <v>Rial iraní</v>
          </cell>
        </row>
        <row r="72">
          <cell r="A72" t="str">
            <v>ISK</v>
          </cell>
          <cell r="B72" t="str">
            <v>Corona islandesa</v>
          </cell>
        </row>
        <row r="73">
          <cell r="A73" t="str">
            <v>JMD</v>
          </cell>
          <cell r="B73" t="str">
            <v>Dólar jamaiquino</v>
          </cell>
        </row>
        <row r="74">
          <cell r="A74" t="str">
            <v>JOD</v>
          </cell>
          <cell r="B74" t="str">
            <v>Dinar jordano</v>
          </cell>
        </row>
        <row r="75">
          <cell r="A75" t="str">
            <v>JPY</v>
          </cell>
          <cell r="B75" t="str">
            <v>Yen</v>
          </cell>
        </row>
        <row r="76">
          <cell r="A76" t="str">
            <v>KES</v>
          </cell>
          <cell r="B76" t="str">
            <v>Chelín keniano</v>
          </cell>
        </row>
        <row r="77">
          <cell r="A77" t="str">
            <v>KGS</v>
          </cell>
          <cell r="B77" t="str">
            <v>Som</v>
          </cell>
        </row>
        <row r="78">
          <cell r="A78" t="str">
            <v>KHR</v>
          </cell>
          <cell r="B78" t="str">
            <v>Riel</v>
          </cell>
        </row>
        <row r="79">
          <cell r="A79" t="str">
            <v>KMF</v>
          </cell>
          <cell r="B79" t="str">
            <v>Franco comorense</v>
          </cell>
        </row>
        <row r="80">
          <cell r="A80" t="str">
            <v>KPW</v>
          </cell>
          <cell r="B80" t="str">
            <v>Won norcoreano</v>
          </cell>
        </row>
        <row r="81">
          <cell r="A81" t="str">
            <v>KRW</v>
          </cell>
          <cell r="B81" t="str">
            <v>Won</v>
          </cell>
        </row>
        <row r="82">
          <cell r="A82" t="str">
            <v>KWD</v>
          </cell>
          <cell r="B82" t="str">
            <v>Dinar kuwaití</v>
          </cell>
        </row>
        <row r="83">
          <cell r="A83" t="str">
            <v>KYD</v>
          </cell>
          <cell r="B83" t="str">
            <v>Dólar de las Islas Caimán</v>
          </cell>
        </row>
        <row r="84">
          <cell r="A84" t="str">
            <v>KZT</v>
          </cell>
          <cell r="B84" t="str">
            <v>Tenge</v>
          </cell>
        </row>
        <row r="85">
          <cell r="A85" t="str">
            <v>LAK</v>
          </cell>
          <cell r="B85" t="str">
            <v>Kip</v>
          </cell>
        </row>
        <row r="86">
          <cell r="A86" t="str">
            <v>LBP</v>
          </cell>
          <cell r="B86" t="str">
            <v>Libra libanesa</v>
          </cell>
        </row>
        <row r="87">
          <cell r="A87" t="str">
            <v>LKR</v>
          </cell>
          <cell r="B87" t="str">
            <v>Rupia de Sri Lanka</v>
          </cell>
        </row>
        <row r="88">
          <cell r="A88" t="str">
            <v>LRD</v>
          </cell>
          <cell r="B88" t="str">
            <v>Dólar liberiano</v>
          </cell>
        </row>
        <row r="89">
          <cell r="A89" t="str">
            <v>LSL</v>
          </cell>
          <cell r="B89" t="str">
            <v>Loti</v>
          </cell>
        </row>
        <row r="90">
          <cell r="A90" t="str">
            <v>LYD</v>
          </cell>
          <cell r="B90" t="str">
            <v>Dinar libio</v>
          </cell>
        </row>
        <row r="91">
          <cell r="A91" t="str">
            <v>MAD</v>
          </cell>
          <cell r="B91" t="str">
            <v>Dírham marroquí</v>
          </cell>
        </row>
        <row r="92">
          <cell r="A92" t="str">
            <v>MDL</v>
          </cell>
          <cell r="B92" t="str">
            <v>Leu moldavo</v>
          </cell>
        </row>
        <row r="93">
          <cell r="A93" t="str">
            <v>MGA</v>
          </cell>
          <cell r="B93" t="str">
            <v>Ariary malgache</v>
          </cell>
        </row>
        <row r="94">
          <cell r="A94" t="str">
            <v>MKD</v>
          </cell>
          <cell r="B94" t="str">
            <v>Denar</v>
          </cell>
        </row>
        <row r="95">
          <cell r="A95" t="str">
            <v>MMK</v>
          </cell>
          <cell r="B95" t="str">
            <v>Kyat</v>
          </cell>
        </row>
        <row r="96">
          <cell r="A96" t="str">
            <v>MNT</v>
          </cell>
          <cell r="B96" t="str">
            <v>Tugrik</v>
          </cell>
        </row>
        <row r="97">
          <cell r="A97" t="str">
            <v>MOP</v>
          </cell>
          <cell r="B97" t="str">
            <v>Pataca</v>
          </cell>
        </row>
        <row r="98">
          <cell r="A98" t="str">
            <v>MRU</v>
          </cell>
          <cell r="B98" t="str">
            <v>Uguiya</v>
          </cell>
        </row>
        <row r="99">
          <cell r="A99" t="str">
            <v>MUR</v>
          </cell>
          <cell r="B99" t="str">
            <v>Rupia de Mauricio</v>
          </cell>
        </row>
        <row r="100">
          <cell r="A100" t="str">
            <v>MVR</v>
          </cell>
          <cell r="B100" t="str">
            <v>Rufiyaa</v>
          </cell>
        </row>
        <row r="101">
          <cell r="A101" t="str">
            <v>MWK</v>
          </cell>
          <cell r="B101" t="str">
            <v>Kwacha</v>
          </cell>
        </row>
        <row r="102">
          <cell r="A102" t="str">
            <v>MXN</v>
          </cell>
          <cell r="B102" t="str">
            <v>Peso mexicano</v>
          </cell>
        </row>
        <row r="103">
          <cell r="A103" t="str">
            <v>MXV</v>
          </cell>
          <cell r="B103" t="str">
            <v>Unidad de Inversión (UDI) mexicana</v>
          </cell>
        </row>
        <row r="104">
          <cell r="A104" t="str">
            <v>MYR</v>
          </cell>
          <cell r="B104" t="str">
            <v>Ringgit malayo</v>
          </cell>
        </row>
        <row r="105">
          <cell r="A105" t="str">
            <v>MZN</v>
          </cell>
          <cell r="B105" t="str">
            <v>Metical mozambiqueño</v>
          </cell>
        </row>
        <row r="106">
          <cell r="A106" t="str">
            <v>NAD</v>
          </cell>
          <cell r="B106" t="str">
            <v>Dólar namibio</v>
          </cell>
        </row>
        <row r="107">
          <cell r="A107" t="str">
            <v>NGN</v>
          </cell>
          <cell r="B107" t="str">
            <v>Naira</v>
          </cell>
        </row>
        <row r="108">
          <cell r="A108" t="str">
            <v>NIO</v>
          </cell>
          <cell r="B108" t="str">
            <v>Córdoba</v>
          </cell>
        </row>
        <row r="109">
          <cell r="A109" t="str">
            <v>NOK</v>
          </cell>
          <cell r="B109" t="str">
            <v>Corona noruega</v>
          </cell>
        </row>
        <row r="110">
          <cell r="A110" t="str">
            <v>NPR</v>
          </cell>
          <cell r="B110" t="str">
            <v>Rupia nepalí</v>
          </cell>
        </row>
        <row r="111">
          <cell r="A111" t="str">
            <v>NZD</v>
          </cell>
          <cell r="B111" t="str">
            <v>Dólar neozelandés</v>
          </cell>
        </row>
        <row r="112">
          <cell r="A112" t="str">
            <v>OMR</v>
          </cell>
          <cell r="B112" t="str">
            <v>Rial omaní</v>
          </cell>
        </row>
        <row r="113">
          <cell r="A113" t="str">
            <v>PAB</v>
          </cell>
          <cell r="B113" t="str">
            <v>Balboa</v>
          </cell>
        </row>
        <row r="114">
          <cell r="A114" t="str">
            <v>PEN</v>
          </cell>
          <cell r="B114" t="str">
            <v>Sol</v>
          </cell>
        </row>
        <row r="115">
          <cell r="A115" t="str">
            <v>PGK</v>
          </cell>
          <cell r="B115" t="str">
            <v>Kina</v>
          </cell>
        </row>
        <row r="116">
          <cell r="A116" t="str">
            <v>PHP</v>
          </cell>
          <cell r="B116" t="str">
            <v>Peso filipino</v>
          </cell>
        </row>
        <row r="117">
          <cell r="A117" t="str">
            <v>PKR</v>
          </cell>
          <cell r="B117" t="str">
            <v>Rupia pakistaní</v>
          </cell>
        </row>
        <row r="118">
          <cell r="A118" t="str">
            <v>PLN</v>
          </cell>
          <cell r="B118" t="str">
            <v>Złoty</v>
          </cell>
        </row>
        <row r="119">
          <cell r="A119" t="str">
            <v>QAR</v>
          </cell>
          <cell r="B119" t="str">
            <v>Riyal qatarí</v>
          </cell>
        </row>
        <row r="120">
          <cell r="A120" t="str">
            <v>RON</v>
          </cell>
          <cell r="B120" t="str">
            <v>Leu rumano</v>
          </cell>
        </row>
        <row r="121">
          <cell r="A121" t="str">
            <v>RSD</v>
          </cell>
          <cell r="B121" t="str">
            <v>Dinar serbio</v>
          </cell>
        </row>
        <row r="122">
          <cell r="A122" t="str">
            <v>RUB</v>
          </cell>
          <cell r="B122" t="str">
            <v>Rublo ruso</v>
          </cell>
        </row>
        <row r="123">
          <cell r="A123" t="str">
            <v>RWF</v>
          </cell>
          <cell r="B123" t="str">
            <v>Franco ruandés</v>
          </cell>
        </row>
        <row r="124">
          <cell r="A124" t="str">
            <v>SAR</v>
          </cell>
          <cell r="B124" t="str">
            <v>Riyal saudí</v>
          </cell>
        </row>
        <row r="125">
          <cell r="A125" t="str">
            <v>SBD</v>
          </cell>
          <cell r="B125" t="str">
            <v>Dólar de las Islas Salomón</v>
          </cell>
        </row>
        <row r="126">
          <cell r="A126" t="str">
            <v>SCR</v>
          </cell>
          <cell r="B126" t="str">
            <v>Rupia seychelense</v>
          </cell>
        </row>
        <row r="127">
          <cell r="A127" t="str">
            <v>SDG</v>
          </cell>
          <cell r="B127" t="str">
            <v>Dinar sudanés</v>
          </cell>
        </row>
        <row r="128">
          <cell r="A128" t="str">
            <v>SEK</v>
          </cell>
          <cell r="B128" t="str">
            <v>Corona sueca</v>
          </cell>
        </row>
        <row r="129">
          <cell r="A129" t="str">
            <v>SGD</v>
          </cell>
          <cell r="B129" t="str">
            <v>Dólar de Singapur</v>
          </cell>
        </row>
        <row r="130">
          <cell r="A130" t="str">
            <v>SHP</v>
          </cell>
          <cell r="B130" t="str">
            <v>Libra de Santa Elena</v>
          </cell>
        </row>
        <row r="131">
          <cell r="A131" t="str">
            <v>SLL</v>
          </cell>
          <cell r="B131" t="str">
            <v>Leone</v>
          </cell>
        </row>
        <row r="132">
          <cell r="A132" t="str">
            <v>SOS</v>
          </cell>
          <cell r="B132" t="str">
            <v>Chelín somalí</v>
          </cell>
        </row>
        <row r="133">
          <cell r="A133" t="str">
            <v>SRD</v>
          </cell>
          <cell r="B133" t="str">
            <v>Dólar surinamés</v>
          </cell>
        </row>
        <row r="134">
          <cell r="A134" t="str">
            <v>SSP</v>
          </cell>
          <cell r="B134" t="str">
            <v>Libra sursudanesa</v>
          </cell>
        </row>
        <row r="135">
          <cell r="A135" t="str">
            <v>STN</v>
          </cell>
          <cell r="B135" t="str">
            <v>Dobra</v>
          </cell>
        </row>
        <row r="136">
          <cell r="A136" t="str">
            <v>SVC</v>
          </cell>
          <cell r="B136" t="str">
            <v>Colon Salvadoreño</v>
          </cell>
        </row>
        <row r="137">
          <cell r="A137" t="str">
            <v>SYP</v>
          </cell>
          <cell r="B137" t="str">
            <v>Libra siria</v>
          </cell>
        </row>
        <row r="138">
          <cell r="A138" t="str">
            <v>SZL</v>
          </cell>
          <cell r="B138" t="str">
            <v>Lilangeni</v>
          </cell>
        </row>
        <row r="139">
          <cell r="A139" t="str">
            <v>THB</v>
          </cell>
          <cell r="B139" t="str">
            <v>Baht</v>
          </cell>
        </row>
        <row r="140">
          <cell r="A140" t="str">
            <v>TJS</v>
          </cell>
          <cell r="B140" t="str">
            <v>Somoni tayiko</v>
          </cell>
        </row>
        <row r="141">
          <cell r="A141" t="str">
            <v>TMT</v>
          </cell>
          <cell r="B141" t="str">
            <v>Manat turcomano</v>
          </cell>
        </row>
        <row r="142">
          <cell r="A142" t="str">
            <v>TND</v>
          </cell>
          <cell r="B142" t="str">
            <v>Dinar tunecino</v>
          </cell>
        </row>
        <row r="143">
          <cell r="A143" t="str">
            <v>TOP</v>
          </cell>
          <cell r="B143" t="str">
            <v>Paʻanga</v>
          </cell>
        </row>
        <row r="144">
          <cell r="A144" t="str">
            <v>TRY</v>
          </cell>
          <cell r="B144" t="str">
            <v>Lira turca</v>
          </cell>
        </row>
        <row r="145">
          <cell r="A145" t="str">
            <v>TTD</v>
          </cell>
          <cell r="B145" t="str">
            <v>Dólar de Trinidad y Tobago</v>
          </cell>
        </row>
        <row r="146">
          <cell r="A146" t="str">
            <v>TWD</v>
          </cell>
          <cell r="B146" t="str">
            <v>Nuevo dólar taiwanés</v>
          </cell>
        </row>
        <row r="147">
          <cell r="A147" t="str">
            <v>TZS</v>
          </cell>
          <cell r="B147" t="str">
            <v>Chelín tanzano</v>
          </cell>
        </row>
        <row r="148">
          <cell r="A148" t="str">
            <v>UAH</v>
          </cell>
          <cell r="B148" t="str">
            <v>Grivna</v>
          </cell>
        </row>
        <row r="149">
          <cell r="A149" t="str">
            <v>UGX</v>
          </cell>
          <cell r="B149" t="str">
            <v>Chelín ugandés</v>
          </cell>
        </row>
        <row r="150">
          <cell r="A150" t="str">
            <v>USN</v>
          </cell>
          <cell r="B150" t="str">
            <v>Dólar estadounidense (Siguiente día)</v>
          </cell>
        </row>
        <row r="151">
          <cell r="A151" t="str">
            <v>UYI</v>
          </cell>
          <cell r="B151" t="str">
            <v>Peso en Unidades Indexadas (Uruguay)</v>
          </cell>
        </row>
        <row r="152">
          <cell r="A152" t="str">
            <v>UYU</v>
          </cell>
          <cell r="B152" t="str">
            <v>Peso uruguayo</v>
          </cell>
        </row>
        <row r="153">
          <cell r="A153" t="str">
            <v>UYW</v>
          </cell>
          <cell r="B153" t="str">
            <v>Unidad Previsional</v>
          </cell>
        </row>
        <row r="154">
          <cell r="A154" t="str">
            <v>UZS</v>
          </cell>
          <cell r="B154" t="str">
            <v>Som uzbeko</v>
          </cell>
        </row>
        <row r="155">
          <cell r="A155" t="str">
            <v>VES7​</v>
          </cell>
          <cell r="B155" t="str">
            <v>Bolívar soberano</v>
          </cell>
        </row>
        <row r="156">
          <cell r="A156" t="str">
            <v>VND</v>
          </cell>
          <cell r="B156" t="str">
            <v>Dong vietnamita</v>
          </cell>
        </row>
        <row r="157">
          <cell r="A157" t="str">
            <v>VUV</v>
          </cell>
          <cell r="B157" t="str">
            <v>Vatu</v>
          </cell>
        </row>
        <row r="158">
          <cell r="A158" t="str">
            <v>WST</v>
          </cell>
          <cell r="B158" t="str">
            <v>Tala</v>
          </cell>
        </row>
        <row r="159">
          <cell r="A159" t="str">
            <v>XAF</v>
          </cell>
          <cell r="B159" t="str">
            <v>Franco CFA de África Central</v>
          </cell>
        </row>
        <row r="160">
          <cell r="A160" t="str">
            <v>XAG</v>
          </cell>
          <cell r="B160" t="str">
            <v>Plata (una onza troy)</v>
          </cell>
        </row>
        <row r="161">
          <cell r="A161" t="str">
            <v>XAU</v>
          </cell>
          <cell r="B161" t="str">
            <v>Oro (una onza troy)</v>
          </cell>
        </row>
        <row r="162">
          <cell r="A162" t="str">
            <v>XBA</v>
          </cell>
          <cell r="B162" t="str">
            <v>Unidad compuesta europea (EURCO) (Unidad del mercados de bonos)</v>
          </cell>
        </row>
        <row r="163">
          <cell r="A163" t="str">
            <v>XBB</v>
          </cell>
          <cell r="B163" t="str">
            <v>Unidad Monetaria europea (E.M.U.-6) (Unidad del mercado de bonos)</v>
          </cell>
        </row>
        <row r="164">
          <cell r="A164" t="str">
            <v>XBC</v>
          </cell>
          <cell r="B164" t="str">
            <v>Unidad europea de cuenta 9 (E.U.A.-9) (Unidad del mercado de bonos)</v>
          </cell>
        </row>
        <row r="165">
          <cell r="A165" t="str">
            <v>XBD</v>
          </cell>
          <cell r="B165" t="str">
            <v>Unidad europea de cuenta 17 (E.U.A.-17) (Unidad del mercado de bonos)</v>
          </cell>
        </row>
        <row r="166">
          <cell r="A166" t="str">
            <v>XCD</v>
          </cell>
          <cell r="B166" t="str">
            <v>Dólar del Caribe Oriental</v>
          </cell>
        </row>
        <row r="167">
          <cell r="A167" t="str">
            <v>XDR</v>
          </cell>
          <cell r="B167" t="str">
            <v>Derechos especiales de giro</v>
          </cell>
        </row>
        <row r="168">
          <cell r="A168" t="str">
            <v>XOF</v>
          </cell>
          <cell r="B168" t="str">
            <v>Franco CFA de África Occidental</v>
          </cell>
        </row>
        <row r="169">
          <cell r="A169" t="str">
            <v>XPD</v>
          </cell>
          <cell r="B169" t="str">
            <v>Paladio (una onza troy)</v>
          </cell>
        </row>
        <row r="170">
          <cell r="A170" t="str">
            <v>XPF</v>
          </cell>
          <cell r="B170" t="str">
            <v>Franco CFP</v>
          </cell>
        </row>
        <row r="171">
          <cell r="A171" t="str">
            <v>XPT</v>
          </cell>
          <cell r="B171" t="str">
            <v>Platino (una onza troy)</v>
          </cell>
        </row>
        <row r="172">
          <cell r="A172" t="str">
            <v>XSU</v>
          </cell>
          <cell r="B172" t="str">
            <v>SUCRE</v>
          </cell>
        </row>
        <row r="173">
          <cell r="A173" t="str">
            <v>XTS</v>
          </cell>
          <cell r="B173" t="str">
            <v>Reservado para pruebas</v>
          </cell>
        </row>
        <row r="174">
          <cell r="A174" t="str">
            <v>XUA</v>
          </cell>
          <cell r="B174" t="str">
            <v>Unidad de cuenta BAD</v>
          </cell>
        </row>
        <row r="175">
          <cell r="A175" t="str">
            <v>XXX</v>
          </cell>
          <cell r="B175" t="str">
            <v>Sin divisa</v>
          </cell>
        </row>
        <row r="176">
          <cell r="A176" t="str">
            <v>YER</v>
          </cell>
          <cell r="B176" t="str">
            <v>Rial yemení</v>
          </cell>
        </row>
        <row r="177">
          <cell r="A177" t="str">
            <v>ZAR</v>
          </cell>
          <cell r="B177" t="str">
            <v>Rand</v>
          </cell>
        </row>
        <row r="178">
          <cell r="A178" t="str">
            <v>ZMW</v>
          </cell>
          <cell r="B178" t="str">
            <v>Kwacha zambiano</v>
          </cell>
        </row>
        <row r="179">
          <cell r="A179" t="str">
            <v>ZWL</v>
          </cell>
          <cell r="B179" t="str">
            <v>Dólar zimbabuense</v>
          </cell>
        </row>
      </sheetData>
      <sheetData sheetId="46"/>
      <sheetData sheetId="4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3.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4.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67"/>
  <sheetViews>
    <sheetView showGridLines="0" workbookViewId="0">
      <selection activeCell="D1" sqref="D1"/>
    </sheetView>
  </sheetViews>
  <sheetFormatPr baseColWidth="10" defaultColWidth="11.42578125" defaultRowHeight="12.75" x14ac:dyDescent="0.2"/>
  <cols>
    <col min="1" max="1" width="21.42578125" style="2" bestFit="1" customWidth="1"/>
    <col min="2" max="2" width="10.140625" style="2" bestFit="1" customWidth="1"/>
    <col min="3" max="3" width="61.5703125" style="2" bestFit="1" customWidth="1"/>
    <col min="4" max="4" width="14.85546875" style="248" customWidth="1"/>
    <col min="5" max="5" width="49.85546875" style="2" bestFit="1" customWidth="1"/>
    <col min="6" max="6" width="6.7109375" style="2" bestFit="1" customWidth="1"/>
    <col min="7" max="16384" width="11.42578125" style="2"/>
  </cols>
  <sheetData>
    <row r="1" spans="1:20" x14ac:dyDescent="0.2">
      <c r="B1" s="447" t="s">
        <v>840</v>
      </c>
      <c r="C1" s="451" t="s">
        <v>918</v>
      </c>
      <c r="D1" s="2"/>
    </row>
    <row r="2" spans="1:20" x14ac:dyDescent="0.2">
      <c r="S2" s="2">
        <v>1</v>
      </c>
      <c r="T2" s="2" t="s">
        <v>457</v>
      </c>
    </row>
    <row r="3" spans="1:20" x14ac:dyDescent="0.2">
      <c r="S3" s="2">
        <v>2</v>
      </c>
      <c r="T3" s="2" t="s">
        <v>458</v>
      </c>
    </row>
    <row r="4" spans="1:20" x14ac:dyDescent="0.2">
      <c r="S4" s="2">
        <v>3</v>
      </c>
      <c r="T4" s="2" t="s">
        <v>459</v>
      </c>
    </row>
    <row r="5" spans="1:20" x14ac:dyDescent="0.2">
      <c r="S5" s="2">
        <v>4</v>
      </c>
      <c r="T5" s="2" t="s">
        <v>460</v>
      </c>
    </row>
    <row r="6" spans="1:20" x14ac:dyDescent="0.2">
      <c r="A6" s="447" t="s">
        <v>837</v>
      </c>
      <c r="B6" s="446">
        <v>44377</v>
      </c>
      <c r="S6" s="2">
        <v>5</v>
      </c>
      <c r="T6" s="2" t="s">
        <v>461</v>
      </c>
    </row>
    <row r="7" spans="1:20" ht="12.75" hidden="1" customHeight="1" x14ac:dyDescent="0.2">
      <c r="A7" s="31"/>
      <c r="B7" s="31"/>
      <c r="C7" s="31"/>
      <c r="D7" s="267"/>
      <c r="S7" s="2">
        <v>6</v>
      </c>
      <c r="T7" s="2" t="s">
        <v>462</v>
      </c>
    </row>
    <row r="8" spans="1:20" x14ac:dyDescent="0.2">
      <c r="A8" s="313"/>
      <c r="S8" s="2">
        <v>7</v>
      </c>
      <c r="T8" s="2" t="s">
        <v>463</v>
      </c>
    </row>
    <row r="9" spans="1:20" ht="26.45" customHeight="1" x14ac:dyDescent="0.2">
      <c r="B9" s="314"/>
      <c r="C9" s="315" t="s">
        <v>22</v>
      </c>
      <c r="D9" s="319" t="s">
        <v>381</v>
      </c>
      <c r="S9" s="2">
        <v>8</v>
      </c>
      <c r="T9" s="2" t="s">
        <v>464</v>
      </c>
    </row>
    <row r="10" spans="1:20" ht="26.45" customHeight="1" x14ac:dyDescent="0.2">
      <c r="B10" s="316" t="s">
        <v>431</v>
      </c>
      <c r="C10" s="299"/>
      <c r="D10" s="320"/>
      <c r="S10" s="2">
        <v>9</v>
      </c>
      <c r="T10" s="2" t="s">
        <v>465</v>
      </c>
    </row>
    <row r="11" spans="1:20" ht="15" x14ac:dyDescent="0.25">
      <c r="A11" s="87"/>
      <c r="B11" s="317"/>
      <c r="C11" s="300" t="s">
        <v>355</v>
      </c>
      <c r="D11" s="321" t="s">
        <v>23</v>
      </c>
      <c r="S11" s="2">
        <v>10</v>
      </c>
      <c r="T11" s="2" t="s">
        <v>466</v>
      </c>
    </row>
    <row r="12" spans="1:20" ht="15" x14ac:dyDescent="0.25">
      <c r="A12" s="87"/>
      <c r="B12" s="317"/>
      <c r="C12" s="300" t="s">
        <v>39</v>
      </c>
      <c r="D12" s="322" t="s">
        <v>24</v>
      </c>
      <c r="S12" s="2">
        <v>11</v>
      </c>
      <c r="T12" s="2" t="s">
        <v>467</v>
      </c>
    </row>
    <row r="13" spans="1:20" ht="15" x14ac:dyDescent="0.25">
      <c r="A13" s="87"/>
      <c r="B13" s="316" t="s">
        <v>284</v>
      </c>
      <c r="C13" s="300"/>
      <c r="D13" s="321" t="s">
        <v>132</v>
      </c>
      <c r="S13" s="2">
        <v>12</v>
      </c>
      <c r="T13" s="2" t="s">
        <v>468</v>
      </c>
    </row>
    <row r="14" spans="1:20" x14ac:dyDescent="0.2">
      <c r="A14" s="87"/>
      <c r="B14" s="317"/>
      <c r="C14" s="30" t="s">
        <v>223</v>
      </c>
      <c r="D14" s="323" t="s">
        <v>25</v>
      </c>
    </row>
    <row r="15" spans="1:20" x14ac:dyDescent="0.2">
      <c r="A15" s="87"/>
      <c r="B15" s="317"/>
      <c r="C15" s="30" t="s">
        <v>110</v>
      </c>
      <c r="D15" s="323" t="s">
        <v>26</v>
      </c>
    </row>
    <row r="16" spans="1:20" x14ac:dyDescent="0.2">
      <c r="A16" s="87"/>
      <c r="B16" s="317"/>
      <c r="C16" s="30" t="s">
        <v>224</v>
      </c>
      <c r="D16" s="323" t="s">
        <v>27</v>
      </c>
    </row>
    <row r="17" spans="1:4" x14ac:dyDescent="0.2">
      <c r="A17" s="87"/>
      <c r="B17" s="317"/>
      <c r="C17" s="30" t="s">
        <v>40</v>
      </c>
      <c r="D17" s="323" t="s">
        <v>28</v>
      </c>
    </row>
    <row r="18" spans="1:4" ht="15" x14ac:dyDescent="0.25">
      <c r="A18" s="87"/>
      <c r="B18" s="317"/>
      <c r="C18" s="30" t="s">
        <v>224</v>
      </c>
      <c r="D18" s="322" t="s">
        <v>27</v>
      </c>
    </row>
    <row r="19" spans="1:4" x14ac:dyDescent="0.2">
      <c r="A19" s="87"/>
      <c r="B19" s="317"/>
      <c r="C19" s="30" t="s">
        <v>225</v>
      </c>
      <c r="D19" s="323" t="s">
        <v>29</v>
      </c>
    </row>
    <row r="20" spans="1:4" x14ac:dyDescent="0.2">
      <c r="A20" s="87"/>
      <c r="B20" s="317"/>
      <c r="C20" s="30" t="s">
        <v>414</v>
      </c>
      <c r="D20" s="323" t="s">
        <v>30</v>
      </c>
    </row>
    <row r="21" spans="1:4" x14ac:dyDescent="0.2">
      <c r="A21" s="87"/>
      <c r="B21" s="317"/>
      <c r="C21" s="30" t="s">
        <v>356</v>
      </c>
      <c r="D21" s="323" t="s">
        <v>31</v>
      </c>
    </row>
    <row r="22" spans="1:4" x14ac:dyDescent="0.2">
      <c r="A22" s="87"/>
      <c r="B22" s="317"/>
      <c r="C22" s="30" t="s">
        <v>244</v>
      </c>
      <c r="D22" s="323" t="s">
        <v>32</v>
      </c>
    </row>
    <row r="23" spans="1:4" ht="15" x14ac:dyDescent="0.25">
      <c r="A23" s="87"/>
      <c r="B23" s="317"/>
      <c r="C23" s="30" t="s">
        <v>125</v>
      </c>
      <c r="D23" s="322" t="s">
        <v>33</v>
      </c>
    </row>
    <row r="24" spans="1:4" ht="15" x14ac:dyDescent="0.25">
      <c r="A24" s="87"/>
      <c r="B24" s="317"/>
      <c r="C24" s="30" t="s">
        <v>131</v>
      </c>
      <c r="D24" s="321" t="s">
        <v>34</v>
      </c>
    </row>
    <row r="25" spans="1:4" ht="15" x14ac:dyDescent="0.25">
      <c r="A25" s="87"/>
      <c r="B25" s="317"/>
      <c r="C25" s="30" t="s">
        <v>111</v>
      </c>
      <c r="D25" s="322" t="s">
        <v>35</v>
      </c>
    </row>
    <row r="26" spans="1:4" x14ac:dyDescent="0.2">
      <c r="A26" s="87"/>
      <c r="B26" s="317"/>
      <c r="C26" s="30" t="s">
        <v>112</v>
      </c>
      <c r="D26" s="323" t="s">
        <v>36</v>
      </c>
    </row>
    <row r="27" spans="1:4" x14ac:dyDescent="0.2">
      <c r="A27" s="87"/>
      <c r="B27" s="317"/>
      <c r="C27" s="30" t="s">
        <v>133</v>
      </c>
      <c r="D27" s="323" t="s">
        <v>37</v>
      </c>
    </row>
    <row r="28" spans="1:4" x14ac:dyDescent="0.2">
      <c r="A28" s="87"/>
      <c r="B28" s="317"/>
      <c r="C28" s="30" t="s">
        <v>67</v>
      </c>
      <c r="D28" s="323" t="s">
        <v>38</v>
      </c>
    </row>
    <row r="29" spans="1:4" ht="15" x14ac:dyDescent="0.25">
      <c r="A29" s="87"/>
      <c r="B29" s="317"/>
      <c r="C29" s="30" t="s">
        <v>68</v>
      </c>
      <c r="D29" s="322" t="s">
        <v>357</v>
      </c>
    </row>
    <row r="30" spans="1:4" ht="15" x14ac:dyDescent="0.25">
      <c r="A30" s="87"/>
      <c r="B30" s="317"/>
      <c r="C30" s="30" t="s">
        <v>69</v>
      </c>
      <c r="D30" s="322" t="s">
        <v>358</v>
      </c>
    </row>
    <row r="31" spans="1:4" ht="15" x14ac:dyDescent="0.25">
      <c r="A31" s="87"/>
      <c r="B31" s="317"/>
      <c r="C31" s="30" t="s">
        <v>250</v>
      </c>
      <c r="D31" s="322" t="s">
        <v>359</v>
      </c>
    </row>
    <row r="32" spans="1:4" ht="15" x14ac:dyDescent="0.25">
      <c r="A32" s="87"/>
      <c r="B32" s="317"/>
      <c r="C32" s="30" t="s">
        <v>361</v>
      </c>
      <c r="D32" s="322" t="s">
        <v>36</v>
      </c>
    </row>
    <row r="33" spans="1:4" ht="15" x14ac:dyDescent="0.25">
      <c r="A33" s="87"/>
      <c r="B33" s="317"/>
      <c r="C33" s="30" t="s">
        <v>363</v>
      </c>
      <c r="D33" s="322" t="s">
        <v>359</v>
      </c>
    </row>
    <row r="34" spans="1:4" ht="15" x14ac:dyDescent="0.25">
      <c r="A34" s="87"/>
      <c r="B34" s="317"/>
      <c r="C34" s="30" t="s">
        <v>254</v>
      </c>
      <c r="D34" s="322" t="s">
        <v>360</v>
      </c>
    </row>
    <row r="35" spans="1:4" ht="15" x14ac:dyDescent="0.25">
      <c r="A35" s="87"/>
      <c r="B35" s="317"/>
      <c r="C35" s="30" t="s">
        <v>43</v>
      </c>
      <c r="D35" s="322" t="s">
        <v>364</v>
      </c>
    </row>
    <row r="36" spans="1:4" ht="15" x14ac:dyDescent="0.25">
      <c r="A36" s="87"/>
      <c r="B36" s="317"/>
      <c r="C36" s="30" t="s">
        <v>81</v>
      </c>
      <c r="D36" s="322" t="s">
        <v>364</v>
      </c>
    </row>
    <row r="37" spans="1:4" ht="15" x14ac:dyDescent="0.25">
      <c r="A37" s="87"/>
      <c r="B37" s="317"/>
      <c r="C37" s="30" t="s">
        <v>255</v>
      </c>
      <c r="D37" s="322" t="s">
        <v>364</v>
      </c>
    </row>
    <row r="38" spans="1:4" ht="15" x14ac:dyDescent="0.25">
      <c r="A38" s="87"/>
      <c r="B38" s="317"/>
      <c r="C38" s="30" t="s">
        <v>417</v>
      </c>
      <c r="D38" s="322" t="s">
        <v>364</v>
      </c>
    </row>
    <row r="39" spans="1:4" ht="15" x14ac:dyDescent="0.25">
      <c r="A39" s="87"/>
      <c r="B39" s="317"/>
      <c r="C39" s="30" t="s">
        <v>70</v>
      </c>
      <c r="D39" s="322" t="s">
        <v>365</v>
      </c>
    </row>
    <row r="40" spans="1:4" ht="15" x14ac:dyDescent="0.25">
      <c r="A40" s="87"/>
      <c r="B40" s="317"/>
      <c r="C40" s="30" t="s">
        <v>44</v>
      </c>
      <c r="D40" s="322" t="s">
        <v>366</v>
      </c>
    </row>
    <row r="41" spans="1:4" ht="15" x14ac:dyDescent="0.25">
      <c r="A41" s="87"/>
      <c r="B41" s="317"/>
      <c r="C41" s="30" t="s">
        <v>71</v>
      </c>
      <c r="D41" s="322" t="s">
        <v>367</v>
      </c>
    </row>
    <row r="42" spans="1:4" ht="15" x14ac:dyDescent="0.25">
      <c r="A42" s="87"/>
      <c r="B42" s="316" t="s">
        <v>57</v>
      </c>
      <c r="C42" s="300"/>
      <c r="D42" s="321" t="s">
        <v>148</v>
      </c>
    </row>
    <row r="43" spans="1:4" ht="15" x14ac:dyDescent="0.25">
      <c r="A43" s="87"/>
      <c r="B43" s="317"/>
      <c r="C43" s="30" t="s">
        <v>63</v>
      </c>
      <c r="D43" s="322" t="s">
        <v>368</v>
      </c>
    </row>
    <row r="44" spans="1:4" ht="15" x14ac:dyDescent="0.25">
      <c r="A44" s="87"/>
      <c r="B44" s="317"/>
      <c r="C44" s="30" t="s">
        <v>156</v>
      </c>
      <c r="D44" s="322" t="s">
        <v>369</v>
      </c>
    </row>
    <row r="45" spans="1:4" ht="15" x14ac:dyDescent="0.25">
      <c r="A45" s="87"/>
      <c r="B45" s="317"/>
      <c r="C45" s="30" t="s">
        <v>260</v>
      </c>
      <c r="D45" s="322" t="s">
        <v>370</v>
      </c>
    </row>
    <row r="46" spans="1:4" ht="15" x14ac:dyDescent="0.25">
      <c r="A46" s="87"/>
      <c r="B46" s="317"/>
      <c r="C46" s="30" t="s">
        <v>184</v>
      </c>
      <c r="D46" s="322" t="s">
        <v>370</v>
      </c>
    </row>
    <row r="47" spans="1:4" ht="15" x14ac:dyDescent="0.25">
      <c r="A47" s="87"/>
      <c r="B47" s="317"/>
      <c r="C47" s="30" t="s">
        <v>372</v>
      </c>
      <c r="D47" s="322" t="s">
        <v>371</v>
      </c>
    </row>
    <row r="48" spans="1:4" ht="15" x14ac:dyDescent="0.25">
      <c r="A48" s="87"/>
      <c r="B48" s="317"/>
      <c r="C48" s="30" t="s">
        <v>419</v>
      </c>
      <c r="D48" s="322" t="s">
        <v>373</v>
      </c>
    </row>
    <row r="49" spans="1:4" ht="15" x14ac:dyDescent="0.25">
      <c r="A49" s="87"/>
      <c r="B49" s="317"/>
      <c r="C49" s="30" t="s">
        <v>422</v>
      </c>
      <c r="D49" s="322" t="s">
        <v>373</v>
      </c>
    </row>
    <row r="50" spans="1:4" ht="15" x14ac:dyDescent="0.25">
      <c r="A50" s="87"/>
      <c r="B50" s="317"/>
      <c r="C50" s="30" t="s">
        <v>162</v>
      </c>
      <c r="D50" s="322" t="s">
        <v>374</v>
      </c>
    </row>
    <row r="51" spans="1:4" ht="15" x14ac:dyDescent="0.25">
      <c r="A51" s="87"/>
      <c r="B51" s="317"/>
      <c r="C51" s="30" t="s">
        <v>163</v>
      </c>
      <c r="D51" s="322" t="s">
        <v>375</v>
      </c>
    </row>
    <row r="52" spans="1:4" ht="15" x14ac:dyDescent="0.25">
      <c r="A52" s="87"/>
      <c r="B52" s="317"/>
      <c r="C52" s="30" t="s">
        <v>46</v>
      </c>
      <c r="D52" s="322" t="s">
        <v>376</v>
      </c>
    </row>
    <row r="53" spans="1:4" ht="15" x14ac:dyDescent="0.25">
      <c r="A53" s="87"/>
      <c r="B53" s="317"/>
      <c r="C53" s="30" t="s">
        <v>73</v>
      </c>
      <c r="D53" s="322" t="s">
        <v>377</v>
      </c>
    </row>
    <row r="54" spans="1:4" ht="15" x14ac:dyDescent="0.25">
      <c r="A54" s="87"/>
      <c r="B54" s="317"/>
      <c r="C54" s="30" t="s">
        <v>74</v>
      </c>
      <c r="D54" s="322" t="s">
        <v>378</v>
      </c>
    </row>
    <row r="55" spans="1:4" ht="15" x14ac:dyDescent="0.25">
      <c r="A55" s="87"/>
      <c r="B55" s="317"/>
      <c r="C55" s="30" t="s">
        <v>380</v>
      </c>
      <c r="D55" s="322" t="s">
        <v>379</v>
      </c>
    </row>
    <row r="56" spans="1:4" ht="15" x14ac:dyDescent="0.25">
      <c r="A56" s="87"/>
      <c r="B56" s="317"/>
      <c r="C56" s="30" t="s">
        <v>75</v>
      </c>
      <c r="D56" s="321" t="s">
        <v>379</v>
      </c>
    </row>
    <row r="57" spans="1:4" ht="15" x14ac:dyDescent="0.25">
      <c r="A57" s="87"/>
      <c r="B57" s="316" t="s">
        <v>58</v>
      </c>
      <c r="C57" s="300"/>
      <c r="D57" s="321" t="s">
        <v>56</v>
      </c>
    </row>
    <row r="58" spans="1:4" ht="15" x14ac:dyDescent="0.25">
      <c r="A58" s="87"/>
      <c r="B58" s="316" t="s">
        <v>285</v>
      </c>
      <c r="C58" s="300"/>
      <c r="D58" s="322" t="s">
        <v>286</v>
      </c>
    </row>
    <row r="59" spans="1:4" ht="15" x14ac:dyDescent="0.25">
      <c r="A59" s="87"/>
      <c r="B59" s="316" t="s">
        <v>432</v>
      </c>
      <c r="C59" s="300"/>
      <c r="D59" s="322"/>
    </row>
    <row r="60" spans="1:4" ht="15" x14ac:dyDescent="0.25">
      <c r="A60" s="87"/>
      <c r="B60" s="317"/>
      <c r="C60" s="30" t="s">
        <v>385</v>
      </c>
      <c r="D60" s="321" t="s">
        <v>386</v>
      </c>
    </row>
    <row r="61" spans="1:4" ht="15" x14ac:dyDescent="0.25">
      <c r="A61" s="87"/>
      <c r="B61" s="317"/>
      <c r="C61" s="30" t="s">
        <v>390</v>
      </c>
      <c r="D61" s="321" t="s">
        <v>391</v>
      </c>
    </row>
    <row r="62" spans="1:4" ht="15" x14ac:dyDescent="0.25">
      <c r="A62" s="87"/>
      <c r="B62" s="317"/>
      <c r="C62" s="30" t="s">
        <v>423</v>
      </c>
      <c r="D62" s="321" t="s">
        <v>393</v>
      </c>
    </row>
    <row r="63" spans="1:4" ht="15" x14ac:dyDescent="0.25">
      <c r="A63" s="87"/>
      <c r="B63" s="317"/>
      <c r="C63" s="30" t="s">
        <v>392</v>
      </c>
      <c r="D63" s="321" t="s">
        <v>394</v>
      </c>
    </row>
    <row r="64" spans="1:4" ht="15" x14ac:dyDescent="0.2">
      <c r="A64" s="87"/>
      <c r="B64" s="318"/>
      <c r="C64" s="448" t="s">
        <v>903</v>
      </c>
      <c r="D64" s="444" t="s">
        <v>904</v>
      </c>
    </row>
    <row r="65" spans="1:4" s="30" customFormat="1" ht="21.2" customHeight="1" x14ac:dyDescent="0.2">
      <c r="A65" s="32"/>
      <c r="D65" s="268"/>
    </row>
    <row r="66" spans="1:4" x14ac:dyDescent="0.2">
      <c r="B66" s="30"/>
      <c r="C66" s="30"/>
      <c r="D66" s="87"/>
    </row>
    <row r="67" spans="1:4" x14ac:dyDescent="0.2">
      <c r="B67" s="30"/>
      <c r="C67" s="30"/>
      <c r="D67" s="87"/>
    </row>
  </sheetData>
  <hyperlinks>
    <hyperlink ref="D14" location="'Nota 3'!A1" display="'Nota 3'!A1"/>
    <hyperlink ref="D15" location="'Nota 4'!A1" display="'Nota 4'!A1"/>
    <hyperlink ref="D16" location="'Nota 5'!A1" display="'Nota 5'!A1"/>
    <hyperlink ref="D17" location="'Nota 6'!A1" display="'Nota 6'!A1"/>
    <hyperlink ref="D19" location="'Nota 7'!A1" display="'Nota 7'!A1"/>
    <hyperlink ref="D21" location="'Nota 9'!A1" display="'Nota 9'!A1"/>
    <hyperlink ref="D22" location="'Nota 10'!A1" display="'Nota 10'!A1"/>
    <hyperlink ref="D26" location="'Nota 14'!A1" display="'Nota 14'!A1"/>
    <hyperlink ref="D27" location="'Nota 15'!A1" display="'Nota 15'!A1"/>
    <hyperlink ref="D28" location="'Nota 16'!A1" display="'Nota 16'!A1"/>
    <hyperlink ref="D20" location="'Nota 8'!A1" display="'Nota 8'!A1"/>
    <hyperlink ref="D13" location="BG!A1" display="BG"/>
    <hyperlink ref="D42" location="ER!A1" display="ER"/>
    <hyperlink ref="D57" location="EVPN!A1" display="EVPN"/>
    <hyperlink ref="D58" location="EFE!A1" display="EFE"/>
    <hyperlink ref="D23" location="'Nota 11'!A1" display="Nota 11 y 12"/>
    <hyperlink ref="D24" location="'Nota 12'!A1" display="Nota 12"/>
    <hyperlink ref="D25" location="'Nota 13'!A1" display="Nota 13'"/>
    <hyperlink ref="D29" location="'Nota 17'!A1" display="Nota 17"/>
    <hyperlink ref="D30" location="'Nota 18'!A1" display="Nota 18"/>
    <hyperlink ref="D31" location="'Nota 19'!A1" display="Nota 19"/>
    <hyperlink ref="D32" location="'Nota 14'!A1" display="Nota 14"/>
    <hyperlink ref="D33" location="'Nota 19'!A1" display="Nota 19"/>
    <hyperlink ref="D34" location="'Nota 20'!A1" display="Nota 20"/>
    <hyperlink ref="D35" location="' Nota 21'!A1" display="Nota 21"/>
    <hyperlink ref="D36" location="' Nota 21'!A1" display="Nota 21"/>
    <hyperlink ref="D37" location="' Nota 21'!A1" display="Nota 21"/>
    <hyperlink ref="D38" location="' Nota 21'!A1" display="Nota 21"/>
    <hyperlink ref="D39" location="'Nota 22'!A1" display="Nota 22"/>
    <hyperlink ref="D40" location="'Nota 23'!A1" display="Nota 23"/>
    <hyperlink ref="D41" location="'Nota 24'!A1" display="Nota 24"/>
    <hyperlink ref="D43" location="'Nota 25'!A1" display="Nota 25"/>
    <hyperlink ref="D44" location="'Nota 26'!A1" display="Nota 26"/>
    <hyperlink ref="D45" location="'Nota 27'!A1" display="Nota 27"/>
    <hyperlink ref="D46" location="'Nota 27'!A1" display="N ota 27"/>
    <hyperlink ref="D47" location="'Nota 28'!A1" display="Nota 28"/>
    <hyperlink ref="D48" location="'Nota 29'!A1" display="Nota 29"/>
    <hyperlink ref="D49" location="'Nota 29'!A1" display="Nota 29"/>
    <hyperlink ref="D50" location="'Nota 30'!A1" display="Nota 30"/>
    <hyperlink ref="D51" location="'Nota 31'!A1" display="Nota 31"/>
    <hyperlink ref="D52" location="'Nota 32'!A1" display="Nota 32"/>
    <hyperlink ref="D53" location="'Nota 33'!A1" display="Nota 33"/>
    <hyperlink ref="D54" location="'Nota 34'!A1" display="Nota 34"/>
    <hyperlink ref="D55" location="'Nota 35'!A1" display="Nota 35"/>
    <hyperlink ref="D56" location="'Nota 35'!A1" display="Nota 35"/>
    <hyperlink ref="D61" location="'Nota 37'!A1" display="Nota 37"/>
    <hyperlink ref="D60" location="'Nota 36'!A1" display="Nota 36"/>
    <hyperlink ref="D12" location="'Nota 2'!A1" display="Nota 2"/>
    <hyperlink ref="D11" location="Nota1!A1" display="Nota 1"/>
    <hyperlink ref="D18" location="'Nota 5'!A1" display="Nota 5"/>
    <hyperlink ref="D64" location="'Nota 40'!A1" display="Nota 40"/>
    <hyperlink ref="D63" location="'Nota 39'!A1" display="Nota 39"/>
    <hyperlink ref="D62" location="'Nota 38'!A1" display="Nota 38"/>
  </hyperlink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L79"/>
  <sheetViews>
    <sheetView showGridLines="0" topLeftCell="B55" zoomScaleNormal="100" workbookViewId="0">
      <selection activeCell="F10" sqref="F10:G22"/>
    </sheetView>
  </sheetViews>
  <sheetFormatPr baseColWidth="10" defaultColWidth="11.42578125" defaultRowHeight="12.75" x14ac:dyDescent="0.2"/>
  <cols>
    <col min="1" max="1" width="40.28515625" style="10" customWidth="1"/>
    <col min="2" max="2" width="27.7109375" style="10" customWidth="1"/>
    <col min="3" max="3" width="25.42578125" style="10" customWidth="1"/>
    <col min="4" max="4" width="19.5703125" style="10" customWidth="1"/>
    <col min="5" max="5" width="4.85546875" style="10" customWidth="1"/>
    <col min="6" max="6" width="61.5703125" style="10" customWidth="1"/>
    <col min="7" max="7" width="14.7109375" style="10" bestFit="1" customWidth="1"/>
    <col min="8" max="8" width="17.7109375" style="10" customWidth="1"/>
    <col min="9" max="9" width="14.7109375" style="10" bestFit="1" customWidth="1"/>
    <col min="10" max="10" width="13.7109375" style="10" bestFit="1" customWidth="1"/>
    <col min="11" max="11" width="14.7109375" style="10" bestFit="1" customWidth="1"/>
    <col min="12" max="16384" width="11.42578125" style="10"/>
  </cols>
  <sheetData>
    <row r="1" spans="1:9" ht="15" x14ac:dyDescent="0.25">
      <c r="A1" s="12" t="str">
        <f>Indice!C1</f>
        <v>NEGOFIN S.A.E.C.A.</v>
      </c>
      <c r="F1" s="148" t="s">
        <v>132</v>
      </c>
    </row>
    <row r="2" spans="1:9" ht="15" x14ac:dyDescent="0.25">
      <c r="A2" s="244" t="s">
        <v>103</v>
      </c>
      <c r="B2" s="244"/>
      <c r="F2" s="148"/>
    </row>
    <row r="3" spans="1:9" ht="102" x14ac:dyDescent="0.25">
      <c r="A3" s="430" t="s">
        <v>889</v>
      </c>
      <c r="B3" s="244"/>
      <c r="F3" s="148"/>
    </row>
    <row r="4" spans="1:9" x14ac:dyDescent="0.2">
      <c r="C4" s="113"/>
    </row>
    <row r="5" spans="1:9" x14ac:dyDescent="0.2">
      <c r="A5" s="339" t="s">
        <v>291</v>
      </c>
      <c r="B5" s="339"/>
      <c r="C5" s="389"/>
      <c r="D5" s="389"/>
      <c r="E5" s="389"/>
    </row>
    <row r="6" spans="1:9" x14ac:dyDescent="0.2">
      <c r="A6" s="2" t="s">
        <v>887</v>
      </c>
      <c r="B6" s="2"/>
      <c r="E6" s="113"/>
    </row>
    <row r="7" spans="1:9" x14ac:dyDescent="0.2">
      <c r="A7" s="122"/>
      <c r="B7" s="122"/>
      <c r="C7" s="861" t="s">
        <v>243</v>
      </c>
      <c r="D7" s="862"/>
      <c r="E7" s="113"/>
    </row>
    <row r="8" spans="1:9" x14ac:dyDescent="0.2">
      <c r="A8" s="15"/>
      <c r="B8" s="15"/>
      <c r="C8" s="390">
        <f>IFERROR(IF(Indice!B6="","2XX2",YEAR(Indice!B6)),"2XX2")</f>
        <v>2021</v>
      </c>
      <c r="D8" s="390">
        <f>IFERROR(YEAR(Indice!B6-365),"2XX1")</f>
        <v>2020</v>
      </c>
      <c r="E8" s="113"/>
    </row>
    <row r="9" spans="1:9" x14ac:dyDescent="0.2">
      <c r="A9" s="245" t="s">
        <v>297</v>
      </c>
      <c r="B9" s="245" t="s">
        <v>449</v>
      </c>
      <c r="C9" s="458">
        <v>473245119.81400001</v>
      </c>
      <c r="D9" s="458">
        <v>396127581.07200003</v>
      </c>
      <c r="E9" s="113"/>
      <c r="F9" s="374" t="s">
        <v>879</v>
      </c>
      <c r="G9" s="375" t="s">
        <v>1281</v>
      </c>
      <c r="H9" s="388"/>
    </row>
    <row r="10" spans="1:9" ht="25.5" x14ac:dyDescent="0.2">
      <c r="A10" s="245" t="s">
        <v>297</v>
      </c>
      <c r="B10" s="245" t="s">
        <v>450</v>
      </c>
      <c r="C10" s="458">
        <v>0</v>
      </c>
      <c r="D10" s="458">
        <v>0</v>
      </c>
      <c r="E10" s="113"/>
      <c r="F10" s="752" t="s">
        <v>292</v>
      </c>
      <c r="G10" s="753" t="s">
        <v>882</v>
      </c>
      <c r="H10" s="108" t="s">
        <v>886</v>
      </c>
    </row>
    <row r="11" spans="1:9" x14ac:dyDescent="0.2">
      <c r="A11" s="245" t="s">
        <v>297</v>
      </c>
      <c r="B11" s="245" t="s">
        <v>451</v>
      </c>
      <c r="C11" s="458">
        <v>0</v>
      </c>
      <c r="D11" s="458">
        <v>0</v>
      </c>
      <c r="E11" s="113"/>
      <c r="F11" s="754" t="s">
        <v>8</v>
      </c>
      <c r="G11" s="379">
        <v>294061989.41399997</v>
      </c>
      <c r="H11" s="558">
        <v>0.43569999999999998</v>
      </c>
      <c r="I11" s="722"/>
    </row>
    <row r="12" spans="1:9" x14ac:dyDescent="0.2">
      <c r="A12" s="245" t="s">
        <v>298</v>
      </c>
      <c r="B12" s="245" t="s">
        <v>449</v>
      </c>
      <c r="C12" s="458">
        <v>0</v>
      </c>
      <c r="D12" s="458">
        <v>0</v>
      </c>
      <c r="E12" s="113"/>
      <c r="F12" s="755" t="s">
        <v>12</v>
      </c>
      <c r="G12" s="243">
        <f>+G14+G15+G16</f>
        <v>278908400.245</v>
      </c>
      <c r="H12" s="724"/>
      <c r="I12" s="722"/>
    </row>
    <row r="13" spans="1:9" x14ac:dyDescent="0.2">
      <c r="A13" s="245" t="s">
        <v>298</v>
      </c>
      <c r="B13" s="245" t="s">
        <v>450</v>
      </c>
      <c r="C13" s="458">
        <v>0</v>
      </c>
      <c r="D13" s="458">
        <v>0</v>
      </c>
      <c r="E13" s="113"/>
      <c r="F13" s="756" t="s">
        <v>102</v>
      </c>
      <c r="G13" s="243"/>
      <c r="H13" s="724"/>
      <c r="I13" s="722"/>
    </row>
    <row r="14" spans="1:9" x14ac:dyDescent="0.2">
      <c r="A14" s="245" t="s">
        <v>298</v>
      </c>
      <c r="B14" s="245" t="s">
        <v>451</v>
      </c>
      <c r="C14" s="458">
        <v>0</v>
      </c>
      <c r="D14" s="458">
        <v>0</v>
      </c>
      <c r="E14" s="113"/>
      <c r="F14" s="757" t="s">
        <v>9</v>
      </c>
      <c r="G14" s="243">
        <v>131498509.127</v>
      </c>
      <c r="H14" s="724">
        <v>0.01</v>
      </c>
      <c r="I14" s="722"/>
    </row>
    <row r="15" spans="1:9" x14ac:dyDescent="0.2">
      <c r="A15" s="245" t="s">
        <v>452</v>
      </c>
      <c r="B15" s="245" t="s">
        <v>449</v>
      </c>
      <c r="C15" s="458">
        <v>0</v>
      </c>
      <c r="D15" s="458">
        <v>0</v>
      </c>
      <c r="E15" s="113"/>
      <c r="F15" s="757" t="s">
        <v>10</v>
      </c>
      <c r="G15" s="243">
        <v>47702075.273000002</v>
      </c>
      <c r="H15" s="724">
        <v>2.1399999999999999E-2</v>
      </c>
      <c r="I15" s="722"/>
    </row>
    <row r="16" spans="1:9" x14ac:dyDescent="0.2">
      <c r="A16" s="245" t="s">
        <v>452</v>
      </c>
      <c r="B16" s="245" t="s">
        <v>450</v>
      </c>
      <c r="C16" s="458">
        <v>0</v>
      </c>
      <c r="D16" s="458">
        <v>0</v>
      </c>
      <c r="E16" s="113"/>
      <c r="F16" s="757" t="s">
        <v>11</v>
      </c>
      <c r="G16" s="243">
        <v>99707815.844999999</v>
      </c>
      <c r="H16" s="724">
        <v>0.33071147000000001</v>
      </c>
      <c r="I16" s="722"/>
    </row>
    <row r="17" spans="1:9" x14ac:dyDescent="0.2">
      <c r="A17" s="245" t="s">
        <v>452</v>
      </c>
      <c r="B17" s="245" t="s">
        <v>451</v>
      </c>
      <c r="C17" s="458">
        <v>0</v>
      </c>
      <c r="D17" s="458">
        <v>0</v>
      </c>
      <c r="E17" s="113"/>
      <c r="F17" s="754"/>
      <c r="G17" s="758"/>
      <c r="H17" s="380"/>
      <c r="I17" s="722"/>
    </row>
    <row r="18" spans="1:9" x14ac:dyDescent="0.2">
      <c r="A18" s="245" t="s">
        <v>294</v>
      </c>
      <c r="B18" s="245" t="s">
        <v>449</v>
      </c>
      <c r="C18" s="458">
        <v>0</v>
      </c>
      <c r="D18" s="458">
        <v>0</v>
      </c>
      <c r="E18" s="113"/>
      <c r="F18" s="759" t="s">
        <v>880</v>
      </c>
      <c r="G18" s="243">
        <f>G11+G12</f>
        <v>572970389.65899992</v>
      </c>
      <c r="H18" s="382"/>
    </row>
    <row r="19" spans="1:9" x14ac:dyDescent="0.2">
      <c r="A19" s="245" t="s">
        <v>294</v>
      </c>
      <c r="B19" s="245" t="s">
        <v>450</v>
      </c>
      <c r="C19" s="458">
        <v>0</v>
      </c>
      <c r="D19" s="458">
        <v>0</v>
      </c>
      <c r="E19" s="113"/>
      <c r="F19" s="754"/>
      <c r="G19" s="758"/>
      <c r="H19" s="380"/>
    </row>
    <row r="20" spans="1:9" x14ac:dyDescent="0.2">
      <c r="A20" s="245" t="s">
        <v>294</v>
      </c>
      <c r="B20" s="245" t="s">
        <v>451</v>
      </c>
      <c r="C20" s="458">
        <v>0</v>
      </c>
      <c r="D20" s="458">
        <v>0</v>
      </c>
      <c r="E20" s="113"/>
      <c r="F20" s="760" t="s">
        <v>881</v>
      </c>
      <c r="G20" s="761">
        <f>+C26+C53</f>
        <v>-163433137.36400002</v>
      </c>
      <c r="H20" s="109"/>
    </row>
    <row r="21" spans="1:9" x14ac:dyDescent="0.2">
      <c r="A21" s="245" t="s">
        <v>296</v>
      </c>
      <c r="B21" s="245" t="s">
        <v>449</v>
      </c>
      <c r="C21" s="458">
        <v>0</v>
      </c>
      <c r="D21" s="458">
        <v>0</v>
      </c>
      <c r="E21" s="113"/>
      <c r="F21" s="762"/>
      <c r="G21" s="763"/>
      <c r="H21" s="372"/>
    </row>
    <row r="22" spans="1:9" x14ac:dyDescent="0.2">
      <c r="A22" s="245" t="s">
        <v>296</v>
      </c>
      <c r="B22" s="245" t="s">
        <v>450</v>
      </c>
      <c r="C22" s="458">
        <v>0</v>
      </c>
      <c r="D22" s="458">
        <v>0</v>
      </c>
      <c r="E22" s="113"/>
      <c r="F22" s="764" t="s">
        <v>883</v>
      </c>
      <c r="G22" s="765">
        <f>G18+G20</f>
        <v>409537252.2949999</v>
      </c>
      <c r="H22" s="7"/>
    </row>
    <row r="23" spans="1:9" ht="15" customHeight="1" x14ac:dyDescent="0.2">
      <c r="A23" s="245" t="s">
        <v>453</v>
      </c>
      <c r="B23" s="245" t="s">
        <v>449</v>
      </c>
      <c r="C23" s="458">
        <v>0</v>
      </c>
      <c r="D23" s="458">
        <v>0</v>
      </c>
      <c r="E23" s="113"/>
      <c r="F23" s="9"/>
      <c r="G23" s="376"/>
      <c r="H23" s="15"/>
    </row>
    <row r="24" spans="1:9" x14ac:dyDescent="0.2">
      <c r="A24" s="245" t="s">
        <v>453</v>
      </c>
      <c r="B24" s="245" t="s">
        <v>450</v>
      </c>
      <c r="C24" s="458">
        <v>0</v>
      </c>
      <c r="D24" s="458">
        <v>0</v>
      </c>
      <c r="E24" s="113"/>
      <c r="F24" s="6" t="s">
        <v>13</v>
      </c>
      <c r="G24" s="377"/>
      <c r="H24" s="377"/>
    </row>
    <row r="25" spans="1:9" x14ac:dyDescent="0.2">
      <c r="A25" s="245" t="s">
        <v>453</v>
      </c>
      <c r="B25" s="245" t="s">
        <v>451</v>
      </c>
      <c r="C25" s="458">
        <v>0</v>
      </c>
      <c r="D25" s="458">
        <v>0</v>
      </c>
      <c r="E25" s="113"/>
      <c r="F25" s="125" t="s">
        <v>14</v>
      </c>
      <c r="G25" s="378" t="s">
        <v>884</v>
      </c>
      <c r="H25" s="378" t="s">
        <v>885</v>
      </c>
    </row>
    <row r="26" spans="1:9" x14ac:dyDescent="0.2">
      <c r="A26" s="245" t="s">
        <v>454</v>
      </c>
      <c r="B26" s="245"/>
      <c r="C26" s="458">
        <v>-137283835.38600001</v>
      </c>
      <c r="D26" s="458">
        <v>-128405725.47</v>
      </c>
      <c r="E26" s="113"/>
      <c r="F26" s="9" t="s">
        <v>9</v>
      </c>
      <c r="G26" s="246">
        <v>1</v>
      </c>
      <c r="H26" s="246">
        <v>30</v>
      </c>
    </row>
    <row r="27" spans="1:9" x14ac:dyDescent="0.2">
      <c r="A27" s="6" t="s">
        <v>3</v>
      </c>
      <c r="B27" s="6"/>
      <c r="C27" s="459">
        <f>+SUM($C$9:C26)</f>
        <v>335961284.42799997</v>
      </c>
      <c r="D27" s="459">
        <f>+SUM($D$9:D26)</f>
        <v>267721855.60200003</v>
      </c>
      <c r="E27" s="113"/>
      <c r="F27" s="9" t="s">
        <v>10</v>
      </c>
      <c r="G27" s="246">
        <v>31</v>
      </c>
      <c r="H27" s="246">
        <v>60</v>
      </c>
    </row>
    <row r="28" spans="1:9" x14ac:dyDescent="0.2">
      <c r="A28" s="2"/>
      <c r="B28" s="2"/>
      <c r="E28" s="113"/>
      <c r="F28" s="9" t="s">
        <v>11</v>
      </c>
      <c r="G28" s="246">
        <v>61</v>
      </c>
      <c r="H28" s="246">
        <v>10000</v>
      </c>
    </row>
    <row r="29" spans="1:9" x14ac:dyDescent="0.2">
      <c r="A29" s="122"/>
      <c r="B29" s="122"/>
      <c r="E29" s="113"/>
    </row>
    <row r="30" spans="1:9" x14ac:dyDescent="0.2">
      <c r="A30" s="2" t="s">
        <v>888</v>
      </c>
      <c r="B30" s="2"/>
      <c r="E30" s="113"/>
      <c r="F30" s="10" t="s">
        <v>1061</v>
      </c>
    </row>
    <row r="31" spans="1:9" x14ac:dyDescent="0.2">
      <c r="A31" s="122"/>
      <c r="B31" s="122"/>
      <c r="C31" s="861" t="s">
        <v>243</v>
      </c>
      <c r="D31" s="862"/>
      <c r="E31" s="113"/>
    </row>
    <row r="32" spans="1:9" ht="15" x14ac:dyDescent="0.25">
      <c r="A32" s="15"/>
      <c r="B32" s="15"/>
      <c r="C32" s="390">
        <f>IFERROR(IF(Indice!B6="","2XX2",YEAR(Indice!B6)),"2XX2")</f>
        <v>2021</v>
      </c>
      <c r="D32" s="390">
        <f>IFERROR(YEAR(Indice!B6-365),"2XX1")</f>
        <v>2020</v>
      </c>
      <c r="E32" s="113"/>
      <c r="F32" s="559" t="s">
        <v>1062</v>
      </c>
    </row>
    <row r="33" spans="1:6" ht="15" x14ac:dyDescent="0.25">
      <c r="A33" s="245" t="s">
        <v>297</v>
      </c>
      <c r="B33" s="245" t="s">
        <v>449</v>
      </c>
      <c r="C33" s="458">
        <v>93985672.045000002</v>
      </c>
      <c r="D33" s="458">
        <v>76336979.965000004</v>
      </c>
      <c r="F33" s="559" t="s">
        <v>1063</v>
      </c>
    </row>
    <row r="34" spans="1:6" ht="15" customHeight="1" x14ac:dyDescent="0.2">
      <c r="A34" s="245" t="s">
        <v>297</v>
      </c>
      <c r="B34" s="245" t="s">
        <v>450</v>
      </c>
      <c r="C34" s="458">
        <v>0</v>
      </c>
      <c r="D34" s="458">
        <v>0</v>
      </c>
    </row>
    <row r="35" spans="1:6" x14ac:dyDescent="0.2">
      <c r="A35" s="245" t="s">
        <v>297</v>
      </c>
      <c r="B35" s="245" t="s">
        <v>451</v>
      </c>
      <c r="C35" s="458">
        <v>0</v>
      </c>
      <c r="D35" s="458">
        <v>0</v>
      </c>
    </row>
    <row r="36" spans="1:6" x14ac:dyDescent="0.2">
      <c r="A36" s="245" t="s">
        <v>298</v>
      </c>
      <c r="B36" s="245" t="s">
        <v>449</v>
      </c>
      <c r="C36" s="458">
        <v>0</v>
      </c>
      <c r="D36" s="458">
        <v>0</v>
      </c>
    </row>
    <row r="37" spans="1:6" x14ac:dyDescent="0.2">
      <c r="A37" s="245" t="s">
        <v>298</v>
      </c>
      <c r="B37" s="245" t="s">
        <v>450</v>
      </c>
      <c r="C37" s="458">
        <v>0</v>
      </c>
      <c r="D37" s="458">
        <v>0</v>
      </c>
    </row>
    <row r="38" spans="1:6" x14ac:dyDescent="0.2">
      <c r="A38" s="245" t="s">
        <v>298</v>
      </c>
      <c r="B38" s="245" t="s">
        <v>451</v>
      </c>
      <c r="C38" s="458">
        <v>0</v>
      </c>
      <c r="D38" s="458">
        <v>0</v>
      </c>
    </row>
    <row r="39" spans="1:6" x14ac:dyDescent="0.2">
      <c r="A39" s="245" t="s">
        <v>452</v>
      </c>
      <c r="B39" s="245" t="s">
        <v>449</v>
      </c>
      <c r="C39" s="458">
        <v>0</v>
      </c>
      <c r="D39" s="458">
        <v>0</v>
      </c>
    </row>
    <row r="40" spans="1:6" x14ac:dyDescent="0.2">
      <c r="A40" s="245" t="s">
        <v>452</v>
      </c>
      <c r="B40" s="245" t="s">
        <v>450</v>
      </c>
      <c r="C40" s="458">
        <v>0</v>
      </c>
      <c r="D40" s="458">
        <v>0</v>
      </c>
    </row>
    <row r="41" spans="1:6" x14ac:dyDescent="0.2">
      <c r="A41" s="245" t="s">
        <v>452</v>
      </c>
      <c r="B41" s="245" t="s">
        <v>451</v>
      </c>
      <c r="C41" s="458">
        <v>0</v>
      </c>
      <c r="D41" s="458">
        <v>0</v>
      </c>
    </row>
    <row r="42" spans="1:6" x14ac:dyDescent="0.2">
      <c r="A42" s="245" t="s">
        <v>294</v>
      </c>
      <c r="B42" s="245" t="s">
        <v>449</v>
      </c>
      <c r="C42" s="458">
        <v>0</v>
      </c>
      <c r="D42" s="458">
        <v>0</v>
      </c>
    </row>
    <row r="43" spans="1:6" x14ac:dyDescent="0.2">
      <c r="A43" s="245" t="s">
        <v>294</v>
      </c>
      <c r="B43" s="245" t="s">
        <v>450</v>
      </c>
      <c r="C43" s="458">
        <v>0</v>
      </c>
      <c r="D43" s="458">
        <v>0</v>
      </c>
    </row>
    <row r="44" spans="1:6" x14ac:dyDescent="0.2">
      <c r="A44" s="245" t="s">
        <v>294</v>
      </c>
      <c r="B44" s="245" t="s">
        <v>451</v>
      </c>
      <c r="C44" s="458">
        <v>0</v>
      </c>
      <c r="D44" s="458">
        <v>0</v>
      </c>
    </row>
    <row r="45" spans="1:6" ht="15" x14ac:dyDescent="0.25">
      <c r="A45" s="245" t="s">
        <v>295</v>
      </c>
      <c r="B45" s="245" t="s">
        <v>449</v>
      </c>
      <c r="C45" s="460">
        <v>4603039.09</v>
      </c>
      <c r="D45" s="458">
        <v>2930805.5219999999</v>
      </c>
    </row>
    <row r="46" spans="1:6" x14ac:dyDescent="0.2">
      <c r="A46" s="245" t="s">
        <v>295</v>
      </c>
      <c r="B46" s="245" t="s">
        <v>450</v>
      </c>
      <c r="C46" s="458">
        <v>0</v>
      </c>
      <c r="D46" s="458">
        <v>0</v>
      </c>
      <c r="F46" s="560" t="s">
        <v>1064</v>
      </c>
    </row>
    <row r="47" spans="1:6" ht="15" x14ac:dyDescent="0.25">
      <c r="A47" s="245" t="s">
        <v>295</v>
      </c>
      <c r="B47" s="245" t="s">
        <v>451</v>
      </c>
      <c r="C47" s="458">
        <v>0</v>
      </c>
      <c r="D47" s="458">
        <v>0</v>
      </c>
      <c r="F47" s="559" t="s">
        <v>1065</v>
      </c>
    </row>
    <row r="48" spans="1:6" x14ac:dyDescent="0.2">
      <c r="A48" s="245" t="s">
        <v>296</v>
      </c>
      <c r="B48" s="245" t="s">
        <v>449</v>
      </c>
      <c r="C48" s="458">
        <v>1136558.7</v>
      </c>
      <c r="D48" s="458">
        <v>1344583.831</v>
      </c>
      <c r="F48" s="10" t="s">
        <v>1066</v>
      </c>
    </row>
    <row r="49" spans="1:12" x14ac:dyDescent="0.2">
      <c r="A49" s="245" t="s">
        <v>296</v>
      </c>
      <c r="B49" s="245" t="s">
        <v>450</v>
      </c>
      <c r="C49" s="458">
        <v>0</v>
      </c>
      <c r="D49" s="458">
        <v>0</v>
      </c>
    </row>
    <row r="50" spans="1:12" x14ac:dyDescent="0.2">
      <c r="A50" s="245" t="s">
        <v>453</v>
      </c>
      <c r="B50" s="245" t="s">
        <v>449</v>
      </c>
      <c r="C50" s="458">
        <v>0</v>
      </c>
      <c r="D50" s="458">
        <v>0</v>
      </c>
    </row>
    <row r="51" spans="1:12" ht="15" x14ac:dyDescent="0.25">
      <c r="A51" s="245" t="s">
        <v>453</v>
      </c>
      <c r="B51" s="245" t="s">
        <v>450</v>
      </c>
      <c r="C51" s="458">
        <v>0</v>
      </c>
      <c r="D51" s="458">
        <v>0</v>
      </c>
      <c r="F51" s="719"/>
      <c r="G51" s="455"/>
      <c r="H51" s="455"/>
      <c r="I51" s="455"/>
      <c r="J51" s="455"/>
      <c r="K51" s="455"/>
    </row>
    <row r="52" spans="1:12" ht="15" x14ac:dyDescent="0.25">
      <c r="A52" s="245" t="s">
        <v>453</v>
      </c>
      <c r="B52" s="245" t="s">
        <v>451</v>
      </c>
      <c r="C52" s="458">
        <v>0</v>
      </c>
      <c r="D52" s="458">
        <v>0</v>
      </c>
      <c r="F52" s="735" t="s">
        <v>1294</v>
      </c>
      <c r="G52" s="719" t="s">
        <v>1295</v>
      </c>
      <c r="H52" s="455"/>
      <c r="I52" s="455"/>
      <c r="J52" s="455"/>
      <c r="K52" s="455"/>
    </row>
    <row r="53" spans="1:12" ht="15" x14ac:dyDescent="0.25">
      <c r="A53" s="245" t="s">
        <v>454</v>
      </c>
      <c r="B53" s="245"/>
      <c r="C53" s="458">
        <v>-26149301.978</v>
      </c>
      <c r="D53" s="458">
        <v>-24458233.421999998</v>
      </c>
      <c r="F53" s="725">
        <v>44348</v>
      </c>
      <c r="G53" s="455"/>
      <c r="H53" s="455"/>
      <c r="I53" s="455"/>
      <c r="J53" s="455"/>
      <c r="K53" s="455"/>
    </row>
    <row r="54" spans="1:12" ht="15" x14ac:dyDescent="0.25">
      <c r="A54" s="6" t="s">
        <v>3</v>
      </c>
      <c r="B54" s="6"/>
      <c r="C54" s="459">
        <f>+SUM($C$33:C53)</f>
        <v>73575967.857000008</v>
      </c>
      <c r="D54" s="459">
        <f>+SUM($D$33:D53)</f>
        <v>56154135.896000005</v>
      </c>
      <c r="F54" t="s">
        <v>1296</v>
      </c>
      <c r="G54" t="s">
        <v>1297</v>
      </c>
      <c r="H54" t="s">
        <v>1298</v>
      </c>
      <c r="I54" t="s">
        <v>1299</v>
      </c>
      <c r="J54" t="s">
        <v>1300</v>
      </c>
      <c r="K54" t="s">
        <v>1301</v>
      </c>
    </row>
    <row r="55" spans="1:12" ht="15" x14ac:dyDescent="0.25">
      <c r="B55" s="244"/>
      <c r="C55" s="749"/>
      <c r="D55" s="244"/>
      <c r="F55">
        <v>1</v>
      </c>
      <c r="G55" s="723">
        <v>473245119.81400001</v>
      </c>
      <c r="H55" s="723">
        <v>355911648.62099999</v>
      </c>
      <c r="I55" s="723">
        <v>117333471.193</v>
      </c>
      <c r="J55" s="723">
        <v>0</v>
      </c>
      <c r="K55" s="723">
        <v>117333471.193</v>
      </c>
    </row>
    <row r="56" spans="1:12" ht="15" x14ac:dyDescent="0.25">
      <c r="A56" s="244"/>
      <c r="B56" s="244"/>
      <c r="C56" s="749"/>
      <c r="D56" s="244"/>
      <c r="F56">
        <v>2</v>
      </c>
      <c r="G56" s="723">
        <v>25872148.427999999</v>
      </c>
      <c r="H56" s="723">
        <v>20485444.353999998</v>
      </c>
      <c r="I56" s="723">
        <v>5386704.074</v>
      </c>
      <c r="J56" s="723">
        <v>1024269.904</v>
      </c>
      <c r="K56" s="723">
        <v>6410973.9780000001</v>
      </c>
    </row>
    <row r="57" spans="1:12" ht="15" x14ac:dyDescent="0.25">
      <c r="A57" s="244"/>
      <c r="B57" s="244"/>
      <c r="C57" s="704"/>
      <c r="D57" s="704"/>
      <c r="E57" s="244"/>
      <c r="F57">
        <v>3</v>
      </c>
      <c r="G57" s="723">
        <v>26032613.699999999</v>
      </c>
      <c r="H57" s="723">
        <v>20007872.899</v>
      </c>
      <c r="I57" s="723">
        <v>6024740.801</v>
      </c>
      <c r="J57" s="723">
        <v>5001966.3899999997</v>
      </c>
      <c r="K57" s="723">
        <v>11026707.191</v>
      </c>
    </row>
    <row r="58" spans="1:12" ht="15" x14ac:dyDescent="0.25">
      <c r="C58" s="461"/>
      <c r="D58" s="461"/>
      <c r="E58" s="244"/>
      <c r="F58">
        <v>4</v>
      </c>
      <c r="G58" s="723">
        <v>12076100.497</v>
      </c>
      <c r="H58" s="723">
        <v>9181869.1309999991</v>
      </c>
      <c r="I58" s="723">
        <v>2894231.3659999999</v>
      </c>
      <c r="J58" s="723">
        <v>4590933.99</v>
      </c>
      <c r="K58" s="723">
        <v>7485165.3559999997</v>
      </c>
    </row>
    <row r="59" spans="1:12" ht="15" x14ac:dyDescent="0.25">
      <c r="C59" s="461"/>
      <c r="D59" s="461"/>
      <c r="E59" s="244"/>
      <c r="F59">
        <v>5</v>
      </c>
      <c r="G59" s="723">
        <v>23011423.063000001</v>
      </c>
      <c r="H59" s="723">
        <v>17556628.351</v>
      </c>
      <c r="I59" s="723">
        <v>5454794.7120000003</v>
      </c>
      <c r="J59" s="723">
        <v>13167469.486</v>
      </c>
      <c r="K59" s="723">
        <v>18622264.197999999</v>
      </c>
    </row>
    <row r="60" spans="1:12" ht="15" x14ac:dyDescent="0.25">
      <c r="C60" s="461"/>
      <c r="D60" s="705"/>
      <c r="E60" s="244"/>
      <c r="F60">
        <v>6</v>
      </c>
      <c r="G60" s="723">
        <v>11596425.447000001</v>
      </c>
      <c r="H60" s="723">
        <v>9074818.5219999999</v>
      </c>
      <c r="I60" s="723">
        <v>2521606.9249999998</v>
      </c>
      <c r="J60" s="723">
        <v>9074818.5219999999</v>
      </c>
      <c r="K60" s="723">
        <v>11596425.447000001</v>
      </c>
    </row>
    <row r="61" spans="1:12" ht="15" x14ac:dyDescent="0.25">
      <c r="C61" s="705"/>
      <c r="D61" s="705"/>
      <c r="F61" t="s">
        <v>130</v>
      </c>
      <c r="G61" s="723">
        <v>571833830.949</v>
      </c>
      <c r="H61" s="723">
        <v>432218281.87800002</v>
      </c>
      <c r="I61" s="723">
        <v>139615549.07100001</v>
      </c>
      <c r="J61" s="723">
        <v>32859458.291999999</v>
      </c>
      <c r="K61" s="723">
        <v>172475007.36300001</v>
      </c>
      <c r="L61" s="10">
        <v>1000</v>
      </c>
    </row>
    <row r="62" spans="1:12" ht="15" x14ac:dyDescent="0.25">
      <c r="C62" s="705"/>
      <c r="D62" s="705"/>
      <c r="F62" s="719"/>
      <c r="G62" s="723">
        <v>1136558.71</v>
      </c>
      <c r="H62" s="455"/>
      <c r="I62" s="455"/>
      <c r="J62" s="455"/>
      <c r="K62" s="455"/>
    </row>
    <row r="63" spans="1:12" ht="15" x14ac:dyDescent="0.25">
      <c r="F63" s="99" t="s">
        <v>1302</v>
      </c>
      <c r="G63" s="723">
        <v>572970389.65900004</v>
      </c>
      <c r="H63" s="455"/>
      <c r="I63" s="455"/>
      <c r="J63" s="455"/>
      <c r="K63" s="455" t="s">
        <v>1303</v>
      </c>
    </row>
    <row r="64" spans="1:12" ht="15" x14ac:dyDescent="0.25">
      <c r="F64" s="24" t="s">
        <v>1304</v>
      </c>
      <c r="G64" s="723">
        <v>98588711.135000005</v>
      </c>
      <c r="H64" s="518"/>
      <c r="I64" s="518"/>
      <c r="J64" s="455"/>
      <c r="K64" s="455"/>
    </row>
    <row r="65" spans="6:11" ht="15" x14ac:dyDescent="0.25">
      <c r="F65" s="149" t="s">
        <v>1305</v>
      </c>
      <c r="G65" s="747">
        <f>+G64/G63</f>
        <v>0.17206597917507482</v>
      </c>
      <c r="H65" s="518"/>
      <c r="I65" s="518"/>
      <c r="J65" s="455"/>
      <c r="K65" s="455"/>
    </row>
    <row r="66" spans="6:11" ht="15" x14ac:dyDescent="0.25">
      <c r="F66" s="24" t="s">
        <v>1306</v>
      </c>
      <c r="G66" s="518">
        <v>32859458.291999999</v>
      </c>
      <c r="H66" s="747"/>
      <c r="I66" s="518"/>
      <c r="J66" s="455"/>
      <c r="K66" s="455"/>
    </row>
    <row r="67" spans="6:11" ht="15" x14ac:dyDescent="0.25">
      <c r="F67" s="24" t="s">
        <v>1307</v>
      </c>
      <c r="G67" s="748">
        <v>130573679.073</v>
      </c>
      <c r="H67" s="518"/>
      <c r="I67" s="518"/>
      <c r="J67" s="455"/>
      <c r="K67" s="455"/>
    </row>
    <row r="68" spans="6:11" ht="15" x14ac:dyDescent="0.25">
      <c r="F68" s="149" t="s">
        <v>130</v>
      </c>
      <c r="G68" s="748">
        <v>163433137.36500001</v>
      </c>
      <c r="H68" s="518"/>
      <c r="I68" s="518"/>
      <c r="J68" s="455"/>
      <c r="K68" s="455"/>
    </row>
    <row r="69" spans="6:11" ht="15" x14ac:dyDescent="0.25">
      <c r="F69" s="149" t="s">
        <v>1308</v>
      </c>
      <c r="G69" s="748">
        <v>30059427.421999998</v>
      </c>
      <c r="H69" s="518"/>
      <c r="I69" s="518"/>
      <c r="J69" s="455"/>
      <c r="K69" s="455"/>
    </row>
    <row r="70" spans="6:11" ht="15" x14ac:dyDescent="0.25">
      <c r="F70" s="149" t="s">
        <v>1309</v>
      </c>
      <c r="G70" s="518">
        <v>160633106.495</v>
      </c>
      <c r="H70" s="518"/>
      <c r="I70" s="518"/>
      <c r="J70" s="455"/>
      <c r="K70" s="455"/>
    </row>
    <row r="71" spans="6:11" ht="15.75" thickBot="1" x14ac:dyDescent="0.3">
      <c r="F71" s="99" t="s">
        <v>1310</v>
      </c>
      <c r="G71" s="455"/>
      <c r="H71" s="455"/>
      <c r="I71" s="455"/>
      <c r="J71" s="455"/>
      <c r="K71" s="455"/>
    </row>
    <row r="72" spans="6:11" ht="15.75" thickBot="1" x14ac:dyDescent="0.3">
      <c r="F72" s="726" t="s">
        <v>1311</v>
      </c>
      <c r="G72" s="726" t="s">
        <v>1312</v>
      </c>
      <c r="H72" s="726" t="s">
        <v>1313</v>
      </c>
      <c r="I72" s="727" t="s">
        <v>1314</v>
      </c>
      <c r="J72" s="455"/>
      <c r="K72" s="455"/>
    </row>
    <row r="73" spans="6:11" ht="15" x14ac:dyDescent="0.25">
      <c r="F73" s="728">
        <v>1</v>
      </c>
      <c r="G73" s="728" t="s">
        <v>1315</v>
      </c>
      <c r="H73" s="728" t="s">
        <v>1315</v>
      </c>
      <c r="I73" s="729" t="s">
        <v>1316</v>
      </c>
      <c r="J73" s="455"/>
      <c r="K73" s="455"/>
    </row>
    <row r="74" spans="6:11" ht="15" x14ac:dyDescent="0.25">
      <c r="F74" s="728">
        <v>2</v>
      </c>
      <c r="G74" s="728" t="s">
        <v>1317</v>
      </c>
      <c r="H74" s="728" t="s">
        <v>1317</v>
      </c>
      <c r="I74" s="730">
        <v>0.05</v>
      </c>
      <c r="J74" s="455"/>
      <c r="K74" s="455"/>
    </row>
    <row r="75" spans="6:11" ht="15" x14ac:dyDescent="0.25">
      <c r="F75" s="731">
        <v>3</v>
      </c>
      <c r="G75" s="731" t="s">
        <v>1318</v>
      </c>
      <c r="H75" s="731" t="s">
        <v>1319</v>
      </c>
      <c r="I75" s="732">
        <v>0.25</v>
      </c>
      <c r="J75" s="455"/>
      <c r="K75" s="455"/>
    </row>
    <row r="76" spans="6:11" ht="15" x14ac:dyDescent="0.25">
      <c r="F76" s="731">
        <v>4</v>
      </c>
      <c r="G76" s="731" t="s">
        <v>1320</v>
      </c>
      <c r="H76" s="731" t="s">
        <v>1321</v>
      </c>
      <c r="I76" s="732">
        <v>0.5</v>
      </c>
      <c r="J76" s="455"/>
      <c r="K76" s="455"/>
    </row>
    <row r="77" spans="6:11" ht="15" x14ac:dyDescent="0.25">
      <c r="F77" s="731">
        <v>5</v>
      </c>
      <c r="G77" s="731" t="s">
        <v>1322</v>
      </c>
      <c r="H77" s="731" t="s">
        <v>1320</v>
      </c>
      <c r="I77" s="732">
        <v>0.75</v>
      </c>
      <c r="J77" s="455"/>
      <c r="K77" s="455"/>
    </row>
    <row r="78" spans="6:11" ht="15.75" thickBot="1" x14ac:dyDescent="0.3">
      <c r="F78" s="733">
        <v>6</v>
      </c>
      <c r="G78" s="733" t="s">
        <v>1323</v>
      </c>
      <c r="H78" s="733" t="s">
        <v>1324</v>
      </c>
      <c r="I78" s="734">
        <v>1</v>
      </c>
      <c r="J78" s="455"/>
      <c r="K78" s="455"/>
    </row>
    <row r="79" spans="6:11" ht="15" x14ac:dyDescent="0.25">
      <c r="F79" s="719"/>
      <c r="G79" s="455"/>
      <c r="H79" s="455"/>
      <c r="I79" s="455"/>
      <c r="J79" s="455"/>
      <c r="K79" s="455"/>
    </row>
  </sheetData>
  <mergeCells count="2">
    <mergeCell ref="C7:D7"/>
    <mergeCell ref="C31:D31"/>
  </mergeCells>
  <hyperlinks>
    <hyperlink ref="F1" location="BG!A1" display="BG"/>
  </hyperlinks>
  <pageMargins left="0.70866141732283472" right="0.70866141732283472" top="0.74803149606299213" bottom="0.74803149606299213" header="0.31496062992125984" footer="0.31496062992125984"/>
  <pageSetup paperSize="5" scale="8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75"/>
  <sheetViews>
    <sheetView showGridLines="0" topLeftCell="A55" workbookViewId="0">
      <selection activeCell="B61" sqref="B61:C70"/>
    </sheetView>
  </sheetViews>
  <sheetFormatPr baseColWidth="10" defaultColWidth="11.42578125" defaultRowHeight="12.75" x14ac:dyDescent="0.2"/>
  <cols>
    <col min="1" max="1" width="44.140625" style="2" bestFit="1" customWidth="1"/>
    <col min="2" max="2" width="20.85546875" style="2" customWidth="1"/>
    <col min="3" max="3" width="14.85546875" style="2" bestFit="1" customWidth="1"/>
    <col min="4" max="4" width="3.42578125" style="2" bestFit="1" customWidth="1"/>
    <col min="5" max="5" width="38.85546875" style="2" bestFit="1" customWidth="1"/>
    <col min="6" max="6" width="18.28515625" style="2" bestFit="1" customWidth="1"/>
    <col min="7" max="7" width="14.28515625" style="2" customWidth="1"/>
    <col min="8" max="16384" width="11.42578125" style="2"/>
  </cols>
  <sheetData>
    <row r="1" spans="1:7" ht="15" x14ac:dyDescent="0.25">
      <c r="A1" s="3" t="str">
        <f>Indice!C1</f>
        <v>NEGOFIN S.A.E.C.A.</v>
      </c>
      <c r="D1" s="143" t="s">
        <v>132</v>
      </c>
    </row>
    <row r="2" spans="1:7" x14ac:dyDescent="0.2">
      <c r="A2" s="3"/>
    </row>
    <row r="3" spans="1:7" x14ac:dyDescent="0.2">
      <c r="A3" s="3"/>
    </row>
    <row r="4" spans="1:7" x14ac:dyDescent="0.2">
      <c r="A4" s="308" t="s">
        <v>293</v>
      </c>
      <c r="B4" s="308"/>
      <c r="C4" s="308"/>
    </row>
    <row r="5" spans="1:7" x14ac:dyDescent="0.2">
      <c r="A5" s="254" t="s">
        <v>313</v>
      </c>
      <c r="B5" s="254"/>
    </row>
    <row r="6" spans="1:7" x14ac:dyDescent="0.2">
      <c r="A6" s="2" t="s">
        <v>15</v>
      </c>
    </row>
    <row r="8" spans="1:7" x14ac:dyDescent="0.2">
      <c r="A8" s="12" t="s">
        <v>65</v>
      </c>
      <c r="B8" s="10"/>
      <c r="C8" s="10"/>
      <c r="E8" s="12" t="s">
        <v>64</v>
      </c>
      <c r="F8" s="16"/>
      <c r="G8" s="10"/>
    </row>
    <row r="9" spans="1:7" x14ac:dyDescent="0.2">
      <c r="A9" s="10"/>
      <c r="E9" s="10"/>
      <c r="F9" s="293"/>
      <c r="G9" s="293"/>
    </row>
    <row r="10" spans="1:7" x14ac:dyDescent="0.2">
      <c r="A10" s="13" t="s">
        <v>5</v>
      </c>
      <c r="B10" s="392">
        <f>IFERROR(IF(Indice!B6="","2XX2",YEAR(Indice!B6)),"2XX2")</f>
        <v>2021</v>
      </c>
      <c r="C10" s="392">
        <f>IFERROR(YEAR(Indice!B6-365),"2XX1")</f>
        <v>2020</v>
      </c>
      <c r="E10" s="13" t="s">
        <v>5</v>
      </c>
      <c r="F10" s="392">
        <f>IFERROR(IF(Indice!B6="","2XX2",YEAR(Indice!B6)),"2XX2")</f>
        <v>2021</v>
      </c>
      <c r="G10" s="392">
        <f>IFERROR(YEAR(Indice!B6-365),"2XX1")</f>
        <v>2020</v>
      </c>
    </row>
    <row r="11" spans="1:7" x14ac:dyDescent="0.2">
      <c r="A11" s="10" t="s">
        <v>305</v>
      </c>
      <c r="B11" s="461">
        <v>137725.29999999999</v>
      </c>
      <c r="C11" s="461">
        <v>30992.705000000002</v>
      </c>
      <c r="E11" s="10" t="s">
        <v>16</v>
      </c>
      <c r="F11" s="463">
        <v>18604.7</v>
      </c>
      <c r="G11" s="463">
        <v>18604.7</v>
      </c>
    </row>
    <row r="12" spans="1:7" x14ac:dyDescent="0.2">
      <c r="A12" s="10" t="s">
        <v>101</v>
      </c>
      <c r="B12" s="461">
        <v>154014.29999999999</v>
      </c>
      <c r="C12" s="461">
        <v>0</v>
      </c>
      <c r="E12" s="10" t="s">
        <v>304</v>
      </c>
      <c r="F12" s="463">
        <v>5776015.5999999996</v>
      </c>
      <c r="G12" s="463">
        <v>3881053.5589999999</v>
      </c>
    </row>
    <row r="13" spans="1:7" x14ac:dyDescent="0.2">
      <c r="A13" s="10" t="s">
        <v>17</v>
      </c>
      <c r="B13" s="461">
        <v>2059124.71</v>
      </c>
      <c r="C13" s="461">
        <v>0</v>
      </c>
      <c r="E13" s="10" t="s">
        <v>306</v>
      </c>
      <c r="F13" s="465"/>
      <c r="G13" s="465"/>
    </row>
    <row r="14" spans="1:7" x14ac:dyDescent="0.2">
      <c r="A14" s="10" t="s">
        <v>59</v>
      </c>
      <c r="B14" s="461">
        <v>0</v>
      </c>
      <c r="C14" s="461">
        <v>0</v>
      </c>
      <c r="E14" s="10" t="s">
        <v>957</v>
      </c>
      <c r="F14" s="466">
        <v>22230.5</v>
      </c>
      <c r="G14" s="466">
        <v>22230.5</v>
      </c>
    </row>
    <row r="15" spans="1:7" x14ac:dyDescent="0.2">
      <c r="A15" s="10" t="s">
        <v>60</v>
      </c>
      <c r="B15" s="461">
        <v>5272.7</v>
      </c>
      <c r="C15" s="461">
        <v>4254.8869999999997</v>
      </c>
      <c r="E15" s="10" t="s">
        <v>958</v>
      </c>
      <c r="F15" s="466">
        <v>2068.1</v>
      </c>
      <c r="G15" s="466">
        <v>2068.1</v>
      </c>
    </row>
    <row r="16" spans="1:7" ht="13.5" thickBot="1" x14ac:dyDescent="0.25">
      <c r="A16" s="462" t="s">
        <v>919</v>
      </c>
      <c r="B16" s="461">
        <v>312000</v>
      </c>
      <c r="C16" s="699">
        <v>312000</v>
      </c>
      <c r="E16" s="12" t="s">
        <v>3</v>
      </c>
      <c r="F16" s="464">
        <f>SUM(F11:F15)</f>
        <v>5818918.8999999994</v>
      </c>
      <c r="G16" s="464">
        <f>SUM(G11:G15)</f>
        <v>3923956.8590000002</v>
      </c>
    </row>
    <row r="17" spans="1:7" ht="13.5" thickTop="1" x14ac:dyDescent="0.2">
      <c r="A17" s="462" t="s">
        <v>920</v>
      </c>
      <c r="B17" s="461">
        <v>13014.157999999999</v>
      </c>
      <c r="C17" s="461">
        <v>18875.157999999999</v>
      </c>
      <c r="E17" s="12"/>
      <c r="F17" s="115"/>
      <c r="G17" s="115"/>
    </row>
    <row r="18" spans="1:7" x14ac:dyDescent="0.2">
      <c r="A18" s="462" t="s">
        <v>921</v>
      </c>
      <c r="B18" s="461">
        <v>0</v>
      </c>
      <c r="C18" s="461">
        <v>166711.01300000001</v>
      </c>
      <c r="E18" s="12"/>
      <c r="F18" s="115"/>
      <c r="G18" s="115"/>
    </row>
    <row r="19" spans="1:7" x14ac:dyDescent="0.2">
      <c r="A19" s="462" t="s">
        <v>922</v>
      </c>
      <c r="B19" s="461">
        <v>0</v>
      </c>
      <c r="C19" s="461">
        <v>55736.4</v>
      </c>
      <c r="E19" s="12"/>
      <c r="F19" s="115"/>
      <c r="G19" s="115"/>
    </row>
    <row r="20" spans="1:7" x14ac:dyDescent="0.2">
      <c r="A20" s="462" t="s">
        <v>923</v>
      </c>
      <c r="B20" s="461">
        <v>28335.784</v>
      </c>
      <c r="C20" s="461">
        <v>157288.09700000001</v>
      </c>
      <c r="E20" s="12"/>
      <c r="F20" s="115"/>
      <c r="G20" s="115"/>
    </row>
    <row r="21" spans="1:7" x14ac:dyDescent="0.2">
      <c r="A21" s="462" t="s">
        <v>924</v>
      </c>
      <c r="B21" s="461">
        <v>1161940.4620000001</v>
      </c>
      <c r="C21" s="461">
        <v>2112372.0210000002</v>
      </c>
      <c r="E21" s="12"/>
      <c r="F21" s="115"/>
      <c r="G21" s="115"/>
    </row>
    <row r="22" spans="1:7" x14ac:dyDescent="0.2">
      <c r="A22" s="462" t="s">
        <v>946</v>
      </c>
      <c r="B22" s="461">
        <v>23173.663</v>
      </c>
      <c r="C22" s="461">
        <v>0</v>
      </c>
      <c r="E22" s="12"/>
      <c r="F22" s="115"/>
      <c r="G22" s="115"/>
    </row>
    <row r="23" spans="1:7" x14ac:dyDescent="0.2">
      <c r="A23" s="462" t="s">
        <v>925</v>
      </c>
      <c r="B23" s="461">
        <v>0</v>
      </c>
      <c r="C23" s="461">
        <v>7901.1970000000001</v>
      </c>
      <c r="E23" s="12"/>
      <c r="F23" s="115"/>
      <c r="G23" s="115"/>
    </row>
    <row r="24" spans="1:7" x14ac:dyDescent="0.2">
      <c r="A24" s="462" t="s">
        <v>926</v>
      </c>
      <c r="B24" s="461">
        <v>0</v>
      </c>
      <c r="C24" s="461">
        <v>70308.487999999998</v>
      </c>
      <c r="E24" s="12"/>
      <c r="F24" s="115"/>
      <c r="G24" s="115"/>
    </row>
    <row r="25" spans="1:7" x14ac:dyDescent="0.2">
      <c r="A25" s="462" t="s">
        <v>927</v>
      </c>
      <c r="B25" s="461">
        <v>0</v>
      </c>
      <c r="C25" s="461">
        <v>35542.107000000004</v>
      </c>
      <c r="E25" s="12"/>
      <c r="F25" s="115"/>
      <c r="G25" s="115"/>
    </row>
    <row r="26" spans="1:7" x14ac:dyDescent="0.2">
      <c r="A26" s="462" t="s">
        <v>928</v>
      </c>
      <c r="B26" s="461">
        <v>2234.1880000000001</v>
      </c>
      <c r="C26" s="461">
        <v>3977.355</v>
      </c>
      <c r="E26" s="12"/>
      <c r="F26" s="115"/>
      <c r="G26" s="115"/>
    </row>
    <row r="27" spans="1:7" x14ac:dyDescent="0.2">
      <c r="A27" s="462" t="s">
        <v>929</v>
      </c>
      <c r="B27" s="461">
        <v>9479.6370000000006</v>
      </c>
      <c r="C27" s="461">
        <v>1122.3900000000001</v>
      </c>
      <c r="E27" s="12"/>
      <c r="F27" s="115"/>
      <c r="G27" s="115"/>
    </row>
    <row r="28" spans="1:7" x14ac:dyDescent="0.2">
      <c r="A28" s="462" t="s">
        <v>930</v>
      </c>
      <c r="B28" s="461">
        <v>0</v>
      </c>
      <c r="C28" s="461">
        <v>6156.6369999999997</v>
      </c>
      <c r="E28" s="12"/>
      <c r="F28" s="115"/>
      <c r="G28" s="115"/>
    </row>
    <row r="29" spans="1:7" x14ac:dyDescent="0.2">
      <c r="A29" s="462" t="s">
        <v>931</v>
      </c>
      <c r="B29" s="662">
        <v>6065.6859999999997</v>
      </c>
      <c r="C29" s="461">
        <v>1581.0350000000001</v>
      </c>
      <c r="E29" s="12"/>
      <c r="F29" s="115"/>
      <c r="G29" s="115"/>
    </row>
    <row r="30" spans="1:7" x14ac:dyDescent="0.2">
      <c r="A30" s="462" t="s">
        <v>932</v>
      </c>
      <c r="B30" s="461">
        <v>2338.6959999999999</v>
      </c>
      <c r="C30" s="461">
        <v>900.13499999999999</v>
      </c>
      <c r="E30" s="12"/>
      <c r="F30" s="115"/>
      <c r="G30" s="115"/>
    </row>
    <row r="31" spans="1:7" x14ac:dyDescent="0.2">
      <c r="A31" s="462" t="s">
        <v>933</v>
      </c>
      <c r="B31" s="461">
        <v>1470.308</v>
      </c>
      <c r="C31" s="461">
        <v>22116.423999999999</v>
      </c>
      <c r="E31" s="12"/>
      <c r="F31" s="115"/>
      <c r="G31" s="115"/>
    </row>
    <row r="32" spans="1:7" x14ac:dyDescent="0.2">
      <c r="A32" s="462" t="s">
        <v>934</v>
      </c>
      <c r="B32" s="461">
        <v>2741.53</v>
      </c>
      <c r="C32" s="461">
        <v>0</v>
      </c>
      <c r="E32" s="710"/>
      <c r="F32" s="115"/>
      <c r="G32" s="115"/>
    </row>
    <row r="33" spans="1:7" x14ac:dyDescent="0.2">
      <c r="A33" s="1" t="s">
        <v>935</v>
      </c>
      <c r="B33" s="461">
        <v>0</v>
      </c>
      <c r="C33" s="461">
        <v>3437.2910000000002</v>
      </c>
      <c r="E33" s="12"/>
      <c r="F33" s="115"/>
      <c r="G33" s="115"/>
    </row>
    <row r="34" spans="1:7" x14ac:dyDescent="0.2">
      <c r="A34" s="1" t="s">
        <v>936</v>
      </c>
      <c r="B34" s="461">
        <v>13329.555</v>
      </c>
      <c r="C34" s="461">
        <v>1482.7750000000001</v>
      </c>
      <c r="E34" s="710"/>
      <c r="F34" s="115"/>
      <c r="G34" s="115"/>
    </row>
    <row r="35" spans="1:7" x14ac:dyDescent="0.2">
      <c r="A35" s="462" t="s">
        <v>937</v>
      </c>
      <c r="B35" s="461">
        <v>0</v>
      </c>
      <c r="C35" s="461">
        <v>635.07799999999997</v>
      </c>
      <c r="E35" s="12"/>
      <c r="F35" s="115"/>
      <c r="G35" s="115"/>
    </row>
    <row r="36" spans="1:7" x14ac:dyDescent="0.2">
      <c r="A36" s="1" t="s">
        <v>938</v>
      </c>
      <c r="B36" s="461">
        <v>1434.8579999999999</v>
      </c>
      <c r="C36" s="461">
        <v>0</v>
      </c>
      <c r="E36" s="12"/>
      <c r="F36" s="115"/>
      <c r="G36" s="115"/>
    </row>
    <row r="37" spans="1:7" x14ac:dyDescent="0.2">
      <c r="A37" s="462" t="s">
        <v>947</v>
      </c>
      <c r="B37" s="461">
        <v>53442.652000000002</v>
      </c>
      <c r="C37" s="461">
        <v>109775.476</v>
      </c>
      <c r="E37" s="12"/>
      <c r="F37" s="115"/>
      <c r="G37" s="115"/>
    </row>
    <row r="38" spans="1:7" x14ac:dyDescent="0.2">
      <c r="A38" s="1" t="s">
        <v>939</v>
      </c>
      <c r="B38" s="461">
        <v>0</v>
      </c>
      <c r="C38" s="461">
        <v>10757.352999999999</v>
      </c>
      <c r="E38" s="12"/>
      <c r="F38" s="115"/>
      <c r="G38" s="115"/>
    </row>
    <row r="39" spans="1:7" x14ac:dyDescent="0.2">
      <c r="A39" s="462" t="s">
        <v>940</v>
      </c>
      <c r="B39" s="461">
        <v>17786</v>
      </c>
      <c r="C39" s="461">
        <v>12474.062</v>
      </c>
      <c r="E39" s="12"/>
      <c r="F39" s="115"/>
      <c r="G39" s="115"/>
    </row>
    <row r="40" spans="1:7" x14ac:dyDescent="0.2">
      <c r="A40" s="462" t="s">
        <v>922</v>
      </c>
      <c r="B40" s="461">
        <v>0</v>
      </c>
      <c r="C40" s="461">
        <v>0</v>
      </c>
      <c r="E40" s="12"/>
      <c r="F40" s="115"/>
      <c r="G40" s="115"/>
    </row>
    <row r="41" spans="1:7" x14ac:dyDescent="0.2">
      <c r="A41" s="462" t="s">
        <v>941</v>
      </c>
      <c r="B41" s="461">
        <v>0</v>
      </c>
      <c r="C41" s="461">
        <v>3572.05</v>
      </c>
      <c r="E41" s="12"/>
      <c r="F41" s="115"/>
      <c r="G41" s="115"/>
    </row>
    <row r="42" spans="1:7" x14ac:dyDescent="0.2">
      <c r="A42" s="462" t="s">
        <v>942</v>
      </c>
      <c r="B42" s="461">
        <v>0</v>
      </c>
      <c r="C42" s="461">
        <v>0</v>
      </c>
      <c r="E42" s="12"/>
      <c r="F42" s="115"/>
      <c r="G42" s="115"/>
    </row>
    <row r="43" spans="1:7" x14ac:dyDescent="0.2">
      <c r="A43" s="1" t="s">
        <v>943</v>
      </c>
      <c r="B43" s="461">
        <v>0</v>
      </c>
      <c r="C43" s="461">
        <v>0</v>
      </c>
      <c r="E43" s="12"/>
      <c r="F43" s="115"/>
      <c r="G43" s="115"/>
    </row>
    <row r="44" spans="1:7" x14ac:dyDescent="0.2">
      <c r="A44" s="462" t="s">
        <v>944</v>
      </c>
      <c r="B44" s="461">
        <v>0</v>
      </c>
      <c r="C44" s="461">
        <v>0</v>
      </c>
      <c r="E44" s="12"/>
      <c r="F44" s="115"/>
      <c r="G44" s="115"/>
    </row>
    <row r="45" spans="1:7" x14ac:dyDescent="0.2">
      <c r="A45" s="462" t="s">
        <v>945</v>
      </c>
      <c r="B45" s="461">
        <v>3202.44</v>
      </c>
      <c r="C45" s="461">
        <v>2302.4630000000002</v>
      </c>
      <c r="E45" s="12"/>
      <c r="F45" s="115"/>
      <c r="G45" s="115"/>
    </row>
    <row r="46" spans="1:7" x14ac:dyDescent="0.2">
      <c r="A46" s="10" t="s">
        <v>948</v>
      </c>
      <c r="B46" s="461">
        <v>245291.5</v>
      </c>
      <c r="C46" s="461">
        <v>453.86799999999999</v>
      </c>
      <c r="E46" s="12"/>
      <c r="F46" s="115"/>
      <c r="G46" s="115"/>
    </row>
    <row r="47" spans="1:7" x14ac:dyDescent="0.2">
      <c r="A47" s="10" t="s">
        <v>949</v>
      </c>
      <c r="B47" s="461">
        <v>0</v>
      </c>
      <c r="C47" s="461">
        <v>0</v>
      </c>
      <c r="E47" s="12"/>
      <c r="F47" s="115"/>
      <c r="G47" s="115"/>
    </row>
    <row r="48" spans="1:7" x14ac:dyDescent="0.2">
      <c r="A48" s="10" t="s">
        <v>950</v>
      </c>
      <c r="B48" s="461">
        <v>10131.272999999999</v>
      </c>
      <c r="C48" s="461">
        <v>1213.961</v>
      </c>
      <c r="E48" s="12"/>
      <c r="F48" s="115"/>
      <c r="G48" s="115"/>
    </row>
    <row r="49" spans="1:7" x14ac:dyDescent="0.2">
      <c r="A49" s="10" t="s">
        <v>951</v>
      </c>
      <c r="B49" s="461">
        <v>3949.127</v>
      </c>
      <c r="C49" s="461">
        <v>3274.1</v>
      </c>
      <c r="E49" s="12"/>
      <c r="F49" s="115"/>
      <c r="G49" s="115"/>
    </row>
    <row r="50" spans="1:7" x14ac:dyDescent="0.2">
      <c r="A50" s="10" t="s">
        <v>952</v>
      </c>
      <c r="B50" s="461">
        <v>0</v>
      </c>
      <c r="C50" s="461">
        <v>1379.6659999999999</v>
      </c>
      <c r="E50" s="12"/>
      <c r="F50" s="115"/>
      <c r="G50" s="115"/>
    </row>
    <row r="51" spans="1:7" x14ac:dyDescent="0.2">
      <c r="A51" s="10" t="s">
        <v>953</v>
      </c>
      <c r="B51" s="461">
        <v>0</v>
      </c>
      <c r="C51" s="461">
        <v>275392.408</v>
      </c>
      <c r="E51" s="12"/>
      <c r="F51" s="115"/>
      <c r="G51" s="115"/>
    </row>
    <row r="52" spans="1:7" x14ac:dyDescent="0.2">
      <c r="A52" s="10" t="s">
        <v>955</v>
      </c>
      <c r="B52" s="461">
        <v>157078.83900000001</v>
      </c>
      <c r="C52" s="461">
        <v>0</v>
      </c>
      <c r="E52" s="12"/>
      <c r="F52" s="115"/>
      <c r="G52" s="115"/>
    </row>
    <row r="53" spans="1:7" x14ac:dyDescent="0.2">
      <c r="A53" s="10" t="s">
        <v>1280</v>
      </c>
      <c r="B53" s="461">
        <v>16250</v>
      </c>
      <c r="C53" s="461">
        <v>0</v>
      </c>
      <c r="E53" s="12"/>
      <c r="F53" s="115"/>
      <c r="G53" s="115"/>
    </row>
    <row r="54" spans="1:7" x14ac:dyDescent="0.2">
      <c r="A54" s="10" t="s">
        <v>954</v>
      </c>
      <c r="B54" s="461">
        <v>135479.804</v>
      </c>
      <c r="C54" s="461">
        <v>18070.513999999999</v>
      </c>
      <c r="E54" s="12"/>
      <c r="F54" s="115"/>
      <c r="G54" s="115"/>
    </row>
    <row r="55" spans="1:7" x14ac:dyDescent="0.2">
      <c r="A55" s="10" t="s">
        <v>956</v>
      </c>
      <c r="B55" s="461">
        <v>18983.5</v>
      </c>
      <c r="C55" s="461">
        <v>17575.080999999998</v>
      </c>
      <c r="E55" s="12"/>
      <c r="F55" s="115"/>
      <c r="G55" s="115"/>
    </row>
    <row r="56" spans="1:7" x14ac:dyDescent="0.2">
      <c r="A56" s="10" t="s">
        <v>959</v>
      </c>
      <c r="B56" s="461">
        <v>667412.723</v>
      </c>
      <c r="C56" s="461">
        <v>0</v>
      </c>
      <c r="E56" s="12"/>
      <c r="F56" s="115"/>
      <c r="G56" s="115"/>
    </row>
    <row r="57" spans="1:7" x14ac:dyDescent="0.2">
      <c r="A57" s="10" t="s">
        <v>960</v>
      </c>
      <c r="B57" s="461">
        <v>36444.002999999997</v>
      </c>
      <c r="C57" s="461">
        <v>26686.912</v>
      </c>
      <c r="E57" s="12"/>
      <c r="F57" s="115"/>
      <c r="G57" s="115"/>
    </row>
    <row r="58" spans="1:7" x14ac:dyDescent="0.2">
      <c r="A58" s="10" t="s">
        <v>961</v>
      </c>
      <c r="B58" s="467">
        <v>28166.714</v>
      </c>
      <c r="C58" s="467">
        <v>34907.815999999999</v>
      </c>
      <c r="E58" s="12"/>
      <c r="F58" s="115"/>
      <c r="G58" s="115"/>
    </row>
    <row r="59" spans="1:7" ht="13.5" thickBot="1" x14ac:dyDescent="0.25">
      <c r="A59" s="12" t="s">
        <v>3</v>
      </c>
      <c r="B59" s="739">
        <f>SUM($B$11:B58)</f>
        <v>5327314.1099999994</v>
      </c>
      <c r="C59" s="464">
        <f>SUM($C$11:C58)</f>
        <v>3531226.9230000004</v>
      </c>
      <c r="F59" s="30"/>
      <c r="G59" s="30"/>
    </row>
    <row r="60" spans="1:7" ht="13.5" thickTop="1" x14ac:dyDescent="0.2">
      <c r="A60" s="12"/>
      <c r="B60" s="115"/>
      <c r="C60" s="115"/>
    </row>
    <row r="61" spans="1:7" x14ac:dyDescent="0.2">
      <c r="B61" s="468"/>
      <c r="C61" s="468"/>
    </row>
    <row r="62" spans="1:7" x14ac:dyDescent="0.2">
      <c r="B62" s="709"/>
      <c r="C62" s="709"/>
    </row>
    <row r="63" spans="1:7" x14ac:dyDescent="0.2">
      <c r="B63" s="709"/>
      <c r="C63" s="709"/>
    </row>
    <row r="64" spans="1:7" x14ac:dyDescent="0.2">
      <c r="B64" s="709"/>
      <c r="C64" s="709"/>
    </row>
    <row r="65" spans="2:3" x14ac:dyDescent="0.2">
      <c r="B65" s="709"/>
      <c r="C65" s="709"/>
    </row>
    <row r="66" spans="2:3" x14ac:dyDescent="0.2">
      <c r="B66" s="709"/>
      <c r="C66" s="709"/>
    </row>
    <row r="67" spans="2:3" x14ac:dyDescent="0.2">
      <c r="B67" s="709"/>
      <c r="C67" s="709"/>
    </row>
    <row r="68" spans="2:3" x14ac:dyDescent="0.2">
      <c r="B68" s="709"/>
      <c r="C68" s="709"/>
    </row>
    <row r="69" spans="2:3" x14ac:dyDescent="0.2">
      <c r="B69" s="709"/>
      <c r="C69" s="709"/>
    </row>
    <row r="70" spans="2:3" x14ac:dyDescent="0.2">
      <c r="B70" s="709"/>
      <c r="C70" s="709"/>
    </row>
    <row r="71" spans="2:3" customFormat="1" ht="15" x14ac:dyDescent="0.25"/>
    <row r="72" spans="2:3" customFormat="1" ht="15" x14ac:dyDescent="0.25"/>
    <row r="73" spans="2:3" customFormat="1" ht="15" x14ac:dyDescent="0.25"/>
    <row r="74" spans="2:3" customFormat="1" ht="15" x14ac:dyDescent="0.25"/>
    <row r="75" spans="2:3" customFormat="1" ht="15" x14ac:dyDescent="0.25"/>
  </sheetData>
  <hyperlinks>
    <hyperlink ref="D1" location="BG!A1" display="BG"/>
  </hyperlinks>
  <pageMargins left="0.70866141732283472" right="0.70866141732283472" top="0.74803149606299213" bottom="0.74803149606299213" header="0.31496062992125984" footer="0.31496062992125984"/>
  <pageSetup paperSize="5"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6"/>
  <sheetViews>
    <sheetView showGridLines="0" workbookViewId="0">
      <selection activeCell="E18" sqref="E18"/>
    </sheetView>
  </sheetViews>
  <sheetFormatPr baseColWidth="10" defaultRowHeight="15" x14ac:dyDescent="0.25"/>
  <cols>
    <col min="1" max="1" width="50.140625" customWidth="1"/>
    <col min="2" max="2" width="19" customWidth="1"/>
    <col min="3" max="3" width="16.5703125" customWidth="1"/>
  </cols>
  <sheetData>
    <row r="1" spans="1:7" x14ac:dyDescent="0.25">
      <c r="A1" t="str">
        <f>Indice!C1</f>
        <v>NEGOFIN S.A.E.C.A.</v>
      </c>
      <c r="D1" s="143" t="s">
        <v>132</v>
      </c>
    </row>
    <row r="4" spans="1:7" x14ac:dyDescent="0.25">
      <c r="A4" s="864" t="s">
        <v>307</v>
      </c>
      <c r="B4" s="864"/>
      <c r="C4" s="864"/>
    </row>
    <row r="6" spans="1:7" x14ac:dyDescent="0.25">
      <c r="A6" s="863" t="s">
        <v>19</v>
      </c>
      <c r="B6" s="863"/>
      <c r="C6" s="863"/>
      <c r="D6" s="863"/>
      <c r="E6" s="863"/>
      <c r="F6" s="863"/>
      <c r="G6" s="863"/>
    </row>
    <row r="7" spans="1:7" ht="15" customHeight="1" x14ac:dyDescent="0.25">
      <c r="B7" s="860" t="s">
        <v>313</v>
      </c>
      <c r="C7" s="860"/>
    </row>
    <row r="8" spans="1:7" x14ac:dyDescent="0.25">
      <c r="A8" s="13" t="s">
        <v>5</v>
      </c>
      <c r="B8" s="392">
        <f>IFERROR(IF(Indice!B6="","2XX2",YEAR(Indice!B6)),"2XX2")</f>
        <v>2021</v>
      </c>
      <c r="C8" s="392">
        <f>IFERROR(YEAR(Indice!B6-365),"2XX1")</f>
        <v>2020</v>
      </c>
    </row>
    <row r="9" spans="1:7" x14ac:dyDescent="0.25">
      <c r="A9" s="18" t="s">
        <v>97</v>
      </c>
      <c r="B9" s="766">
        <v>0</v>
      </c>
      <c r="C9" s="767">
        <v>0</v>
      </c>
    </row>
    <row r="10" spans="1:7" x14ac:dyDescent="0.25">
      <c r="A10" s="18" t="s">
        <v>98</v>
      </c>
      <c r="B10" s="766">
        <v>0</v>
      </c>
      <c r="C10" s="767">
        <v>0</v>
      </c>
    </row>
    <row r="11" spans="1:7" x14ac:dyDescent="0.25">
      <c r="A11" s="18" t="s">
        <v>99</v>
      </c>
      <c r="B11" s="766">
        <v>0</v>
      </c>
      <c r="C11" s="767">
        <v>0</v>
      </c>
    </row>
    <row r="12" spans="1:7" x14ac:dyDescent="0.25">
      <c r="A12" s="18" t="s">
        <v>100</v>
      </c>
      <c r="B12" s="766">
        <v>0</v>
      </c>
      <c r="C12" s="767">
        <v>0</v>
      </c>
    </row>
    <row r="13" spans="1:7" x14ac:dyDescent="0.25">
      <c r="A13" s="18" t="s">
        <v>66</v>
      </c>
      <c r="B13" s="766">
        <v>0</v>
      </c>
      <c r="C13" s="767">
        <v>0</v>
      </c>
    </row>
    <row r="14" spans="1:7" ht="15" customHeight="1" x14ac:dyDescent="0.25">
      <c r="A14" s="249" t="s">
        <v>308</v>
      </c>
      <c r="B14" s="766">
        <v>0</v>
      </c>
      <c r="C14" s="767">
        <v>0</v>
      </c>
    </row>
    <row r="15" spans="1:7" ht="15.75" thickBot="1" x14ac:dyDescent="0.3">
      <c r="A15" s="12" t="s">
        <v>18</v>
      </c>
      <c r="B15" s="768">
        <f>SUM(B9:B12)</f>
        <v>0</v>
      </c>
      <c r="C15" s="768">
        <f>SUM(C9:C12)</f>
        <v>0</v>
      </c>
      <c r="D15" s="766"/>
    </row>
    <row r="16" spans="1:7" ht="15.75" thickTop="1" x14ac:dyDescent="0.25"/>
  </sheetData>
  <mergeCells count="3">
    <mergeCell ref="B7:C7"/>
    <mergeCell ref="A6:G6"/>
    <mergeCell ref="A4:C4"/>
  </mergeCells>
  <hyperlinks>
    <hyperlink ref="D1" location="BG!A1" display="BG"/>
  </hyperlinks>
  <pageMargins left="0.70866141732283472" right="0.70866141732283472" top="0.74803149606299213" bottom="0.74803149606299213" header="0.31496062992125984" footer="0.31496062992125984"/>
  <pageSetup paperSize="5" scale="80"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D23"/>
  <sheetViews>
    <sheetView workbookViewId="0">
      <selection activeCell="A15" sqref="A15"/>
    </sheetView>
  </sheetViews>
  <sheetFormatPr baseColWidth="10" defaultRowHeight="15" x14ac:dyDescent="0.25"/>
  <cols>
    <col min="1" max="1" width="41.85546875" style="123" customWidth="1"/>
    <col min="2" max="2" width="22.85546875" style="123" customWidth="1"/>
    <col min="3" max="3" width="29.28515625" style="123" bestFit="1" customWidth="1"/>
    <col min="4" max="4" width="25.85546875" style="123" customWidth="1"/>
    <col min="5" max="5" width="26.140625" style="123" customWidth="1"/>
    <col min="6" max="6" width="3.42578125" style="123" customWidth="1"/>
    <col min="7" max="7" width="29.28515625" style="123" bestFit="1" customWidth="1"/>
    <col min="8" max="8" width="33" style="123" bestFit="1" customWidth="1"/>
    <col min="9" max="9" width="33" style="123" customWidth="1"/>
    <col min="10" max="10" width="39.28515625" style="123" bestFit="1" customWidth="1"/>
    <col min="11" max="11" width="37.42578125" style="123" bestFit="1" customWidth="1"/>
    <col min="12" max="12" width="35.7109375" style="123" bestFit="1" customWidth="1"/>
    <col min="13" max="30" width="11.42578125" style="123" customWidth="1"/>
  </cols>
  <sheetData>
    <row r="1" spans="1:30" x14ac:dyDescent="0.25">
      <c r="A1" s="123" t="str">
        <f>Indice!C1</f>
        <v>NEGOFIN S.A.E.C.A.</v>
      </c>
      <c r="B1" s="144"/>
      <c r="D1" s="144" t="s">
        <v>132</v>
      </c>
    </row>
    <row r="4" spans="1:30" x14ac:dyDescent="0.25">
      <c r="A4" s="864" t="s">
        <v>310</v>
      </c>
      <c r="B4" s="864"/>
      <c r="C4" s="864"/>
      <c r="D4" s="864"/>
      <c r="E4" s="864"/>
      <c r="F4" s="864"/>
    </row>
    <row r="5" spans="1:30" s="24" customFormat="1" x14ac:dyDescent="0.25">
      <c r="A5" s="398" t="s">
        <v>243</v>
      </c>
      <c r="B5" s="399"/>
      <c r="C5" s="145"/>
      <c r="D5" s="145"/>
      <c r="E5" s="145"/>
      <c r="F5" s="145"/>
    </row>
    <row r="6" spans="1:30" x14ac:dyDescent="0.25">
      <c r="A6" s="123" t="s">
        <v>311</v>
      </c>
    </row>
    <row r="7" spans="1:30" s="242" customFormat="1" x14ac:dyDescent="0.25">
      <c r="A7" s="123" t="s">
        <v>470</v>
      </c>
      <c r="B7" s="396">
        <f>IFERROR(IF(Indice!B6="","2XX2",YEAR(Indice!B6)),"2XX2")</f>
        <v>2021</v>
      </c>
      <c r="C7" s="395">
        <f>IFERROR(YEAR(Indice!B6-365),"2XX1")</f>
        <v>2020</v>
      </c>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row>
    <row r="8" spans="1:30" s="292" customFormat="1" x14ac:dyDescent="0.25">
      <c r="A8" s="123" t="s">
        <v>473</v>
      </c>
      <c r="B8" s="460">
        <v>750125</v>
      </c>
      <c r="C8" s="460">
        <v>718125</v>
      </c>
      <c r="D8" s="305" t="s">
        <v>477</v>
      </c>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row>
    <row r="9" spans="1:30" s="292" customFormat="1" x14ac:dyDescent="0.25">
      <c r="A9" s="123"/>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row>
    <row r="10" spans="1:30" s="242" customFormat="1" x14ac:dyDescent="0.25">
      <c r="A10" s="123" t="s">
        <v>314</v>
      </c>
      <c r="B10" s="123"/>
      <c r="C10" s="123"/>
      <c r="F10" s="123"/>
      <c r="G10" s="123" t="s">
        <v>471</v>
      </c>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row>
    <row r="11" spans="1:30" x14ac:dyDescent="0.25">
      <c r="D11" s="400">
        <f>IFERROR(IF(Indice!B6="","2XX2",YEAR(Indice!B6)),"2XX2")</f>
        <v>2021</v>
      </c>
      <c r="E11" s="397"/>
    </row>
    <row r="12" spans="1:30" ht="15" customHeight="1" x14ac:dyDescent="0.25">
      <c r="A12" s="304" t="s">
        <v>455</v>
      </c>
      <c r="B12" s="294" t="s">
        <v>456</v>
      </c>
      <c r="C12" s="303" t="s">
        <v>472</v>
      </c>
      <c r="D12" s="304" t="s">
        <v>469</v>
      </c>
      <c r="E12" s="304" t="s">
        <v>312</v>
      </c>
      <c r="G12" s="303" t="s">
        <v>472</v>
      </c>
      <c r="H12" s="303" t="s">
        <v>474</v>
      </c>
      <c r="I12" s="303" t="s">
        <v>476</v>
      </c>
      <c r="J12" s="769" t="s">
        <v>1288</v>
      </c>
      <c r="K12" s="303" t="s">
        <v>315</v>
      </c>
      <c r="L12" s="303" t="s">
        <v>475</v>
      </c>
    </row>
    <row r="13" spans="1:30" ht="15.75" x14ac:dyDescent="0.25">
      <c r="A13" s="469" t="s">
        <v>1274</v>
      </c>
      <c r="B13" s="695" t="s">
        <v>1275</v>
      </c>
      <c r="C13" s="695">
        <v>97</v>
      </c>
      <c r="D13" s="695">
        <v>508326.40000000002</v>
      </c>
      <c r="E13" s="695">
        <v>111280</v>
      </c>
      <c r="F13" s="695"/>
      <c r="G13" s="695">
        <v>97</v>
      </c>
      <c r="H13" s="695">
        <v>97</v>
      </c>
      <c r="I13" s="695">
        <v>97000</v>
      </c>
      <c r="J13" s="696">
        <f>I13/100000</f>
        <v>0.97</v>
      </c>
      <c r="K13" s="695">
        <f>J13*D13</f>
        <v>493076.60800000001</v>
      </c>
      <c r="L13" s="770">
        <f>J13*E13</f>
        <v>107941.59999999999</v>
      </c>
    </row>
    <row r="14" spans="1:30" ht="15.75" x14ac:dyDescent="0.25">
      <c r="A14" s="469" t="s">
        <v>962</v>
      </c>
      <c r="B14" s="695" t="s">
        <v>1277</v>
      </c>
      <c r="C14" s="695">
        <v>28</v>
      </c>
      <c r="D14" s="695">
        <v>88168.887000000002</v>
      </c>
      <c r="E14" s="695">
        <v>-24400.2</v>
      </c>
      <c r="F14" s="695"/>
      <c r="G14" s="695">
        <v>28</v>
      </c>
      <c r="H14" s="695">
        <v>14</v>
      </c>
      <c r="I14" s="695">
        <v>28000</v>
      </c>
      <c r="J14" s="696">
        <v>0.28000000000000003</v>
      </c>
      <c r="K14" s="695">
        <f>J14*D14</f>
        <v>24687.288360000002</v>
      </c>
      <c r="L14" s="770">
        <f>J14*E14</f>
        <v>-6832.0560000000005</v>
      </c>
    </row>
    <row r="15" spans="1:30" ht="15.75" x14ac:dyDescent="0.25">
      <c r="A15" s="469" t="s">
        <v>1276</v>
      </c>
      <c r="B15" s="695"/>
      <c r="C15" s="695">
        <v>150</v>
      </c>
      <c r="D15" s="695">
        <v>4029037.3</v>
      </c>
      <c r="E15" s="695">
        <v>462632.4</v>
      </c>
      <c r="F15" s="695"/>
      <c r="G15" s="695">
        <v>150</v>
      </c>
      <c r="H15" s="695">
        <v>4.4607843137254903E-2</v>
      </c>
      <c r="I15" s="695">
        <v>150000</v>
      </c>
      <c r="J15" s="696">
        <f>I15/D15</f>
        <v>3.722973723772674E-2</v>
      </c>
      <c r="K15" s="695">
        <f>J15*D15</f>
        <v>150000</v>
      </c>
      <c r="L15" s="770">
        <f>J15*E15</f>
        <v>17223.682689658894</v>
      </c>
    </row>
    <row r="16" spans="1:30" x14ac:dyDescent="0.25">
      <c r="A16" s="197"/>
      <c r="B16" s="197"/>
      <c r="C16" s="197"/>
      <c r="D16" s="197"/>
      <c r="E16" s="197"/>
      <c r="G16" s="197"/>
      <c r="H16" s="197"/>
      <c r="I16" s="197"/>
      <c r="J16" s="250"/>
      <c r="K16" s="695"/>
      <c r="L16" s="771"/>
    </row>
    <row r="17" spans="1:12" x14ac:dyDescent="0.25">
      <c r="A17" s="197"/>
      <c r="B17" s="197"/>
      <c r="C17" s="197"/>
      <c r="D17" s="197"/>
      <c r="E17" s="197"/>
      <c r="G17" s="197"/>
      <c r="H17" s="197"/>
      <c r="I17" s="197"/>
      <c r="J17" s="250"/>
      <c r="K17" s="306"/>
      <c r="L17" s="306"/>
    </row>
    <row r="18" spans="1:12" x14ac:dyDescent="0.25">
      <c r="A18" s="197"/>
      <c r="B18" s="197"/>
      <c r="C18" s="197"/>
      <c r="D18" s="197"/>
      <c r="E18" s="197"/>
      <c r="G18" s="197"/>
      <c r="H18" s="197"/>
      <c r="I18" s="197"/>
      <c r="J18" s="250"/>
      <c r="K18" s="306"/>
      <c r="L18" s="306"/>
    </row>
    <row r="20" spans="1:12" x14ac:dyDescent="0.25">
      <c r="E20" s="123">
        <f>3085101.4-3196381.2</f>
        <v>-111279.80000000028</v>
      </c>
    </row>
    <row r="23" spans="1:12" ht="15" customHeight="1" x14ac:dyDescent="0.25"/>
  </sheetData>
  <mergeCells count="1">
    <mergeCell ref="A4:F4"/>
  </mergeCells>
  <hyperlinks>
    <hyperlink ref="D1" location="BG!A1" display="BG"/>
  </hyperlink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CX25"/>
  <sheetViews>
    <sheetView workbookViewId="0">
      <selection activeCell="A28" sqref="A28"/>
    </sheetView>
  </sheetViews>
  <sheetFormatPr baseColWidth="10" defaultRowHeight="15" x14ac:dyDescent="0.25"/>
  <cols>
    <col min="1" max="1" width="27" style="123" customWidth="1"/>
    <col min="2" max="2" width="16.42578125" style="123" customWidth="1"/>
    <col min="3" max="3" width="13.5703125" style="123" customWidth="1"/>
    <col min="4" max="5" width="11.42578125" style="123" customWidth="1"/>
    <col min="6" max="6" width="13.85546875" style="123" customWidth="1"/>
    <col min="7" max="7" width="15.7109375" style="123" customWidth="1"/>
    <col min="8" max="8" width="16" style="123" customWidth="1"/>
    <col min="9" max="9" width="17" style="123" customWidth="1"/>
    <col min="10" max="10" width="14.28515625" style="123" customWidth="1"/>
    <col min="11" max="11" width="16.85546875" style="123" customWidth="1"/>
    <col min="12" max="30" width="11.42578125" style="123" customWidth="1"/>
  </cols>
  <sheetData>
    <row r="1" spans="1:102" x14ac:dyDescent="0.25">
      <c r="A1" s="123" t="str">
        <f>Indice!C1</f>
        <v>NEGOFIN S.A.E.C.A.</v>
      </c>
      <c r="L1" s="144" t="s">
        <v>132</v>
      </c>
    </row>
    <row r="5" spans="1:102" x14ac:dyDescent="0.25">
      <c r="A5" s="128" t="s">
        <v>318</v>
      </c>
    </row>
    <row r="6" spans="1:102" x14ac:dyDescent="0.25">
      <c r="A6" s="123" t="s">
        <v>319</v>
      </c>
    </row>
    <row r="7" spans="1:102" x14ac:dyDescent="0.25">
      <c r="A7" s="123" t="s">
        <v>321</v>
      </c>
    </row>
    <row r="8" spans="1:102" x14ac:dyDescent="0.25">
      <c r="A8" s="123" t="s">
        <v>322</v>
      </c>
    </row>
    <row r="9" spans="1:102" x14ac:dyDescent="0.25">
      <c r="A9" s="123" t="s">
        <v>323</v>
      </c>
    </row>
    <row r="10" spans="1:102" x14ac:dyDescent="0.25">
      <c r="A10" s="123" t="s">
        <v>320</v>
      </c>
    </row>
    <row r="12" spans="1:102" ht="24.75" customHeight="1" x14ac:dyDescent="0.25">
      <c r="A12" s="865" t="s">
        <v>316</v>
      </c>
      <c r="B12" s="866"/>
      <c r="C12" s="866"/>
      <c r="D12" s="866"/>
      <c r="E12" s="866"/>
      <c r="F12" s="866"/>
      <c r="G12" s="866"/>
      <c r="H12" s="866"/>
      <c r="I12" s="866"/>
      <c r="J12" s="866"/>
      <c r="K12" s="866"/>
      <c r="L12" s="866"/>
      <c r="M12" s="867"/>
      <c r="N12" s="160"/>
      <c r="O12" s="160"/>
      <c r="P12" s="160"/>
      <c r="Q12" s="160"/>
      <c r="R12" s="160"/>
      <c r="S12" s="160"/>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row>
    <row r="13" spans="1:102" x14ac:dyDescent="0.25">
      <c r="A13" s="402" t="s">
        <v>243</v>
      </c>
      <c r="B13" s="160"/>
      <c r="C13" s="160"/>
      <c r="D13" s="160"/>
      <c r="E13" s="160"/>
      <c r="F13" s="160"/>
      <c r="G13" s="160"/>
      <c r="H13" s="160"/>
      <c r="I13" s="160"/>
      <c r="J13" s="161">
        <v>-1</v>
      </c>
      <c r="K13" s="160"/>
      <c r="L13" s="160"/>
      <c r="M13" s="160"/>
      <c r="N13" s="160"/>
      <c r="O13" s="160"/>
      <c r="P13" s="160"/>
      <c r="Q13" s="160"/>
      <c r="R13" s="160"/>
      <c r="S13" s="160"/>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row>
    <row r="14" spans="1:102" s="24" customFormat="1" x14ac:dyDescent="0.25">
      <c r="B14" s="401"/>
      <c r="C14" s="401"/>
      <c r="D14" s="401"/>
      <c r="E14" s="401"/>
      <c r="F14" s="401"/>
      <c r="G14" s="401"/>
      <c r="H14" s="401"/>
      <c r="I14" s="401"/>
      <c r="J14" s="401"/>
      <c r="K14" s="401"/>
      <c r="L14" s="401"/>
      <c r="M14" s="401"/>
      <c r="N14" s="159"/>
      <c r="O14" s="159"/>
      <c r="P14" s="159"/>
      <c r="Q14" s="159"/>
      <c r="R14" s="159"/>
      <c r="S14" s="159"/>
    </row>
    <row r="15" spans="1:102" s="158" customFormat="1" ht="55.5" customHeight="1" x14ac:dyDescent="0.25">
      <c r="A15" s="405"/>
      <c r="B15" s="403" t="s">
        <v>228</v>
      </c>
      <c r="C15" s="403" t="s">
        <v>229</v>
      </c>
      <c r="D15" s="403" t="s">
        <v>61</v>
      </c>
      <c r="E15" s="403" t="s">
        <v>230</v>
      </c>
      <c r="F15" s="403" t="s">
        <v>231</v>
      </c>
      <c r="G15" s="403" t="s">
        <v>232</v>
      </c>
      <c r="H15" s="403" t="s">
        <v>233</v>
      </c>
      <c r="I15" s="403" t="s">
        <v>234</v>
      </c>
      <c r="J15" s="403" t="s">
        <v>235</v>
      </c>
      <c r="K15" s="403" t="s">
        <v>236</v>
      </c>
      <c r="L15" s="404" t="s">
        <v>478</v>
      </c>
      <c r="M15" s="408"/>
      <c r="N15" s="159"/>
      <c r="O15" s="159"/>
      <c r="P15" s="159"/>
      <c r="Q15" s="159"/>
      <c r="R15" s="159"/>
      <c r="S15" s="159"/>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row>
    <row r="16" spans="1:102" s="158" customFormat="1" x14ac:dyDescent="0.25">
      <c r="A16" s="406"/>
      <c r="B16" s="407"/>
      <c r="C16" s="407"/>
      <c r="D16" s="407"/>
      <c r="E16" s="407"/>
      <c r="F16" s="407"/>
      <c r="G16" s="407"/>
      <c r="H16" s="407"/>
      <c r="I16" s="407"/>
      <c r="J16" s="407"/>
      <c r="K16" s="407"/>
      <c r="L16" s="409">
        <f>IFERROR(IF(Indice!B6="","2XX2",YEAR(Indice!B6)),"2XX2")</f>
        <v>2021</v>
      </c>
      <c r="M16" s="410">
        <f>IFERROR(YEAR(Indice!B6-365),"2XX1")</f>
        <v>2020</v>
      </c>
      <c r="N16" s="159"/>
      <c r="O16" s="159"/>
      <c r="P16" s="159"/>
      <c r="Q16" s="159"/>
      <c r="R16" s="159"/>
      <c r="S16" s="159"/>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row>
    <row r="17" spans="1:62" x14ac:dyDescent="0.25">
      <c r="A17" s="162" t="s">
        <v>237</v>
      </c>
      <c r="B17" s="490">
        <v>418484.45</v>
      </c>
      <c r="C17" s="492">
        <v>0</v>
      </c>
      <c r="D17" s="497">
        <v>0</v>
      </c>
      <c r="E17" s="496">
        <v>0</v>
      </c>
      <c r="F17" s="493">
        <f>+B17+C17-D17+E17</f>
        <v>418484.45</v>
      </c>
      <c r="G17" s="493">
        <v>312788.34399999998</v>
      </c>
      <c r="H17" s="494">
        <v>7896.5320000000002</v>
      </c>
      <c r="I17" s="496">
        <v>0</v>
      </c>
      <c r="J17" s="496">
        <v>0</v>
      </c>
      <c r="K17" s="492">
        <v>363416.4</v>
      </c>
      <c r="L17" s="163">
        <f>+F17-K17</f>
        <v>55068.049999999988</v>
      </c>
      <c r="M17" s="164">
        <v>84611.1</v>
      </c>
      <c r="N17" s="165"/>
      <c r="O17" s="160"/>
      <c r="P17" s="160"/>
      <c r="Q17" s="160"/>
      <c r="R17" s="160"/>
      <c r="S17" s="160"/>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row>
    <row r="18" spans="1:62" x14ac:dyDescent="0.25">
      <c r="A18" s="162" t="s">
        <v>238</v>
      </c>
      <c r="B18" s="490">
        <v>68580.921000000002</v>
      </c>
      <c r="C18" s="492">
        <v>0</v>
      </c>
      <c r="D18" s="498">
        <v>0</v>
      </c>
      <c r="E18" s="496">
        <v>0</v>
      </c>
      <c r="F18" s="493">
        <f t="shared" ref="F18:F23" si="0">+B18+C18-D18+E18</f>
        <v>68580.921000000002</v>
      </c>
      <c r="G18" s="493">
        <v>27206.19</v>
      </c>
      <c r="H18" s="494">
        <v>5516.6279999999997</v>
      </c>
      <c r="I18" s="496">
        <v>0</v>
      </c>
      <c r="J18" s="496">
        <v>0</v>
      </c>
      <c r="K18" s="492">
        <v>40997.699999999997</v>
      </c>
      <c r="L18" s="163">
        <f t="shared" ref="L18:L24" si="1">+F18-K18</f>
        <v>27583.221000000005</v>
      </c>
      <c r="M18" s="164">
        <v>37747.4</v>
      </c>
      <c r="N18" s="160"/>
      <c r="O18" s="160"/>
      <c r="P18" s="160"/>
      <c r="Q18" s="160"/>
      <c r="R18" s="160"/>
      <c r="S18" s="160"/>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row>
    <row r="19" spans="1:62" x14ac:dyDescent="0.25">
      <c r="A19" s="162" t="s">
        <v>239</v>
      </c>
      <c r="B19" s="490">
        <v>2454134.9989999998</v>
      </c>
      <c r="C19" s="492">
        <v>535309.75100000005</v>
      </c>
      <c r="D19" s="497">
        <v>0</v>
      </c>
      <c r="E19" s="496">
        <v>0</v>
      </c>
      <c r="F19" s="493">
        <f t="shared" si="0"/>
        <v>2989444.75</v>
      </c>
      <c r="G19" s="493">
        <v>1390968.6780000001</v>
      </c>
      <c r="H19" s="494">
        <v>202580.99400000001</v>
      </c>
      <c r="I19" s="496">
        <v>0</v>
      </c>
      <c r="J19" s="496">
        <v>0</v>
      </c>
      <c r="K19" s="492">
        <v>1652547.8</v>
      </c>
      <c r="L19" s="163">
        <f>+F19-K19</f>
        <v>1336896.95</v>
      </c>
      <c r="M19" s="164">
        <v>933116.5</v>
      </c>
      <c r="N19" s="160"/>
      <c r="O19" s="160"/>
      <c r="P19" s="160"/>
      <c r="Q19" s="160"/>
      <c r="R19" s="160"/>
      <c r="S19" s="160"/>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row>
    <row r="20" spans="1:62" x14ac:dyDescent="0.25">
      <c r="A20" s="162" t="s">
        <v>240</v>
      </c>
      <c r="B20" s="490">
        <v>1410950.152</v>
      </c>
      <c r="C20" s="495">
        <v>197825.47899999999</v>
      </c>
      <c r="D20" s="498">
        <v>0</v>
      </c>
      <c r="E20" s="496">
        <v>0</v>
      </c>
      <c r="F20" s="493">
        <f t="shared" si="0"/>
        <v>1608775.6310000001</v>
      </c>
      <c r="G20" s="493">
        <v>524751.31400000001</v>
      </c>
      <c r="H20" s="494">
        <v>67857.960000000006</v>
      </c>
      <c r="I20" s="496">
        <v>0</v>
      </c>
      <c r="J20" s="496">
        <v>0</v>
      </c>
      <c r="K20" s="492">
        <v>683772</v>
      </c>
      <c r="L20" s="163">
        <f t="shared" si="1"/>
        <v>925003.63100000005</v>
      </c>
      <c r="M20" s="164">
        <v>841735.8</v>
      </c>
      <c r="N20" s="160"/>
      <c r="O20" s="160"/>
      <c r="P20" s="160"/>
      <c r="Q20" s="160"/>
      <c r="R20" s="160"/>
      <c r="S20" s="160"/>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row>
    <row r="21" spans="1:62" x14ac:dyDescent="0.25">
      <c r="A21" s="162" t="s">
        <v>241</v>
      </c>
      <c r="B21" s="490">
        <v>0</v>
      </c>
      <c r="C21" s="491">
        <v>0</v>
      </c>
      <c r="D21" s="497">
        <v>0</v>
      </c>
      <c r="E21" s="496">
        <v>0</v>
      </c>
      <c r="F21" s="493">
        <f t="shared" si="0"/>
        <v>0</v>
      </c>
      <c r="G21" s="493">
        <v>0</v>
      </c>
      <c r="H21" s="494">
        <v>0</v>
      </c>
      <c r="I21" s="496">
        <v>0</v>
      </c>
      <c r="J21" s="496">
        <v>0</v>
      </c>
      <c r="K21" s="492">
        <v>0</v>
      </c>
      <c r="L21" s="163">
        <f t="shared" si="1"/>
        <v>0</v>
      </c>
      <c r="M21" s="164"/>
      <c r="N21" s="160"/>
      <c r="O21" s="160"/>
      <c r="P21" s="160"/>
      <c r="Q21" s="160"/>
      <c r="R21" s="160"/>
      <c r="S21" s="160"/>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row>
    <row r="22" spans="1:62" x14ac:dyDescent="0.25">
      <c r="A22" s="162" t="s">
        <v>1015</v>
      </c>
      <c r="B22" s="490">
        <v>334755.06199999998</v>
      </c>
      <c r="C22" s="492">
        <v>1727.2729999999999</v>
      </c>
      <c r="D22" s="498">
        <v>0</v>
      </c>
      <c r="E22" s="496">
        <v>0</v>
      </c>
      <c r="F22" s="493">
        <f t="shared" si="0"/>
        <v>336482.33499999996</v>
      </c>
      <c r="G22" s="493">
        <v>178732.56599999999</v>
      </c>
      <c r="H22" s="494">
        <v>10513.65</v>
      </c>
      <c r="I22" s="496">
        <v>0</v>
      </c>
      <c r="J22" s="496">
        <v>0</v>
      </c>
      <c r="K22" s="492">
        <v>215287.2</v>
      </c>
      <c r="L22" s="163">
        <f t="shared" si="1"/>
        <v>121195.13499999995</v>
      </c>
      <c r="M22" s="164">
        <v>146898.70000000001</v>
      </c>
      <c r="N22" s="160"/>
      <c r="O22" s="160"/>
      <c r="P22" s="160"/>
      <c r="Q22" s="160"/>
      <c r="R22" s="160"/>
      <c r="S22" s="160"/>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row>
    <row r="23" spans="1:62" x14ac:dyDescent="0.25">
      <c r="A23" s="162" t="s">
        <v>242</v>
      </c>
      <c r="B23" s="490">
        <v>0</v>
      </c>
      <c r="C23" s="491">
        <v>0</v>
      </c>
      <c r="D23" s="497">
        <v>0</v>
      </c>
      <c r="E23" s="496">
        <v>0</v>
      </c>
      <c r="F23" s="493">
        <f t="shared" si="0"/>
        <v>0</v>
      </c>
      <c r="G23" s="493">
        <v>0</v>
      </c>
      <c r="H23" s="494">
        <v>0</v>
      </c>
      <c r="I23" s="496">
        <v>0</v>
      </c>
      <c r="J23" s="496">
        <v>0</v>
      </c>
      <c r="K23" s="492">
        <v>0</v>
      </c>
      <c r="L23" s="163">
        <f t="shared" si="1"/>
        <v>0</v>
      </c>
      <c r="M23" s="164">
        <v>0</v>
      </c>
      <c r="N23" s="160"/>
      <c r="O23" s="160"/>
      <c r="P23" s="160"/>
      <c r="Q23" s="160"/>
      <c r="R23" s="160"/>
      <c r="S23" s="160"/>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row>
    <row r="24" spans="1:62" x14ac:dyDescent="0.25">
      <c r="A24" s="162" t="s">
        <v>1014</v>
      </c>
      <c r="B24" s="490">
        <v>5835123.8640000001</v>
      </c>
      <c r="C24" s="492">
        <v>20772.727999999999</v>
      </c>
      <c r="D24" s="498">
        <v>0</v>
      </c>
      <c r="E24" s="496">
        <v>0</v>
      </c>
      <c r="F24" s="493">
        <v>4548963.2850000001</v>
      </c>
      <c r="G24" s="493"/>
      <c r="H24" s="494">
        <v>14830.128000000001</v>
      </c>
      <c r="I24" s="496">
        <v>0</v>
      </c>
      <c r="J24" s="496">
        <v>0</v>
      </c>
      <c r="K24" s="492">
        <v>5765426.2999999998</v>
      </c>
      <c r="L24" s="163">
        <f t="shared" si="1"/>
        <v>-1216463.0149999997</v>
      </c>
      <c r="M24" s="164">
        <v>967829.2</v>
      </c>
      <c r="N24" s="160"/>
      <c r="O24" s="160"/>
      <c r="P24" s="160"/>
      <c r="Q24" s="160"/>
      <c r="R24" s="160"/>
      <c r="S24" s="160"/>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row>
    <row r="25" spans="1:62" x14ac:dyDescent="0.25">
      <c r="A25" s="110" t="s">
        <v>317</v>
      </c>
      <c r="B25" s="111"/>
      <c r="C25" s="111"/>
      <c r="D25" s="111"/>
      <c r="E25" s="112"/>
      <c r="F25" s="112"/>
      <c r="G25" s="112"/>
      <c r="H25" s="111"/>
      <c r="I25" s="111"/>
      <c r="J25" s="111"/>
      <c r="K25" s="112"/>
      <c r="L25" s="111">
        <v>2429803.6949999998</v>
      </c>
      <c r="M25" s="111">
        <v>2622671.4389999998</v>
      </c>
      <c r="N25" s="160"/>
      <c r="O25" s="160"/>
      <c r="P25" s="160"/>
      <c r="Q25" s="160"/>
      <c r="R25" s="160"/>
      <c r="S25" s="160"/>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row>
  </sheetData>
  <mergeCells count="1">
    <mergeCell ref="A12:M12"/>
  </mergeCells>
  <hyperlinks>
    <hyperlink ref="L1" location="BG!A1" display="BG"/>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V21"/>
  <sheetViews>
    <sheetView showGridLines="0" workbookViewId="0">
      <selection activeCell="H28" sqref="H28"/>
    </sheetView>
  </sheetViews>
  <sheetFormatPr baseColWidth="10" defaultRowHeight="15" x14ac:dyDescent="0.25"/>
  <cols>
    <col min="1" max="1" width="34.140625" customWidth="1"/>
    <col min="2" max="3" width="22.7109375" customWidth="1"/>
  </cols>
  <sheetData>
    <row r="1" spans="1:256" x14ac:dyDescent="0.25">
      <c r="A1" t="str">
        <f>Indice!C1</f>
        <v>NEGOFIN S.A.E.C.A.</v>
      </c>
      <c r="C1" s="143" t="s">
        <v>132</v>
      </c>
    </row>
    <row r="4" spans="1:256" x14ac:dyDescent="0.25">
      <c r="A4" s="308" t="s">
        <v>324</v>
      </c>
      <c r="B4" s="308"/>
      <c r="C4" s="308"/>
      <c r="D4" s="30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868"/>
      <c r="AR4" s="868"/>
      <c r="AS4" s="868"/>
      <c r="AT4" s="868"/>
      <c r="AU4" s="868"/>
      <c r="AV4" s="868"/>
      <c r="AW4" s="868"/>
      <c r="AX4" s="868"/>
      <c r="AY4" s="868"/>
      <c r="AZ4" s="868"/>
      <c r="BA4" s="868"/>
      <c r="BB4" s="868"/>
      <c r="BC4" s="868"/>
      <c r="BD4" s="868"/>
      <c r="BE4" s="868"/>
      <c r="BF4" s="868"/>
      <c r="BG4" s="868"/>
      <c r="BH4" s="868"/>
      <c r="BI4" s="868"/>
      <c r="BJ4" s="868"/>
      <c r="BK4" s="868"/>
      <c r="BL4" s="868"/>
      <c r="BM4" s="868"/>
      <c r="BN4" s="868"/>
      <c r="BO4" s="868"/>
      <c r="BP4" s="868"/>
      <c r="BQ4" s="868"/>
      <c r="BR4" s="868"/>
      <c r="BS4" s="868"/>
      <c r="BT4" s="868"/>
      <c r="BU4" s="868"/>
      <c r="BV4" s="868"/>
      <c r="BW4" s="868"/>
      <c r="BX4" s="868"/>
      <c r="BY4" s="868"/>
      <c r="BZ4" s="868"/>
      <c r="CA4" s="868"/>
      <c r="CB4" s="868"/>
      <c r="CC4" s="868"/>
      <c r="CD4" s="868"/>
      <c r="CE4" s="868"/>
      <c r="CF4" s="868"/>
      <c r="CG4" s="868"/>
      <c r="CH4" s="868"/>
      <c r="CI4" s="868"/>
      <c r="CJ4" s="868"/>
      <c r="CK4" s="868"/>
      <c r="CL4" s="868"/>
      <c r="CM4" s="868"/>
      <c r="CN4" s="868"/>
      <c r="CO4" s="868"/>
      <c r="CP4" s="868"/>
      <c r="CQ4" s="868"/>
      <c r="CR4" s="868"/>
      <c r="CS4" s="868"/>
      <c r="CT4" s="868"/>
      <c r="CU4" s="868"/>
      <c r="CV4" s="868"/>
      <c r="CW4" s="868"/>
      <c r="CX4" s="868"/>
      <c r="CY4" s="868"/>
      <c r="CZ4" s="868"/>
      <c r="DA4" s="868"/>
      <c r="DB4" s="868"/>
      <c r="DC4" s="868"/>
      <c r="DD4" s="868"/>
      <c r="DE4" s="868"/>
      <c r="DF4" s="868"/>
      <c r="DG4" s="868"/>
      <c r="DH4" s="868"/>
      <c r="DI4" s="868"/>
      <c r="DJ4" s="868"/>
      <c r="DK4" s="868"/>
      <c r="DL4" s="868"/>
      <c r="DM4" s="868"/>
      <c r="DN4" s="868"/>
      <c r="DO4" s="868"/>
      <c r="DP4" s="868"/>
      <c r="DQ4" s="868"/>
      <c r="DR4" s="868"/>
      <c r="DS4" s="868"/>
      <c r="DT4" s="868"/>
      <c r="DU4" s="868"/>
      <c r="DV4" s="868"/>
      <c r="DW4" s="868"/>
      <c r="DX4" s="868"/>
      <c r="DY4" s="868"/>
      <c r="DZ4" s="868"/>
      <c r="EA4" s="868"/>
      <c r="EB4" s="868"/>
      <c r="EC4" s="868"/>
      <c r="ED4" s="868"/>
      <c r="EE4" s="868"/>
      <c r="EF4" s="868"/>
      <c r="EG4" s="868"/>
      <c r="EH4" s="868"/>
      <c r="EI4" s="868"/>
      <c r="EJ4" s="868"/>
      <c r="EK4" s="868"/>
      <c r="EL4" s="868"/>
      <c r="EM4" s="868"/>
      <c r="EN4" s="868"/>
      <c r="EO4" s="868"/>
      <c r="EP4" s="868"/>
      <c r="EQ4" s="868"/>
      <c r="ER4" s="868"/>
      <c r="ES4" s="868"/>
      <c r="ET4" s="868"/>
      <c r="EU4" s="868"/>
      <c r="EV4" s="868"/>
      <c r="EW4" s="868"/>
      <c r="EX4" s="868"/>
      <c r="EY4" s="868"/>
      <c r="EZ4" s="868"/>
      <c r="FA4" s="868"/>
      <c r="FB4" s="868"/>
      <c r="FC4" s="868"/>
      <c r="FD4" s="868"/>
      <c r="FE4" s="868"/>
      <c r="FF4" s="868"/>
      <c r="FG4" s="868"/>
      <c r="FH4" s="868"/>
      <c r="FI4" s="868"/>
      <c r="FJ4" s="868"/>
      <c r="FK4" s="868"/>
      <c r="FL4" s="868"/>
      <c r="FM4" s="868"/>
      <c r="FN4" s="868"/>
      <c r="FO4" s="868"/>
      <c r="FP4" s="868"/>
      <c r="FQ4" s="868"/>
      <c r="FR4" s="868"/>
      <c r="FS4" s="868"/>
      <c r="FT4" s="868"/>
      <c r="FU4" s="868"/>
      <c r="FV4" s="868"/>
      <c r="FW4" s="868"/>
      <c r="FX4" s="868"/>
      <c r="FY4" s="868"/>
      <c r="FZ4" s="868"/>
      <c r="GA4" s="868"/>
      <c r="GB4" s="868"/>
      <c r="GC4" s="868"/>
      <c r="GD4" s="868"/>
      <c r="GE4" s="868"/>
      <c r="GF4" s="868"/>
      <c r="GG4" s="868"/>
      <c r="GH4" s="868"/>
      <c r="GI4" s="868"/>
      <c r="GJ4" s="868"/>
      <c r="GK4" s="868"/>
      <c r="GL4" s="868"/>
      <c r="GM4" s="868"/>
      <c r="GN4" s="868"/>
      <c r="GO4" s="868"/>
      <c r="GP4" s="868"/>
      <c r="GQ4" s="868"/>
      <c r="GR4" s="868"/>
      <c r="GS4" s="868"/>
      <c r="GT4" s="868"/>
      <c r="GU4" s="868"/>
      <c r="GV4" s="868"/>
      <c r="GW4" s="868"/>
      <c r="GX4" s="868"/>
      <c r="GY4" s="868"/>
      <c r="GZ4" s="868"/>
      <c r="HA4" s="868"/>
      <c r="HB4" s="868"/>
      <c r="HC4" s="868"/>
      <c r="HD4" s="868"/>
      <c r="HE4" s="868"/>
      <c r="HF4" s="868"/>
      <c r="HG4" s="868"/>
      <c r="HH4" s="868"/>
      <c r="HI4" s="868"/>
      <c r="HJ4" s="868"/>
      <c r="HK4" s="868"/>
      <c r="HL4" s="868"/>
      <c r="HM4" s="868"/>
      <c r="HN4" s="868"/>
      <c r="HO4" s="868"/>
      <c r="HP4" s="868"/>
      <c r="HQ4" s="868"/>
      <c r="HR4" s="868"/>
      <c r="HS4" s="868"/>
      <c r="HT4" s="868"/>
      <c r="HU4" s="868"/>
      <c r="HV4" s="868"/>
      <c r="HW4" s="868"/>
      <c r="HX4" s="868"/>
      <c r="HY4" s="868"/>
      <c r="HZ4" s="868"/>
      <c r="IA4" s="868"/>
      <c r="IB4" s="868"/>
      <c r="IC4" s="868"/>
      <c r="ID4" s="868"/>
      <c r="IE4" s="868"/>
      <c r="IF4" s="868"/>
      <c r="IG4" s="868"/>
      <c r="IH4" s="868"/>
      <c r="II4" s="868"/>
      <c r="IJ4" s="868"/>
      <c r="IK4" s="868"/>
      <c r="IL4" s="868"/>
      <c r="IM4" s="868"/>
      <c r="IN4" s="868"/>
      <c r="IO4" s="868"/>
      <c r="IP4" s="868"/>
      <c r="IQ4" s="868"/>
      <c r="IR4" s="868"/>
      <c r="IS4" s="868"/>
      <c r="IT4" s="868"/>
      <c r="IU4" s="868"/>
      <c r="IV4" s="868"/>
    </row>
    <row r="5" spans="1:256" x14ac:dyDescent="0.25">
      <c r="B5" s="860" t="s">
        <v>313</v>
      </c>
      <c r="C5" s="860"/>
    </row>
    <row r="6" spans="1:256" ht="15.75" customHeight="1" x14ac:dyDescent="0.25">
      <c r="A6" s="133"/>
      <c r="B6" s="396">
        <f>IFERROR(IF(Indice!B6="","2XX2",YEAR(Indice!B6)),"2XX2")</f>
        <v>2021</v>
      </c>
      <c r="C6" s="396">
        <f>IFERROR(YEAR(Indice!B6-365),"2XX1")</f>
        <v>2020</v>
      </c>
      <c r="D6" s="133"/>
    </row>
    <row r="7" spans="1:256" ht="15" customHeight="1" x14ac:dyDescent="0.25">
      <c r="A7" s="135" t="s">
        <v>124</v>
      </c>
      <c r="B7" s="11"/>
      <c r="C7" s="11"/>
      <c r="D7" s="11"/>
    </row>
    <row r="8" spans="1:256" ht="15" customHeight="1" x14ac:dyDescent="0.25">
      <c r="A8" s="41" t="s">
        <v>127</v>
      </c>
      <c r="B8" s="41"/>
      <c r="C8" s="41"/>
      <c r="D8" s="41"/>
      <c r="E8" s="833"/>
      <c r="F8" s="833"/>
      <c r="G8" s="833"/>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c r="AN8" s="833"/>
      <c r="AO8" s="833"/>
      <c r="AP8" s="833"/>
      <c r="AQ8" s="833"/>
      <c r="AR8" s="833"/>
      <c r="AS8" s="833"/>
      <c r="AT8" s="833"/>
      <c r="AU8" s="833"/>
      <c r="AV8" s="833"/>
      <c r="AW8" s="833"/>
      <c r="AX8" s="833"/>
      <c r="AY8" s="833"/>
      <c r="AZ8" s="833"/>
      <c r="BA8" s="833"/>
      <c r="BB8" s="833"/>
      <c r="BC8" s="833"/>
      <c r="BD8" s="833"/>
      <c r="BE8" s="833"/>
      <c r="BF8" s="833"/>
      <c r="BG8" s="833"/>
      <c r="BH8" s="833"/>
      <c r="BI8" s="833"/>
      <c r="BJ8" s="833"/>
      <c r="BK8" s="833"/>
      <c r="BL8" s="833"/>
      <c r="BM8" s="833"/>
      <c r="BN8" s="833"/>
      <c r="BO8" s="833"/>
      <c r="BP8" s="833"/>
      <c r="BQ8" s="833"/>
      <c r="BR8" s="833"/>
      <c r="BS8" s="833"/>
      <c r="BT8" s="833"/>
      <c r="BU8" s="833"/>
      <c r="BV8" s="833"/>
      <c r="BW8" s="833"/>
      <c r="BX8" s="833"/>
      <c r="BY8" s="833"/>
      <c r="BZ8" s="833"/>
      <c r="CA8" s="833"/>
      <c r="CB8" s="833"/>
      <c r="CC8" s="833"/>
      <c r="CD8" s="833"/>
      <c r="CE8" s="833"/>
      <c r="CF8" s="833"/>
      <c r="CG8" s="833"/>
      <c r="CH8" s="833"/>
      <c r="CI8" s="833"/>
      <c r="CJ8" s="833"/>
      <c r="CK8" s="833"/>
      <c r="CL8" s="833"/>
      <c r="CM8" s="833"/>
      <c r="CN8" s="833"/>
      <c r="CO8" s="833"/>
      <c r="CP8" s="833"/>
      <c r="CQ8" s="833"/>
      <c r="CR8" s="833"/>
      <c r="CS8" s="833"/>
      <c r="CT8" s="833"/>
      <c r="CU8" s="833"/>
      <c r="CV8" s="833"/>
      <c r="CW8" s="833"/>
      <c r="CX8" s="833"/>
      <c r="CY8" s="833"/>
      <c r="CZ8" s="833"/>
      <c r="DA8" s="833"/>
      <c r="DB8" s="833"/>
      <c r="DC8" s="833"/>
      <c r="DD8" s="833"/>
      <c r="DE8" s="833"/>
      <c r="DF8" s="833"/>
      <c r="DG8" s="833"/>
      <c r="DH8" s="833"/>
      <c r="DI8" s="833"/>
      <c r="DJ8" s="833"/>
      <c r="DK8" s="833"/>
      <c r="DL8" s="833"/>
      <c r="DM8" s="833"/>
      <c r="DN8" s="833"/>
      <c r="DO8" s="833"/>
      <c r="DP8" s="833"/>
      <c r="DQ8" s="833"/>
      <c r="DR8" s="833"/>
      <c r="DS8" s="833"/>
      <c r="DT8" s="833"/>
      <c r="DU8" s="833"/>
      <c r="DV8" s="833"/>
      <c r="DW8" s="833"/>
      <c r="DX8" s="833"/>
      <c r="DY8" s="833"/>
      <c r="DZ8" s="833"/>
      <c r="EA8" s="833"/>
      <c r="EB8" s="833"/>
      <c r="EC8" s="833"/>
      <c r="ED8" s="833"/>
      <c r="EE8" s="833"/>
      <c r="EF8" s="833"/>
      <c r="EG8" s="833"/>
      <c r="EH8" s="833"/>
      <c r="EI8" s="833"/>
      <c r="EJ8" s="833"/>
      <c r="EK8" s="833"/>
      <c r="EL8" s="833"/>
      <c r="EM8" s="833"/>
      <c r="EN8" s="833"/>
      <c r="EO8" s="833"/>
      <c r="EP8" s="833"/>
      <c r="EQ8" s="833"/>
      <c r="ER8" s="833"/>
      <c r="ES8" s="833"/>
      <c r="ET8" s="833"/>
      <c r="EU8" s="833"/>
      <c r="EV8" s="833"/>
      <c r="EW8" s="833"/>
      <c r="EX8" s="833"/>
      <c r="EY8" s="833"/>
      <c r="EZ8" s="833"/>
      <c r="FA8" s="833"/>
      <c r="FB8" s="833"/>
      <c r="FC8" s="833"/>
      <c r="FD8" s="833"/>
      <c r="FE8" s="833"/>
      <c r="FF8" s="833"/>
      <c r="FG8" s="833"/>
      <c r="FH8" s="833"/>
      <c r="FI8" s="833"/>
      <c r="FJ8" s="833"/>
      <c r="FK8" s="833"/>
      <c r="FL8" s="833"/>
      <c r="FM8" s="833"/>
      <c r="FN8" s="833"/>
      <c r="FO8" s="833"/>
      <c r="FP8" s="833"/>
      <c r="FQ8" s="833"/>
      <c r="FR8" s="833"/>
      <c r="FS8" s="833"/>
      <c r="FT8" s="833"/>
      <c r="FU8" s="833"/>
      <c r="FV8" s="833"/>
      <c r="FW8" s="833"/>
      <c r="FX8" s="833"/>
      <c r="FY8" s="833"/>
      <c r="FZ8" s="833"/>
      <c r="GA8" s="833"/>
      <c r="GB8" s="833"/>
      <c r="GC8" s="833"/>
      <c r="GD8" s="833"/>
      <c r="GE8" s="833"/>
      <c r="GF8" s="833"/>
      <c r="GG8" s="833"/>
      <c r="GH8" s="833"/>
      <c r="GI8" s="833"/>
      <c r="GJ8" s="833"/>
      <c r="GK8" s="833"/>
      <c r="GL8" s="833"/>
      <c r="GM8" s="833"/>
      <c r="GN8" s="833"/>
      <c r="GO8" s="833"/>
      <c r="GP8" s="833"/>
      <c r="GQ8" s="833"/>
      <c r="GR8" s="833"/>
      <c r="GS8" s="833"/>
      <c r="GT8" s="833"/>
      <c r="GU8" s="833"/>
      <c r="GV8" s="833"/>
      <c r="GW8" s="833"/>
      <c r="GX8" s="833"/>
      <c r="GY8" s="833"/>
      <c r="GZ8" s="833"/>
      <c r="HA8" s="833"/>
      <c r="HB8" s="833"/>
      <c r="HC8" s="833"/>
      <c r="HD8" s="833"/>
      <c r="HE8" s="833"/>
      <c r="HF8" s="833"/>
      <c r="HG8" s="833"/>
      <c r="HH8" s="833"/>
      <c r="HI8" s="833"/>
      <c r="HJ8" s="833"/>
      <c r="HK8" s="833"/>
      <c r="HL8" s="833"/>
      <c r="HM8" s="833"/>
      <c r="HN8" s="833"/>
      <c r="HO8" s="833"/>
      <c r="HP8" s="833"/>
      <c r="HQ8" s="833"/>
      <c r="HR8" s="833"/>
      <c r="HS8" s="833"/>
      <c r="HT8" s="833"/>
      <c r="HU8" s="833"/>
      <c r="HV8" s="833"/>
      <c r="HW8" s="833"/>
      <c r="HX8" s="833"/>
      <c r="HY8" s="833"/>
      <c r="HZ8" s="833"/>
      <c r="IA8" s="833"/>
      <c r="IB8" s="833"/>
      <c r="IC8" s="833"/>
      <c r="ID8" s="833"/>
      <c r="IE8" s="833"/>
      <c r="IF8" s="833"/>
      <c r="IG8" s="833"/>
      <c r="IH8" s="833"/>
      <c r="II8" s="833"/>
      <c r="IJ8" s="833"/>
      <c r="IK8" s="833"/>
      <c r="IL8" s="833"/>
      <c r="IM8" s="833"/>
      <c r="IN8" s="833"/>
      <c r="IO8" s="833"/>
      <c r="IP8" s="833"/>
      <c r="IQ8" s="833"/>
      <c r="IR8" s="833"/>
      <c r="IS8" s="833"/>
      <c r="IT8" s="833"/>
      <c r="IU8" s="833"/>
      <c r="IV8" s="833"/>
    </row>
    <row r="9" spans="1:256" ht="15" customHeight="1" x14ac:dyDescent="0.25">
      <c r="A9" s="136" t="s">
        <v>3</v>
      </c>
      <c r="B9" s="255">
        <f>B8</f>
        <v>0</v>
      </c>
      <c r="C9" s="255">
        <f>C8</f>
        <v>0</v>
      </c>
      <c r="D9" s="41"/>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c r="IV9" s="132"/>
    </row>
    <row r="10" spans="1:256" ht="15" customHeight="1" x14ac:dyDescent="0.25">
      <c r="A10" s="41"/>
      <c r="B10" s="41"/>
      <c r="C10" s="41"/>
      <c r="D10" s="41"/>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33"/>
      <c r="AQ10" s="833"/>
      <c r="AR10" s="833"/>
      <c r="AS10" s="833"/>
      <c r="AT10" s="833"/>
      <c r="AU10" s="833"/>
      <c r="AV10" s="833"/>
      <c r="AW10" s="833"/>
      <c r="AX10" s="833"/>
      <c r="AY10" s="833"/>
      <c r="AZ10" s="833"/>
      <c r="BA10" s="833"/>
      <c r="BB10" s="833"/>
      <c r="BC10" s="833"/>
      <c r="BD10" s="833"/>
      <c r="BE10" s="833"/>
      <c r="BF10" s="833"/>
      <c r="BG10" s="833"/>
      <c r="BH10" s="833"/>
      <c r="BI10" s="833"/>
      <c r="BJ10" s="833"/>
      <c r="BK10" s="833"/>
      <c r="BL10" s="833"/>
      <c r="BM10" s="833"/>
      <c r="BN10" s="833"/>
      <c r="BO10" s="833"/>
      <c r="BP10" s="833"/>
      <c r="BQ10" s="833"/>
      <c r="BR10" s="833"/>
      <c r="BS10" s="833"/>
      <c r="BT10" s="833"/>
      <c r="BU10" s="833"/>
      <c r="BV10" s="833"/>
      <c r="BW10" s="833"/>
      <c r="BX10" s="833"/>
      <c r="BY10" s="833"/>
      <c r="BZ10" s="833"/>
      <c r="CA10" s="833"/>
      <c r="CB10" s="833"/>
      <c r="CC10" s="833"/>
      <c r="CD10" s="833"/>
      <c r="CE10" s="833"/>
      <c r="CF10" s="833"/>
      <c r="CG10" s="833"/>
      <c r="CH10" s="833"/>
      <c r="CI10" s="833"/>
      <c r="CJ10" s="833"/>
      <c r="CK10" s="833"/>
      <c r="CL10" s="833"/>
      <c r="CM10" s="833"/>
      <c r="CN10" s="833"/>
      <c r="CO10" s="833"/>
      <c r="CP10" s="833"/>
      <c r="CQ10" s="833"/>
      <c r="CR10" s="833"/>
      <c r="CS10" s="833"/>
      <c r="CT10" s="833"/>
      <c r="CU10" s="833"/>
      <c r="CV10" s="833"/>
      <c r="CW10" s="833"/>
      <c r="CX10" s="833"/>
      <c r="CY10" s="833"/>
      <c r="CZ10" s="833"/>
      <c r="DA10" s="833"/>
      <c r="DB10" s="833"/>
      <c r="DC10" s="833"/>
      <c r="DD10" s="833"/>
      <c r="DE10" s="833"/>
      <c r="DF10" s="833"/>
      <c r="DG10" s="833"/>
      <c r="DH10" s="833"/>
      <c r="DI10" s="833"/>
      <c r="DJ10" s="833"/>
      <c r="DK10" s="833"/>
      <c r="DL10" s="833"/>
      <c r="DM10" s="833"/>
      <c r="DN10" s="833"/>
      <c r="DO10" s="833"/>
      <c r="DP10" s="833"/>
      <c r="DQ10" s="833"/>
      <c r="DR10" s="833"/>
      <c r="DS10" s="833"/>
      <c r="DT10" s="833"/>
      <c r="DU10" s="833"/>
      <c r="DV10" s="833"/>
      <c r="DW10" s="833"/>
      <c r="DX10" s="833"/>
      <c r="DY10" s="833"/>
      <c r="DZ10" s="833"/>
      <c r="EA10" s="833"/>
      <c r="EB10" s="833"/>
      <c r="EC10" s="833"/>
      <c r="ED10" s="833"/>
      <c r="EE10" s="833"/>
      <c r="EF10" s="833"/>
      <c r="EG10" s="833"/>
      <c r="EH10" s="833"/>
      <c r="EI10" s="833"/>
      <c r="EJ10" s="833"/>
      <c r="EK10" s="833"/>
      <c r="EL10" s="833"/>
      <c r="EM10" s="833"/>
      <c r="EN10" s="833"/>
      <c r="EO10" s="833"/>
      <c r="EP10" s="833"/>
      <c r="EQ10" s="833"/>
      <c r="ER10" s="833"/>
      <c r="ES10" s="833"/>
      <c r="ET10" s="833"/>
      <c r="EU10" s="833"/>
      <c r="EV10" s="833"/>
      <c r="EW10" s="833"/>
      <c r="EX10" s="833"/>
      <c r="EY10" s="833"/>
      <c r="EZ10" s="833"/>
      <c r="FA10" s="833"/>
      <c r="FB10" s="833"/>
      <c r="FC10" s="833"/>
      <c r="FD10" s="833"/>
      <c r="FE10" s="833"/>
      <c r="FF10" s="833"/>
      <c r="FG10" s="833"/>
      <c r="FH10" s="833"/>
      <c r="FI10" s="833"/>
      <c r="FJ10" s="833"/>
      <c r="FK10" s="833"/>
      <c r="FL10" s="833"/>
      <c r="FM10" s="833"/>
      <c r="FN10" s="833"/>
      <c r="FO10" s="833"/>
      <c r="FP10" s="833"/>
      <c r="FQ10" s="833"/>
      <c r="FR10" s="833"/>
      <c r="FS10" s="833"/>
      <c r="FT10" s="833"/>
      <c r="FU10" s="833"/>
      <c r="FV10" s="833"/>
      <c r="FW10" s="833"/>
      <c r="FX10" s="833"/>
      <c r="FY10" s="833"/>
      <c r="FZ10" s="833"/>
      <c r="GA10" s="833"/>
      <c r="GB10" s="833"/>
      <c r="GC10" s="833"/>
      <c r="GD10" s="833"/>
      <c r="GE10" s="833"/>
      <c r="GF10" s="833"/>
      <c r="GG10" s="833"/>
      <c r="GH10" s="833"/>
      <c r="GI10" s="833"/>
      <c r="GJ10" s="833"/>
      <c r="GK10" s="833"/>
      <c r="GL10" s="833"/>
      <c r="GM10" s="833"/>
      <c r="GN10" s="833"/>
      <c r="GO10" s="833"/>
      <c r="GP10" s="833"/>
      <c r="GQ10" s="833"/>
      <c r="GR10" s="833"/>
      <c r="GS10" s="833"/>
      <c r="GT10" s="833"/>
      <c r="GU10" s="833"/>
      <c r="GV10" s="833"/>
      <c r="GW10" s="833"/>
      <c r="GX10" s="833"/>
      <c r="GY10" s="833"/>
      <c r="GZ10" s="833"/>
      <c r="HA10" s="833"/>
      <c r="HB10" s="833"/>
      <c r="HC10" s="833"/>
      <c r="HD10" s="833"/>
      <c r="HE10" s="833"/>
      <c r="HF10" s="833"/>
      <c r="HG10" s="833"/>
      <c r="HH10" s="833"/>
      <c r="HI10" s="833"/>
      <c r="HJ10" s="833"/>
      <c r="HK10" s="833"/>
      <c r="HL10" s="833"/>
      <c r="HM10" s="833"/>
      <c r="HN10" s="833"/>
      <c r="HO10" s="833"/>
      <c r="HP10" s="833"/>
      <c r="HQ10" s="833"/>
      <c r="HR10" s="833"/>
      <c r="HS10" s="833"/>
      <c r="HT10" s="833"/>
      <c r="HU10" s="833"/>
      <c r="HV10" s="833"/>
      <c r="HW10" s="833"/>
      <c r="HX10" s="833"/>
      <c r="HY10" s="833"/>
      <c r="HZ10" s="833"/>
      <c r="IA10" s="833"/>
      <c r="IB10" s="833"/>
      <c r="IC10" s="833"/>
      <c r="ID10" s="833"/>
      <c r="IE10" s="833"/>
      <c r="IF10" s="833"/>
      <c r="IG10" s="833"/>
      <c r="IH10" s="833"/>
      <c r="II10" s="833"/>
      <c r="IJ10" s="833"/>
      <c r="IK10" s="833"/>
      <c r="IL10" s="833"/>
      <c r="IM10" s="833"/>
      <c r="IN10" s="833"/>
      <c r="IO10" s="833"/>
      <c r="IP10" s="833"/>
      <c r="IQ10" s="833"/>
      <c r="IR10" s="833"/>
      <c r="IS10" s="833"/>
      <c r="IT10" s="833"/>
      <c r="IU10" s="833"/>
      <c r="IV10" s="833"/>
    </row>
    <row r="11" spans="1:256" ht="15" customHeight="1" x14ac:dyDescent="0.25">
      <c r="A11" s="136" t="s">
        <v>125</v>
      </c>
      <c r="B11" s="41"/>
      <c r="C11" s="41"/>
      <c r="D11" s="41"/>
      <c r="E11" s="833"/>
      <c r="F11" s="833"/>
      <c r="G11" s="833"/>
      <c r="H11" s="833"/>
      <c r="I11" s="833"/>
      <c r="J11" s="833"/>
      <c r="K11" s="833"/>
      <c r="L11" s="833"/>
      <c r="M11" s="833"/>
      <c r="N11" s="833"/>
      <c r="O11" s="833"/>
      <c r="P11" s="833"/>
      <c r="Q11" s="833"/>
      <c r="R11" s="833"/>
      <c r="S11" s="833"/>
      <c r="T11" s="833"/>
      <c r="U11" s="833"/>
      <c r="V11" s="833"/>
      <c r="W11" s="833"/>
      <c r="X11" s="833"/>
      <c r="Y11" s="833"/>
      <c r="Z11" s="833"/>
      <c r="AA11" s="833"/>
      <c r="AB11" s="833"/>
      <c r="AC11" s="833"/>
      <c r="AD11" s="833"/>
      <c r="AE11" s="833"/>
      <c r="AF11" s="833"/>
      <c r="AG11" s="833"/>
      <c r="AH11" s="833"/>
      <c r="AI11" s="833"/>
      <c r="AJ11" s="833"/>
      <c r="AK11" s="833"/>
      <c r="AL11" s="833"/>
      <c r="AM11" s="833"/>
      <c r="AN11" s="833"/>
      <c r="AO11" s="833"/>
      <c r="AP11" s="833"/>
      <c r="AQ11" s="833"/>
      <c r="AR11" s="833"/>
      <c r="AS11" s="833"/>
      <c r="AT11" s="833"/>
      <c r="AU11" s="833"/>
      <c r="AV11" s="833"/>
      <c r="AW11" s="833"/>
      <c r="AX11" s="833"/>
      <c r="AY11" s="833"/>
      <c r="AZ11" s="833"/>
      <c r="BA11" s="833"/>
      <c r="BB11" s="833"/>
      <c r="BC11" s="833"/>
      <c r="BD11" s="833"/>
      <c r="BE11" s="833"/>
      <c r="BF11" s="833"/>
      <c r="BG11" s="833"/>
      <c r="BH11" s="833"/>
      <c r="BI11" s="833"/>
      <c r="BJ11" s="833"/>
      <c r="BK11" s="833"/>
      <c r="BL11" s="833"/>
      <c r="BM11" s="833"/>
      <c r="BN11" s="833"/>
      <c r="BO11" s="833"/>
      <c r="BP11" s="833"/>
      <c r="BQ11" s="833"/>
      <c r="BR11" s="833"/>
      <c r="BS11" s="833"/>
      <c r="BT11" s="833"/>
      <c r="BU11" s="833"/>
      <c r="BV11" s="833"/>
      <c r="BW11" s="833"/>
      <c r="BX11" s="833"/>
      <c r="BY11" s="833"/>
      <c r="BZ11" s="833"/>
      <c r="CA11" s="833"/>
      <c r="CB11" s="833"/>
      <c r="CC11" s="833"/>
      <c r="CD11" s="833"/>
      <c r="CE11" s="833"/>
      <c r="CF11" s="833"/>
      <c r="CG11" s="833"/>
      <c r="CH11" s="833"/>
      <c r="CI11" s="833"/>
      <c r="CJ11" s="833"/>
      <c r="CK11" s="833"/>
      <c r="CL11" s="833"/>
      <c r="CM11" s="833"/>
      <c r="CN11" s="833"/>
      <c r="CO11" s="833"/>
      <c r="CP11" s="833"/>
      <c r="CQ11" s="833"/>
      <c r="CR11" s="833"/>
      <c r="CS11" s="833"/>
      <c r="CT11" s="833"/>
      <c r="CU11" s="833"/>
      <c r="CV11" s="833"/>
      <c r="CW11" s="833"/>
      <c r="CX11" s="833"/>
      <c r="CY11" s="833"/>
      <c r="CZ11" s="833"/>
      <c r="DA11" s="833"/>
      <c r="DB11" s="833"/>
      <c r="DC11" s="833"/>
      <c r="DD11" s="833"/>
      <c r="DE11" s="833"/>
      <c r="DF11" s="833"/>
      <c r="DG11" s="833"/>
      <c r="DH11" s="833"/>
      <c r="DI11" s="833"/>
      <c r="DJ11" s="833"/>
      <c r="DK11" s="833"/>
      <c r="DL11" s="833"/>
      <c r="DM11" s="833"/>
      <c r="DN11" s="833"/>
      <c r="DO11" s="833"/>
      <c r="DP11" s="833"/>
      <c r="DQ11" s="833"/>
      <c r="DR11" s="833"/>
      <c r="DS11" s="833"/>
      <c r="DT11" s="833"/>
      <c r="DU11" s="833"/>
      <c r="DV11" s="833"/>
      <c r="DW11" s="833"/>
      <c r="DX11" s="833"/>
      <c r="DY11" s="833"/>
      <c r="DZ11" s="833"/>
      <c r="EA11" s="833"/>
      <c r="EB11" s="833"/>
      <c r="EC11" s="833"/>
      <c r="ED11" s="833"/>
      <c r="EE11" s="833"/>
      <c r="EF11" s="833"/>
      <c r="EG11" s="833"/>
      <c r="EH11" s="833"/>
      <c r="EI11" s="833"/>
      <c r="EJ11" s="833"/>
      <c r="EK11" s="833"/>
      <c r="EL11" s="833"/>
      <c r="EM11" s="833"/>
      <c r="EN11" s="833"/>
      <c r="EO11" s="833"/>
      <c r="EP11" s="833"/>
      <c r="EQ11" s="833"/>
      <c r="ER11" s="833"/>
      <c r="ES11" s="833"/>
      <c r="ET11" s="833"/>
      <c r="EU11" s="833"/>
      <c r="EV11" s="833"/>
      <c r="EW11" s="833"/>
      <c r="EX11" s="833"/>
      <c r="EY11" s="833"/>
      <c r="EZ11" s="833"/>
      <c r="FA11" s="833"/>
      <c r="FB11" s="833"/>
      <c r="FC11" s="833"/>
      <c r="FD11" s="833"/>
      <c r="FE11" s="833"/>
      <c r="FF11" s="833"/>
      <c r="FG11" s="833"/>
      <c r="FH11" s="833"/>
      <c r="FI11" s="833"/>
      <c r="FJ11" s="833"/>
      <c r="FK11" s="833"/>
      <c r="FL11" s="833"/>
      <c r="FM11" s="833"/>
      <c r="FN11" s="833"/>
      <c r="FO11" s="833"/>
      <c r="FP11" s="833"/>
      <c r="FQ11" s="833"/>
      <c r="FR11" s="833"/>
      <c r="FS11" s="833"/>
      <c r="FT11" s="833"/>
      <c r="FU11" s="833"/>
      <c r="FV11" s="833"/>
      <c r="FW11" s="833"/>
      <c r="FX11" s="833"/>
      <c r="FY11" s="833"/>
      <c r="FZ11" s="833"/>
      <c r="GA11" s="833"/>
      <c r="GB11" s="833"/>
      <c r="GC11" s="833"/>
      <c r="GD11" s="833"/>
      <c r="GE11" s="833"/>
      <c r="GF11" s="833"/>
      <c r="GG11" s="833"/>
      <c r="GH11" s="833"/>
      <c r="GI11" s="833"/>
      <c r="GJ11" s="833"/>
      <c r="GK11" s="833"/>
      <c r="GL11" s="833"/>
      <c r="GM11" s="833"/>
      <c r="GN11" s="833"/>
      <c r="GO11" s="833"/>
      <c r="GP11" s="833"/>
      <c r="GQ11" s="833"/>
      <c r="GR11" s="833"/>
      <c r="GS11" s="833"/>
      <c r="GT11" s="833"/>
      <c r="GU11" s="833"/>
      <c r="GV11" s="833"/>
      <c r="GW11" s="833"/>
      <c r="GX11" s="833"/>
      <c r="GY11" s="833"/>
      <c r="GZ11" s="833"/>
      <c r="HA11" s="833"/>
      <c r="HB11" s="833"/>
      <c r="HC11" s="833"/>
      <c r="HD11" s="833"/>
      <c r="HE11" s="833"/>
      <c r="HF11" s="833"/>
      <c r="HG11" s="833"/>
      <c r="HH11" s="833"/>
      <c r="HI11" s="833"/>
      <c r="HJ11" s="833"/>
      <c r="HK11" s="833"/>
      <c r="HL11" s="833"/>
      <c r="HM11" s="833"/>
      <c r="HN11" s="833"/>
      <c r="HO11" s="833"/>
      <c r="HP11" s="833"/>
      <c r="HQ11" s="833"/>
      <c r="HR11" s="833"/>
      <c r="HS11" s="833"/>
      <c r="HT11" s="833"/>
      <c r="HU11" s="833"/>
      <c r="HV11" s="833"/>
      <c r="HW11" s="833"/>
      <c r="HX11" s="833"/>
      <c r="HY11" s="833"/>
      <c r="HZ11" s="833"/>
      <c r="IA11" s="833"/>
      <c r="IB11" s="833"/>
      <c r="IC11" s="833"/>
      <c r="ID11" s="833"/>
      <c r="IE11" s="833"/>
      <c r="IF11" s="833"/>
      <c r="IG11" s="833"/>
      <c r="IH11" s="833"/>
      <c r="II11" s="833"/>
      <c r="IJ11" s="833"/>
      <c r="IK11" s="833"/>
      <c r="IL11" s="833"/>
      <c r="IM11" s="833"/>
      <c r="IN11" s="833"/>
      <c r="IO11" s="833"/>
      <c r="IP11" s="833"/>
      <c r="IQ11" s="833"/>
      <c r="IR11" s="833"/>
      <c r="IS11" s="833"/>
      <c r="IT11" s="833"/>
      <c r="IU11" s="833"/>
      <c r="IV11" s="833"/>
    </row>
    <row r="12" spans="1:256" ht="15" customHeight="1" x14ac:dyDescent="0.25">
      <c r="A12" s="41" t="s">
        <v>128</v>
      </c>
      <c r="B12" s="41"/>
      <c r="C12" s="41"/>
      <c r="D12" s="41"/>
      <c r="E12" s="833"/>
      <c r="F12" s="833"/>
      <c r="G12" s="833"/>
      <c r="H12" s="833"/>
      <c r="I12" s="833"/>
      <c r="J12" s="833"/>
      <c r="K12" s="833"/>
      <c r="L12" s="833"/>
      <c r="M12" s="833"/>
      <c r="N12" s="833"/>
      <c r="O12" s="833"/>
      <c r="P12" s="833"/>
      <c r="Q12" s="833"/>
      <c r="R12" s="833"/>
      <c r="S12" s="833"/>
      <c r="T12" s="833"/>
      <c r="U12" s="833"/>
      <c r="V12" s="833"/>
      <c r="W12" s="833"/>
      <c r="X12" s="833"/>
      <c r="Y12" s="833"/>
      <c r="Z12" s="833"/>
      <c r="AA12" s="833"/>
      <c r="AB12" s="833"/>
      <c r="AC12" s="833"/>
      <c r="AD12" s="833"/>
      <c r="AE12" s="833"/>
      <c r="AF12" s="833"/>
      <c r="AG12" s="833"/>
      <c r="AH12" s="833"/>
      <c r="AI12" s="833"/>
      <c r="AJ12" s="833"/>
      <c r="AK12" s="833"/>
      <c r="AL12" s="833"/>
      <c r="AM12" s="833"/>
      <c r="AN12" s="833"/>
      <c r="AO12" s="833"/>
      <c r="AP12" s="833"/>
      <c r="AQ12" s="833"/>
      <c r="AR12" s="833"/>
      <c r="AS12" s="833"/>
      <c r="AT12" s="833"/>
      <c r="AU12" s="833"/>
      <c r="AV12" s="833"/>
      <c r="AW12" s="833"/>
      <c r="AX12" s="833"/>
      <c r="AY12" s="833"/>
      <c r="AZ12" s="833"/>
      <c r="BA12" s="833"/>
      <c r="BB12" s="833"/>
      <c r="BC12" s="833"/>
      <c r="BD12" s="833"/>
      <c r="BE12" s="833"/>
      <c r="BF12" s="833"/>
      <c r="BG12" s="833"/>
      <c r="BH12" s="833"/>
      <c r="BI12" s="833"/>
      <c r="BJ12" s="833"/>
      <c r="BK12" s="833"/>
      <c r="BL12" s="833"/>
      <c r="BM12" s="833"/>
      <c r="BN12" s="833"/>
      <c r="BO12" s="833"/>
      <c r="BP12" s="833"/>
      <c r="BQ12" s="833"/>
      <c r="BR12" s="833"/>
      <c r="BS12" s="833"/>
      <c r="BT12" s="833"/>
      <c r="BU12" s="833"/>
      <c r="BV12" s="833"/>
      <c r="BW12" s="833"/>
      <c r="BX12" s="833"/>
      <c r="BY12" s="833"/>
      <c r="BZ12" s="833"/>
      <c r="CA12" s="833"/>
      <c r="CB12" s="833"/>
      <c r="CC12" s="833"/>
      <c r="CD12" s="833"/>
      <c r="CE12" s="833"/>
      <c r="CF12" s="833"/>
      <c r="CG12" s="833"/>
      <c r="CH12" s="833"/>
      <c r="CI12" s="833"/>
      <c r="CJ12" s="833"/>
      <c r="CK12" s="833"/>
      <c r="CL12" s="833"/>
      <c r="CM12" s="833"/>
      <c r="CN12" s="833"/>
      <c r="CO12" s="833"/>
      <c r="CP12" s="833"/>
      <c r="CQ12" s="833"/>
      <c r="CR12" s="833"/>
      <c r="CS12" s="833"/>
      <c r="CT12" s="833"/>
      <c r="CU12" s="833"/>
      <c r="CV12" s="833"/>
      <c r="CW12" s="833"/>
      <c r="CX12" s="833"/>
      <c r="CY12" s="833"/>
      <c r="CZ12" s="833"/>
      <c r="DA12" s="833"/>
      <c r="DB12" s="833"/>
      <c r="DC12" s="833"/>
      <c r="DD12" s="833"/>
      <c r="DE12" s="833"/>
      <c r="DF12" s="833"/>
      <c r="DG12" s="833"/>
      <c r="DH12" s="833"/>
      <c r="DI12" s="833"/>
      <c r="DJ12" s="833"/>
      <c r="DK12" s="833"/>
      <c r="DL12" s="833"/>
      <c r="DM12" s="833"/>
      <c r="DN12" s="833"/>
      <c r="DO12" s="833"/>
      <c r="DP12" s="833"/>
      <c r="DQ12" s="833"/>
      <c r="DR12" s="833"/>
      <c r="DS12" s="833"/>
      <c r="DT12" s="833"/>
      <c r="DU12" s="833"/>
      <c r="DV12" s="833"/>
      <c r="DW12" s="833"/>
      <c r="DX12" s="833"/>
      <c r="DY12" s="833"/>
      <c r="DZ12" s="833"/>
      <c r="EA12" s="833"/>
      <c r="EB12" s="833"/>
      <c r="EC12" s="833"/>
      <c r="ED12" s="833"/>
      <c r="EE12" s="833"/>
      <c r="EF12" s="833"/>
      <c r="EG12" s="833"/>
      <c r="EH12" s="833"/>
      <c r="EI12" s="833"/>
      <c r="EJ12" s="833"/>
      <c r="EK12" s="833"/>
      <c r="EL12" s="833"/>
      <c r="EM12" s="833"/>
      <c r="EN12" s="833"/>
      <c r="EO12" s="833"/>
      <c r="EP12" s="833"/>
      <c r="EQ12" s="833"/>
      <c r="ER12" s="833"/>
      <c r="ES12" s="833"/>
      <c r="ET12" s="833"/>
      <c r="EU12" s="833"/>
      <c r="EV12" s="833"/>
      <c r="EW12" s="833"/>
      <c r="EX12" s="833"/>
      <c r="EY12" s="833"/>
      <c r="EZ12" s="833"/>
      <c r="FA12" s="833"/>
      <c r="FB12" s="833"/>
      <c r="FC12" s="833"/>
      <c r="FD12" s="833"/>
      <c r="FE12" s="833"/>
      <c r="FF12" s="833"/>
      <c r="FG12" s="833"/>
      <c r="FH12" s="833"/>
      <c r="FI12" s="833"/>
      <c r="FJ12" s="833"/>
      <c r="FK12" s="833"/>
      <c r="FL12" s="833"/>
      <c r="FM12" s="833"/>
      <c r="FN12" s="833"/>
      <c r="FO12" s="833"/>
      <c r="FP12" s="833"/>
      <c r="FQ12" s="833"/>
      <c r="FR12" s="833"/>
      <c r="FS12" s="833"/>
      <c r="FT12" s="833"/>
      <c r="FU12" s="833"/>
      <c r="FV12" s="833"/>
      <c r="FW12" s="833"/>
      <c r="FX12" s="833"/>
      <c r="FY12" s="833"/>
      <c r="FZ12" s="833"/>
      <c r="GA12" s="833"/>
      <c r="GB12" s="833"/>
      <c r="GC12" s="833"/>
      <c r="GD12" s="833"/>
      <c r="GE12" s="833"/>
      <c r="GF12" s="833"/>
      <c r="GG12" s="833"/>
      <c r="GH12" s="833"/>
      <c r="GI12" s="833"/>
      <c r="GJ12" s="833"/>
      <c r="GK12" s="833"/>
      <c r="GL12" s="833"/>
      <c r="GM12" s="833"/>
      <c r="GN12" s="833"/>
      <c r="GO12" s="833"/>
      <c r="GP12" s="833"/>
      <c r="GQ12" s="833"/>
      <c r="GR12" s="833"/>
      <c r="GS12" s="833"/>
      <c r="GT12" s="833"/>
      <c r="GU12" s="833"/>
      <c r="GV12" s="833"/>
      <c r="GW12" s="833"/>
      <c r="GX12" s="833"/>
      <c r="GY12" s="833"/>
      <c r="GZ12" s="833"/>
      <c r="HA12" s="833"/>
      <c r="HB12" s="833"/>
      <c r="HC12" s="833"/>
      <c r="HD12" s="833"/>
      <c r="HE12" s="833"/>
      <c r="HF12" s="833"/>
      <c r="HG12" s="833"/>
      <c r="HH12" s="833"/>
      <c r="HI12" s="833"/>
      <c r="HJ12" s="833"/>
      <c r="HK12" s="833"/>
      <c r="HL12" s="833"/>
      <c r="HM12" s="833"/>
      <c r="HN12" s="833"/>
      <c r="HO12" s="833"/>
      <c r="HP12" s="833"/>
      <c r="HQ12" s="833"/>
      <c r="HR12" s="833"/>
      <c r="HS12" s="833"/>
      <c r="HT12" s="833"/>
      <c r="HU12" s="833"/>
      <c r="HV12" s="833"/>
      <c r="HW12" s="833"/>
      <c r="HX12" s="833"/>
      <c r="HY12" s="833"/>
      <c r="HZ12" s="833"/>
      <c r="IA12" s="833"/>
      <c r="IB12" s="833"/>
      <c r="IC12" s="833"/>
      <c r="ID12" s="833"/>
      <c r="IE12" s="833"/>
      <c r="IF12" s="833"/>
      <c r="IG12" s="833"/>
      <c r="IH12" s="833"/>
      <c r="II12" s="833"/>
      <c r="IJ12" s="833"/>
      <c r="IK12" s="833"/>
      <c r="IL12" s="833"/>
      <c r="IM12" s="833"/>
      <c r="IN12" s="833"/>
      <c r="IO12" s="833"/>
      <c r="IP12" s="833"/>
      <c r="IQ12" s="833"/>
      <c r="IR12" s="833"/>
      <c r="IS12" s="833"/>
      <c r="IT12" s="833"/>
      <c r="IU12" s="833"/>
      <c r="IV12" s="833"/>
    </row>
    <row r="13" spans="1:256" ht="15" customHeight="1" x14ac:dyDescent="0.25">
      <c r="A13" s="136" t="s">
        <v>3</v>
      </c>
      <c r="B13" s="255">
        <f>B12</f>
        <v>0</v>
      </c>
      <c r="C13" s="255">
        <f>C12</f>
        <v>0</v>
      </c>
      <c r="D13" s="41"/>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row>
    <row r="14" spans="1:256" ht="15" customHeight="1" x14ac:dyDescent="0.25"/>
    <row r="15" spans="1:256" ht="15" customHeight="1" x14ac:dyDescent="0.25">
      <c r="A15" s="99" t="s">
        <v>126</v>
      </c>
    </row>
    <row r="16" spans="1:256" s="49" customFormat="1" ht="15" customHeight="1" x14ac:dyDescent="0.25">
      <c r="A16" s="134" t="s">
        <v>129</v>
      </c>
      <c r="B16" s="134"/>
      <c r="C16" s="134"/>
      <c r="D16" s="134"/>
    </row>
    <row r="17" spans="1:3" ht="15" customHeight="1" x14ac:dyDescent="0.25">
      <c r="A17" s="136" t="s">
        <v>3</v>
      </c>
      <c r="B17" s="256">
        <f>B16</f>
        <v>0</v>
      </c>
      <c r="C17" s="256">
        <f>C16</f>
        <v>0</v>
      </c>
    </row>
    <row r="18" spans="1:3" ht="15" customHeight="1" x14ac:dyDescent="0.25"/>
    <row r="19" spans="1:3" ht="15" customHeight="1" x14ac:dyDescent="0.25">
      <c r="A19" s="99" t="s">
        <v>130</v>
      </c>
      <c r="B19" s="256">
        <f>B9+B13+B17</f>
        <v>0</v>
      </c>
      <c r="C19" s="256">
        <f>C9+C13+C17</f>
        <v>0</v>
      </c>
    </row>
    <row r="20" spans="1:3" ht="15" customHeight="1" x14ac:dyDescent="0.25"/>
    <row r="21" spans="1:3" ht="15" customHeight="1" x14ac:dyDescent="0.25"/>
  </sheetData>
  <mergeCells count="211">
    <mergeCell ref="B5:C5"/>
    <mergeCell ref="IK12:IP12"/>
    <mergeCell ref="IQ12:IV12"/>
    <mergeCell ref="HG12:HL12"/>
    <mergeCell ref="HM12:HR12"/>
    <mergeCell ref="HS12:HX12"/>
    <mergeCell ref="HY12:ID12"/>
    <mergeCell ref="IE12:IJ12"/>
    <mergeCell ref="FQ12:FV12"/>
    <mergeCell ref="FW12:GB12"/>
    <mergeCell ref="DI12:DN12"/>
    <mergeCell ref="DO12:DT12"/>
    <mergeCell ref="DU12:DZ12"/>
    <mergeCell ref="EA12:EF12"/>
    <mergeCell ref="GC12:GH12"/>
    <mergeCell ref="GI12:GN12"/>
    <mergeCell ref="GO12:GT12"/>
    <mergeCell ref="GU12:GZ12"/>
    <mergeCell ref="EG12:EL12"/>
    <mergeCell ref="EM12:ER12"/>
    <mergeCell ref="ES12:EX12"/>
    <mergeCell ref="EY12:FD12"/>
    <mergeCell ref="FE12:FJ12"/>
    <mergeCell ref="FK12:FP12"/>
    <mergeCell ref="E12:J12"/>
    <mergeCell ref="K12:P12"/>
    <mergeCell ref="Q12:V12"/>
    <mergeCell ref="W12:AB12"/>
    <mergeCell ref="HA12:HF12"/>
    <mergeCell ref="HY11:ID11"/>
    <mergeCell ref="EY11:FD11"/>
    <mergeCell ref="FE11:FJ11"/>
    <mergeCell ref="FK11:FP11"/>
    <mergeCell ref="FQ11:FV11"/>
    <mergeCell ref="AC12:AH12"/>
    <mergeCell ref="AI12:AN12"/>
    <mergeCell ref="AO12:AT12"/>
    <mergeCell ref="AU12:AZ12"/>
    <mergeCell ref="BA12:BF12"/>
    <mergeCell ref="BG12:BL12"/>
    <mergeCell ref="BM12:BR12"/>
    <mergeCell ref="BS12:BX12"/>
    <mergeCell ref="BY12:CD12"/>
    <mergeCell ref="CE12:CJ12"/>
    <mergeCell ref="CK12:CP12"/>
    <mergeCell ref="CQ12:CV12"/>
    <mergeCell ref="CW12:DB12"/>
    <mergeCell ref="DC12:DH12"/>
    <mergeCell ref="HA11:HF11"/>
    <mergeCell ref="HG11:HL11"/>
    <mergeCell ref="HM11:HR11"/>
    <mergeCell ref="HS11:HX11"/>
    <mergeCell ref="CE11:CJ11"/>
    <mergeCell ref="CK11:CP11"/>
    <mergeCell ref="CQ11:CV11"/>
    <mergeCell ref="CW11:DB11"/>
    <mergeCell ref="DC11:DH11"/>
    <mergeCell ref="DI11:DN11"/>
    <mergeCell ref="FW11:GB11"/>
    <mergeCell ref="GC11:GH11"/>
    <mergeCell ref="DO11:DT11"/>
    <mergeCell ref="DU11:DZ11"/>
    <mergeCell ref="EA11:EF11"/>
    <mergeCell ref="EG11:EL11"/>
    <mergeCell ref="EM11:ER11"/>
    <mergeCell ref="ES11:EX11"/>
    <mergeCell ref="E11:J11"/>
    <mergeCell ref="K11:P11"/>
    <mergeCell ref="Q11:V11"/>
    <mergeCell ref="W11:AB11"/>
    <mergeCell ref="AC11:AH11"/>
    <mergeCell ref="AI11:AN11"/>
    <mergeCell ref="AU11:AZ11"/>
    <mergeCell ref="BA11:BF11"/>
    <mergeCell ref="BG11:BL11"/>
    <mergeCell ref="GI10:GN10"/>
    <mergeCell ref="EG10:EL10"/>
    <mergeCell ref="EM10:ER10"/>
    <mergeCell ref="ES10:EX10"/>
    <mergeCell ref="EY10:FD10"/>
    <mergeCell ref="AO11:AT11"/>
    <mergeCell ref="IQ10:IV10"/>
    <mergeCell ref="HA10:HF10"/>
    <mergeCell ref="HG10:HL10"/>
    <mergeCell ref="HM10:HR10"/>
    <mergeCell ref="HS10:HX10"/>
    <mergeCell ref="HY10:ID10"/>
    <mergeCell ref="IE10:IJ10"/>
    <mergeCell ref="FQ10:FV10"/>
    <mergeCell ref="FW10:GB10"/>
    <mergeCell ref="BM11:BR11"/>
    <mergeCell ref="BS11:BX11"/>
    <mergeCell ref="BY11:CD11"/>
    <mergeCell ref="IE11:IJ11"/>
    <mergeCell ref="IK11:IP11"/>
    <mergeCell ref="IQ11:IV11"/>
    <mergeCell ref="GI11:GN11"/>
    <mergeCell ref="GO11:GT11"/>
    <mergeCell ref="GU11:GZ11"/>
    <mergeCell ref="CK10:CP10"/>
    <mergeCell ref="CQ10:CV10"/>
    <mergeCell ref="CW10:DB10"/>
    <mergeCell ref="DC10:DH10"/>
    <mergeCell ref="DI10:DN10"/>
    <mergeCell ref="DO10:DT10"/>
    <mergeCell ref="DU10:DZ10"/>
    <mergeCell ref="EA10:EF10"/>
    <mergeCell ref="GC10:GH10"/>
    <mergeCell ref="E10:J10"/>
    <mergeCell ref="K10:P10"/>
    <mergeCell ref="Q10:V10"/>
    <mergeCell ref="W10:AB10"/>
    <mergeCell ref="AC10:AH10"/>
    <mergeCell ref="AI10:AN10"/>
    <mergeCell ref="IK10:IP10"/>
    <mergeCell ref="HS8:HX8"/>
    <mergeCell ref="HY8:ID8"/>
    <mergeCell ref="IE8:IJ8"/>
    <mergeCell ref="IK8:IP8"/>
    <mergeCell ref="EY8:FD8"/>
    <mergeCell ref="GO10:GT10"/>
    <mergeCell ref="GU10:GZ10"/>
    <mergeCell ref="FE10:FJ10"/>
    <mergeCell ref="FK10:FP10"/>
    <mergeCell ref="AO10:AT10"/>
    <mergeCell ref="AU10:AZ10"/>
    <mergeCell ref="BA10:BF10"/>
    <mergeCell ref="BG10:BL10"/>
    <mergeCell ref="BM10:BR10"/>
    <mergeCell ref="BS10:BX10"/>
    <mergeCell ref="BY10:CD10"/>
    <mergeCell ref="CE10:CJ10"/>
    <mergeCell ref="IQ8:IV8"/>
    <mergeCell ref="GI8:GN8"/>
    <mergeCell ref="GO8:GT8"/>
    <mergeCell ref="GU8:GZ8"/>
    <mergeCell ref="HA8:HF8"/>
    <mergeCell ref="HG8:HL8"/>
    <mergeCell ref="HM8:HR8"/>
    <mergeCell ref="ES8:EX8"/>
    <mergeCell ref="CE8:CJ8"/>
    <mergeCell ref="CK8:CP8"/>
    <mergeCell ref="CQ8:CV8"/>
    <mergeCell ref="CW8:DB8"/>
    <mergeCell ref="DC8:DH8"/>
    <mergeCell ref="DI8:DN8"/>
    <mergeCell ref="DO8:DT8"/>
    <mergeCell ref="DU8:DZ8"/>
    <mergeCell ref="EA8:EF8"/>
    <mergeCell ref="EG8:EL8"/>
    <mergeCell ref="EM8:ER8"/>
    <mergeCell ref="FE8:FJ8"/>
    <mergeCell ref="FK8:FP8"/>
    <mergeCell ref="FQ8:FV8"/>
    <mergeCell ref="FW8:GB8"/>
    <mergeCell ref="GC8:GH8"/>
    <mergeCell ref="E8:J8"/>
    <mergeCell ref="K8:P8"/>
    <mergeCell ref="Q8:V8"/>
    <mergeCell ref="W8:AB8"/>
    <mergeCell ref="AC8:AH8"/>
    <mergeCell ref="BS8:BX8"/>
    <mergeCell ref="BY8:CD8"/>
    <mergeCell ref="AU8:AZ8"/>
    <mergeCell ref="BA8:BF8"/>
    <mergeCell ref="BG8:BL8"/>
    <mergeCell ref="BM8:BR8"/>
    <mergeCell ref="AI8:AN8"/>
    <mergeCell ref="AO8:AT8"/>
    <mergeCell ref="BS4:BX4"/>
    <mergeCell ref="BY4:CD4"/>
    <mergeCell ref="E4:J4"/>
    <mergeCell ref="K4:P4"/>
    <mergeCell ref="Q4:V4"/>
    <mergeCell ref="W4:AB4"/>
    <mergeCell ref="AC4:AH4"/>
    <mergeCell ref="IQ4:IV4"/>
    <mergeCell ref="HG4:HL4"/>
    <mergeCell ref="HM4:HR4"/>
    <mergeCell ref="HS4:HX4"/>
    <mergeCell ref="HY4:ID4"/>
    <mergeCell ref="IE4:IJ4"/>
    <mergeCell ref="IK4:IP4"/>
    <mergeCell ref="CW4:DB4"/>
    <mergeCell ref="AI4:AN4"/>
    <mergeCell ref="AO4:AT4"/>
    <mergeCell ref="AU4:AZ4"/>
    <mergeCell ref="BA4:BF4"/>
    <mergeCell ref="BG4:BL4"/>
    <mergeCell ref="BM4:BR4"/>
    <mergeCell ref="CE4:CJ4"/>
    <mergeCell ref="CK4:CP4"/>
    <mergeCell ref="CQ4:CV4"/>
    <mergeCell ref="FE4:FJ4"/>
    <mergeCell ref="FK4:FP4"/>
    <mergeCell ref="FQ4:FV4"/>
    <mergeCell ref="FW4:GB4"/>
    <mergeCell ref="GC4:GH4"/>
    <mergeCell ref="GI4:GN4"/>
    <mergeCell ref="GO4:GT4"/>
    <mergeCell ref="GU4:GZ4"/>
    <mergeCell ref="HA4:HF4"/>
    <mergeCell ref="DC4:DH4"/>
    <mergeCell ref="DI4:DN4"/>
    <mergeCell ref="DO4:DT4"/>
    <mergeCell ref="DU4:DZ4"/>
    <mergeCell ref="EA4:EF4"/>
    <mergeCell ref="EG4:EL4"/>
    <mergeCell ref="EM4:ER4"/>
    <mergeCell ref="ES4:EX4"/>
    <mergeCell ref="EY4:FD4"/>
  </mergeCells>
  <hyperlinks>
    <hyperlink ref="C1" location="BG!A1" display="BG"/>
  </hyperlinks>
  <pageMargins left="0.7" right="0.7" top="0.75" bottom="0.75" header="0.3" footer="0.3"/>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S19"/>
  <sheetViews>
    <sheetView workbookViewId="0">
      <selection activeCell="C11" sqref="C11"/>
    </sheetView>
  </sheetViews>
  <sheetFormatPr baseColWidth="10" defaultRowHeight="15" x14ac:dyDescent="0.25"/>
  <cols>
    <col min="1" max="1" width="26.7109375" style="123" customWidth="1"/>
    <col min="2" max="3" width="22.7109375" style="123" customWidth="1"/>
    <col min="4" max="19" width="11.42578125" style="123" customWidth="1"/>
  </cols>
  <sheetData>
    <row r="1" spans="1:19" x14ac:dyDescent="0.25">
      <c r="A1" s="123" t="str">
        <f>Indice!C1</f>
        <v>NEGOFIN S.A.E.C.A.</v>
      </c>
      <c r="F1" s="144" t="s">
        <v>132</v>
      </c>
    </row>
    <row r="4" spans="1:19" x14ac:dyDescent="0.25">
      <c r="A4" s="864" t="s">
        <v>325</v>
      </c>
      <c r="B4" s="864"/>
      <c r="C4" s="864"/>
      <c r="D4" s="864"/>
    </row>
    <row r="5" spans="1:19" x14ac:dyDescent="0.25">
      <c r="B5" s="860" t="s">
        <v>313</v>
      </c>
      <c r="C5" s="860"/>
    </row>
    <row r="6" spans="1:19" x14ac:dyDescent="0.25">
      <c r="A6" s="141" t="s">
        <v>125</v>
      </c>
      <c r="B6" s="396">
        <f>IFERROR(IF(Indice!B6="","2XX2",YEAR(Indice!B6)),"2XX2")</f>
        <v>2021</v>
      </c>
      <c r="C6" s="396">
        <f>IFERROR(YEAR(Indice!B6-365),"2XX1")</f>
        <v>2020</v>
      </c>
      <c r="D6" s="137"/>
      <c r="E6" s="470"/>
    </row>
    <row r="7" spans="1:19" s="452" customFormat="1" x14ac:dyDescent="0.25">
      <c r="A7" s="138" t="s">
        <v>963</v>
      </c>
      <c r="B7" s="470">
        <v>2179946.1910000001</v>
      </c>
      <c r="C7" s="470">
        <v>3141502.622</v>
      </c>
      <c r="D7" s="138"/>
      <c r="E7" s="470"/>
      <c r="F7" s="123"/>
      <c r="G7" s="123"/>
      <c r="H7" s="123"/>
      <c r="I7" s="123"/>
      <c r="J7" s="123"/>
      <c r="K7" s="123"/>
      <c r="L7" s="123"/>
      <c r="M7" s="123"/>
      <c r="N7" s="123"/>
      <c r="O7" s="123"/>
      <c r="P7" s="123"/>
      <c r="Q7" s="123"/>
      <c r="R7" s="123"/>
      <c r="S7" s="123"/>
    </row>
    <row r="8" spans="1:19" s="452" customFormat="1" x14ac:dyDescent="0.25">
      <c r="A8" s="138" t="s">
        <v>964</v>
      </c>
      <c r="B8" s="470">
        <v>683987.21299999999</v>
      </c>
      <c r="C8" s="470">
        <v>638987</v>
      </c>
      <c r="D8" s="138"/>
      <c r="E8" s="470"/>
      <c r="F8" s="123"/>
      <c r="G8" s="123"/>
      <c r="H8" s="123"/>
      <c r="I8" s="123"/>
      <c r="J8" s="123"/>
      <c r="K8" s="123"/>
      <c r="L8" s="123"/>
      <c r="M8" s="123"/>
      <c r="N8" s="123"/>
      <c r="O8" s="123"/>
      <c r="P8" s="123"/>
      <c r="Q8" s="123"/>
      <c r="R8" s="123"/>
      <c r="S8" s="123"/>
    </row>
    <row r="9" spans="1:19" s="452" customFormat="1" x14ac:dyDescent="0.25">
      <c r="A9" s="138" t="s">
        <v>965</v>
      </c>
      <c r="B9" s="470">
        <v>16003</v>
      </c>
      <c r="C9" s="470">
        <v>16003</v>
      </c>
      <c r="D9" s="138"/>
      <c r="E9" s="471"/>
      <c r="F9" s="123"/>
      <c r="G9" s="123"/>
      <c r="H9" s="123"/>
      <c r="I9" s="123"/>
      <c r="J9" s="123"/>
      <c r="K9" s="123"/>
      <c r="L9" s="123"/>
      <c r="M9" s="123"/>
      <c r="N9" s="123"/>
      <c r="O9" s="123"/>
      <c r="P9" s="123"/>
      <c r="Q9" s="123"/>
      <c r="R9" s="123"/>
      <c r="S9" s="123"/>
    </row>
    <row r="10" spans="1:19" ht="25.5" x14ac:dyDescent="0.25">
      <c r="A10" s="139" t="s">
        <v>164</v>
      </c>
      <c r="B10" s="471">
        <v>-2872270.3629999999</v>
      </c>
      <c r="C10" s="471">
        <v>-2922975.2250000001</v>
      </c>
      <c r="D10" s="139"/>
    </row>
    <row r="11" spans="1:19" x14ac:dyDescent="0.25">
      <c r="A11" s="140"/>
      <c r="B11" s="471"/>
      <c r="C11" s="471"/>
      <c r="D11" s="139"/>
      <c r="E11" s="138"/>
      <c r="F11" s="138"/>
    </row>
    <row r="12" spans="1:19" x14ac:dyDescent="0.25">
      <c r="A12" s="128" t="s">
        <v>130</v>
      </c>
      <c r="B12" s="472">
        <f>SUM(B7:B11)</f>
        <v>7666.0410000002012</v>
      </c>
      <c r="C12" s="472">
        <f>SUM(C7:C11)</f>
        <v>873517.39699999988</v>
      </c>
    </row>
    <row r="13" spans="1:19" x14ac:dyDescent="0.25">
      <c r="A13" s="140"/>
      <c r="D13" s="139"/>
    </row>
    <row r="14" spans="1:19" x14ac:dyDescent="0.25">
      <c r="A14" s="139"/>
      <c r="D14" s="139"/>
    </row>
    <row r="15" spans="1:19" x14ac:dyDescent="0.25">
      <c r="A15" s="140"/>
      <c r="D15" s="139"/>
      <c r="E15" s="138"/>
      <c r="F15" s="138"/>
    </row>
    <row r="17" spans="1:4" x14ac:dyDescent="0.25">
      <c r="A17" s="128"/>
    </row>
    <row r="18" spans="1:4" x14ac:dyDescent="0.25">
      <c r="A18" s="137"/>
      <c r="D18" s="137"/>
    </row>
    <row r="19" spans="1:4" x14ac:dyDescent="0.25">
      <c r="A19" s="140"/>
    </row>
  </sheetData>
  <mergeCells count="2">
    <mergeCell ref="A4:D4"/>
    <mergeCell ref="B5:C5"/>
  </mergeCells>
  <hyperlinks>
    <hyperlink ref="F1" location="BG!A1" display="BG"/>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M13"/>
  <sheetViews>
    <sheetView workbookViewId="0">
      <selection activeCell="C1" sqref="C1"/>
    </sheetView>
  </sheetViews>
  <sheetFormatPr baseColWidth="10" defaultRowHeight="15" x14ac:dyDescent="0.25"/>
  <cols>
    <col min="1" max="1" width="24.7109375" style="123" customWidth="1"/>
    <col min="2" max="2" width="17.140625" style="123" customWidth="1"/>
    <col min="3" max="3" width="17.28515625" style="123" customWidth="1"/>
    <col min="4" max="13" width="11.42578125" style="123" customWidth="1"/>
  </cols>
  <sheetData>
    <row r="1" spans="1:5" x14ac:dyDescent="0.25">
      <c r="A1" s="123" t="str">
        <f>Indice!C1</f>
        <v>NEGOFIN S.A.E.C.A.</v>
      </c>
      <c r="E1" s="144" t="s">
        <v>132</v>
      </c>
    </row>
    <row r="5" spans="1:5" x14ac:dyDescent="0.25">
      <c r="A5" s="308" t="s">
        <v>326</v>
      </c>
      <c r="B5" s="308"/>
      <c r="C5" s="308"/>
      <c r="D5" s="308"/>
    </row>
    <row r="6" spans="1:5" x14ac:dyDescent="0.25">
      <c r="B6" s="860" t="s">
        <v>313</v>
      </c>
      <c r="C6" s="860"/>
    </row>
    <row r="7" spans="1:5" x14ac:dyDescent="0.25">
      <c r="A7" s="142" t="s">
        <v>131</v>
      </c>
      <c r="B7" s="396">
        <f>IFERROR(IF(Indice!B6="","2XX2",YEAR(Indice!B6)),"2XX2")</f>
        <v>2021</v>
      </c>
      <c r="C7" s="396">
        <f>IFERROR(YEAR(Indice!B6-365),"2XX1")</f>
        <v>2020</v>
      </c>
      <c r="D7" s="137"/>
    </row>
    <row r="8" spans="1:5" x14ac:dyDescent="0.25">
      <c r="A8" s="138"/>
      <c r="B8" s="138"/>
      <c r="C8" s="138"/>
      <c r="D8" s="138"/>
    </row>
    <row r="9" spans="1:5" x14ac:dyDescent="0.25">
      <c r="A9" s="139"/>
      <c r="D9" s="139"/>
    </row>
    <row r="10" spans="1:5" x14ac:dyDescent="0.25">
      <c r="A10" s="140"/>
      <c r="D10" s="139"/>
    </row>
    <row r="11" spans="1:5" x14ac:dyDescent="0.25">
      <c r="A11" s="128" t="s">
        <v>130</v>
      </c>
      <c r="B11" s="253">
        <f>SUM(B8:B10)</f>
        <v>0</v>
      </c>
      <c r="C11" s="253">
        <f>SUM(C8:C10)</f>
        <v>0</v>
      </c>
    </row>
    <row r="12" spans="1:5" x14ac:dyDescent="0.25">
      <c r="A12" s="140"/>
      <c r="D12" s="139"/>
    </row>
    <row r="13" spans="1:5" x14ac:dyDescent="0.25">
      <c r="A13" s="139"/>
      <c r="D13" s="139"/>
    </row>
  </sheetData>
  <mergeCells count="1">
    <mergeCell ref="B6:C6"/>
  </mergeCells>
  <hyperlinks>
    <hyperlink ref="E1" location="BG!A1" display="BG"/>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E23"/>
  <sheetViews>
    <sheetView showGridLines="0" topLeftCell="A7" workbookViewId="0">
      <selection activeCell="G23" sqref="G23"/>
    </sheetView>
  </sheetViews>
  <sheetFormatPr baseColWidth="10" defaultColWidth="11.42578125" defaultRowHeight="15" x14ac:dyDescent="0.25"/>
  <cols>
    <col min="1" max="1" width="38.5703125" style="292" customWidth="1"/>
    <col min="2" max="2" width="34.140625" style="292" customWidth="1"/>
    <col min="3" max="3" width="34.42578125" style="292" bestFit="1" customWidth="1"/>
    <col min="4" max="4" width="18.42578125" style="292" customWidth="1"/>
    <col min="5" max="5" width="18.7109375" style="292" customWidth="1"/>
    <col min="6" max="16384" width="11.42578125" style="292"/>
  </cols>
  <sheetData>
    <row r="1" spans="1:5" x14ac:dyDescent="0.25">
      <c r="A1" s="292" t="str">
        <f>Indice!C1</f>
        <v>NEGOFIN S.A.E.C.A.</v>
      </c>
      <c r="B1" s="143"/>
      <c r="C1" s="429" t="s">
        <v>132</v>
      </c>
    </row>
    <row r="4" spans="1:5" x14ac:dyDescent="0.25">
      <c r="A4" s="308" t="s">
        <v>328</v>
      </c>
      <c r="B4" s="308"/>
      <c r="C4" s="308"/>
      <c r="D4" s="308"/>
      <c r="E4" s="308"/>
    </row>
    <row r="5" spans="1:5" x14ac:dyDescent="0.25">
      <c r="A5" s="394" t="s">
        <v>313</v>
      </c>
    </row>
    <row r="6" spans="1:5" x14ac:dyDescent="0.25">
      <c r="A6" s="309" t="s">
        <v>839</v>
      </c>
      <c r="B6" s="309"/>
      <c r="C6" s="309"/>
      <c r="D6" s="309"/>
    </row>
    <row r="7" spans="1:5" x14ac:dyDescent="0.25">
      <c r="E7" s="254"/>
    </row>
    <row r="8" spans="1:5" x14ac:dyDescent="0.25">
      <c r="A8" s="99" t="s">
        <v>65</v>
      </c>
      <c r="B8" s="411" t="s">
        <v>181</v>
      </c>
      <c r="C8" s="411" t="s">
        <v>480</v>
      </c>
      <c r="D8" s="412">
        <f>IFERROR(IF(Indice!B6="","2XX2",YEAR(Indice!B6)),"2XX2")</f>
        <v>2021</v>
      </c>
      <c r="E8" s="412">
        <f>IFERROR(YEAR(Indice!B6-365),"2XX1")</f>
        <v>2020</v>
      </c>
    </row>
    <row r="9" spans="1:5" x14ac:dyDescent="0.25">
      <c r="A9" s="292" t="s">
        <v>479</v>
      </c>
      <c r="B9" s="307"/>
      <c r="C9" s="312" t="str">
        <f>IFERROR(VLOOKUP(B9,'Base de Monedas'!A:B,2,0),"")</f>
        <v/>
      </c>
      <c r="D9" s="513">
        <v>0</v>
      </c>
      <c r="E9" s="460">
        <v>0</v>
      </c>
    </row>
    <row r="10" spans="1:5" x14ac:dyDescent="0.25">
      <c r="A10" s="295" t="s">
        <v>113</v>
      </c>
      <c r="B10" s="307"/>
      <c r="C10" s="312" t="str">
        <f>IFERROR(VLOOKUP(B10,'Base de Monedas'!A:B,2,0),"")</f>
        <v/>
      </c>
      <c r="D10" s="474">
        <v>0</v>
      </c>
      <c r="E10" s="460">
        <v>0</v>
      </c>
    </row>
    <row r="11" spans="1:5" x14ac:dyDescent="0.25">
      <c r="A11" s="295" t="s">
        <v>114</v>
      </c>
      <c r="B11" s="307"/>
      <c r="C11" s="312" t="str">
        <f>IFERROR(VLOOKUP(B11,'Base de Monedas'!A:B,2,0),"")</f>
        <v/>
      </c>
      <c r="D11" s="467">
        <v>927432.60499999998</v>
      </c>
      <c r="E11" s="467">
        <v>397575.39399999997</v>
      </c>
    </row>
    <row r="12" spans="1:5" x14ac:dyDescent="0.25">
      <c r="A12" s="311" t="s">
        <v>66</v>
      </c>
      <c r="B12" s="307"/>
      <c r="C12" s="312" t="str">
        <f>IFERROR(VLOOKUP(B12,'Base de Monedas'!A:B,2,0),"")</f>
        <v/>
      </c>
      <c r="D12" s="467"/>
      <c r="E12" s="514"/>
    </row>
    <row r="13" spans="1:5" ht="15.75" thickBot="1" x14ac:dyDescent="0.3">
      <c r="A13" s="12" t="s">
        <v>115</v>
      </c>
      <c r="B13" s="10"/>
      <c r="C13" s="14"/>
      <c r="D13" s="515">
        <f>SUM($D$9:D11)</f>
        <v>927432.60499999998</v>
      </c>
      <c r="E13" s="515">
        <f>SUM($E$9:E11)</f>
        <v>397575.39399999997</v>
      </c>
    </row>
    <row r="14" spans="1:5" ht="15.75" thickTop="1" x14ac:dyDescent="0.25">
      <c r="A14" s="12"/>
      <c r="B14" s="10"/>
      <c r="C14" s="14"/>
      <c r="D14" s="301"/>
      <c r="E14" s="301"/>
    </row>
    <row r="16" spans="1:5" x14ac:dyDescent="0.25">
      <c r="D16" s="254"/>
    </row>
    <row r="17" spans="1:5" x14ac:dyDescent="0.25">
      <c r="A17" s="99" t="s">
        <v>838</v>
      </c>
      <c r="B17" s="411" t="s">
        <v>181</v>
      </c>
      <c r="C17" s="411" t="s">
        <v>480</v>
      </c>
      <c r="D17" s="412">
        <f>IFERROR(YEAR(Indice!B6),"2XX2")</f>
        <v>2021</v>
      </c>
      <c r="E17" s="412">
        <f>IFERROR(YEAR(Indice!B6-365),"2XX1")</f>
        <v>2020</v>
      </c>
    </row>
    <row r="18" spans="1:5" x14ac:dyDescent="0.25">
      <c r="A18" s="292" t="s">
        <v>479</v>
      </c>
      <c r="B18" s="307"/>
      <c r="C18" s="312" t="str">
        <f>IFERROR(VLOOKUP(B18,'Base de Monedas'!A:B,2,0),"")</f>
        <v/>
      </c>
      <c r="D18" s="513">
        <v>0</v>
      </c>
      <c r="E18" s="460">
        <v>0</v>
      </c>
    </row>
    <row r="19" spans="1:5" x14ac:dyDescent="0.25">
      <c r="A19" s="295" t="s">
        <v>113</v>
      </c>
      <c r="B19" s="307"/>
      <c r="C19" s="312" t="str">
        <f>IFERROR(VLOOKUP(B19,'Base de Monedas'!A:B,2,0),"")</f>
        <v/>
      </c>
      <c r="D19" s="474">
        <v>0</v>
      </c>
      <c r="E19" s="460">
        <v>0</v>
      </c>
    </row>
    <row r="20" spans="1:5" x14ac:dyDescent="0.25">
      <c r="A20" s="295" t="s">
        <v>114</v>
      </c>
      <c r="B20" s="307"/>
      <c r="C20" s="312" t="str">
        <f>IFERROR(VLOOKUP(B20,'Base de Monedas'!A:B,2,0),"")</f>
        <v/>
      </c>
      <c r="D20" s="467">
        <v>0</v>
      </c>
      <c r="E20" s="514">
        <v>0</v>
      </c>
    </row>
    <row r="21" spans="1:5" x14ac:dyDescent="0.25">
      <c r="A21" s="311" t="s">
        <v>66</v>
      </c>
      <c r="B21" s="307"/>
      <c r="C21" s="312" t="str">
        <f>IFERROR(VLOOKUP(B21,'Base de Monedas'!A:B,2,0),"")</f>
        <v/>
      </c>
      <c r="D21" s="467">
        <v>0</v>
      </c>
      <c r="E21" s="514">
        <v>0</v>
      </c>
    </row>
    <row r="22" spans="1:5" ht="15.75" thickBot="1" x14ac:dyDescent="0.3">
      <c r="A22" s="12" t="s">
        <v>115</v>
      </c>
      <c r="B22" s="10"/>
      <c r="C22" s="14"/>
      <c r="D22" s="515">
        <f>SUM($D$18:D20)</f>
        <v>0</v>
      </c>
      <c r="E22" s="515">
        <f>SUM($E$18:E21)</f>
        <v>0</v>
      </c>
    </row>
    <row r="23" spans="1:5" ht="15.75" thickTop="1" x14ac:dyDescent="0.25"/>
  </sheetData>
  <hyperlinks>
    <hyperlink ref="C1" location="BG!A1" display="BG"/>
  </hyperlinks>
  <printOptions horizontalCentered="1"/>
  <pageMargins left="0.70866141732283472" right="0.70866141732283472" top="0.74803149606299213" bottom="0.74803149606299213" header="0.31496062992125984" footer="0.31496062992125984"/>
  <pageSetup paperSize="5" scale="75" fitToWidth="2" fitToHeight="2"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Q668"/>
  <sheetViews>
    <sheetView showGridLines="0" zoomScale="84" zoomScaleNormal="84" workbookViewId="0">
      <selection activeCell="C11" sqref="C11"/>
    </sheetView>
  </sheetViews>
  <sheetFormatPr baseColWidth="10" defaultRowHeight="15" x14ac:dyDescent="0.25"/>
  <cols>
    <col min="1" max="1" width="45.140625" customWidth="1"/>
    <col min="2" max="2" width="16" customWidth="1"/>
    <col min="3" max="3" width="22.140625" customWidth="1"/>
    <col min="4" max="4" width="16.42578125" style="307" customWidth="1"/>
    <col min="5" max="5" width="20.42578125" style="307" bestFit="1" customWidth="1"/>
    <col min="6" max="6" width="18.5703125" customWidth="1"/>
    <col min="7" max="7" width="3.28515625" customWidth="1"/>
    <col min="8" max="8" width="29.42578125" style="452" bestFit="1" customWidth="1"/>
    <col min="9" max="9" width="11.42578125" style="307" customWidth="1"/>
    <col min="10" max="10" width="23.28515625" style="295" customWidth="1"/>
    <col min="11" max="11" width="18.140625" style="295" customWidth="1"/>
    <col min="12" max="12" width="20.42578125" bestFit="1" customWidth="1"/>
    <col min="13" max="13" width="17.7109375" customWidth="1"/>
    <col min="14" max="14" width="12.7109375" style="503" bestFit="1" customWidth="1"/>
    <col min="15" max="15" width="13.7109375" style="509" bestFit="1" customWidth="1"/>
    <col min="17" max="17" width="13.7109375" bestFit="1" customWidth="1"/>
  </cols>
  <sheetData>
    <row r="1" spans="1:15" ht="15" customHeight="1" x14ac:dyDescent="0.25">
      <c r="A1" t="str">
        <f>Indice!C1</f>
        <v>NEGOFIN S.A.E.C.A.</v>
      </c>
      <c r="E1" s="217" t="s">
        <v>132</v>
      </c>
      <c r="M1" s="143" t="s">
        <v>132</v>
      </c>
    </row>
    <row r="2" spans="1:15" ht="15" customHeight="1" x14ac:dyDescent="0.25"/>
    <row r="3" spans="1:15" ht="15" customHeight="1" x14ac:dyDescent="0.25"/>
    <row r="4" spans="1:15" ht="15" customHeight="1" x14ac:dyDescent="0.25">
      <c r="A4" s="326" t="s">
        <v>329</v>
      </c>
      <c r="B4" s="326"/>
      <c r="C4" s="326"/>
      <c r="D4" s="482"/>
      <c r="E4" s="482"/>
      <c r="F4" s="326"/>
      <c r="G4" s="326"/>
      <c r="H4" s="326"/>
      <c r="I4" s="482"/>
      <c r="J4" s="326"/>
      <c r="K4" s="326"/>
      <c r="L4" s="326"/>
      <c r="M4" s="326"/>
    </row>
    <row r="5" spans="1:15" ht="15" customHeight="1" x14ac:dyDescent="0.25"/>
    <row r="6" spans="1:15" ht="15" customHeight="1" x14ac:dyDescent="0.25">
      <c r="A6" t="s">
        <v>859</v>
      </c>
    </row>
    <row r="7" spans="1:15" ht="15" customHeight="1" x14ac:dyDescent="0.25">
      <c r="A7" t="s">
        <v>333</v>
      </c>
    </row>
    <row r="8" spans="1:15" s="295" customFormat="1" ht="15" customHeight="1" x14ac:dyDescent="0.25">
      <c r="D8" s="307"/>
      <c r="E8" s="307"/>
      <c r="H8" s="452"/>
      <c r="I8" s="307"/>
      <c r="N8" s="503"/>
      <c r="O8" s="509"/>
    </row>
    <row r="9" spans="1:15" ht="15" customHeight="1" x14ac:dyDescent="0.25">
      <c r="A9" s="99" t="s">
        <v>65</v>
      </c>
      <c r="B9" s="242"/>
      <c r="C9" s="254"/>
      <c r="D9" s="450"/>
      <c r="E9" s="450"/>
      <c r="F9" s="242"/>
      <c r="J9" s="254"/>
      <c r="K9" s="254"/>
      <c r="L9" s="254"/>
      <c r="M9" s="254"/>
    </row>
    <row r="10" spans="1:15" ht="15" customHeight="1" x14ac:dyDescent="0.25">
      <c r="A10" s="19"/>
      <c r="B10" s="413"/>
      <c r="C10" s="413"/>
      <c r="D10" s="396">
        <f>IFERROR(IF(Indice!B6="","2XX2",YEAR(Indice!B6)),"2XX2")</f>
        <v>2021</v>
      </c>
      <c r="E10" s="395"/>
      <c r="F10" s="413"/>
      <c r="I10" s="395"/>
      <c r="J10" s="413"/>
      <c r="K10" s="396">
        <f>IFERROR(YEAR(Indice!B6-365),"2XX1")</f>
        <v>2020</v>
      </c>
      <c r="L10" s="413"/>
      <c r="M10" s="413"/>
    </row>
    <row r="11" spans="1:15" ht="15" customHeight="1" x14ac:dyDescent="0.25">
      <c r="A11" s="129" t="s">
        <v>845</v>
      </c>
      <c r="B11" s="130" t="s">
        <v>117</v>
      </c>
      <c r="C11" s="310" t="s">
        <v>842</v>
      </c>
      <c r="D11" s="310" t="s">
        <v>330</v>
      </c>
      <c r="E11" s="129" t="s">
        <v>849</v>
      </c>
      <c r="F11" s="130" t="s">
        <v>119</v>
      </c>
      <c r="H11" s="129" t="s">
        <v>845</v>
      </c>
      <c r="I11" s="130" t="s">
        <v>117</v>
      </c>
      <c r="J11" s="310" t="s">
        <v>842</v>
      </c>
      <c r="K11" s="310" t="s">
        <v>330</v>
      </c>
      <c r="L11" s="129" t="s">
        <v>849</v>
      </c>
      <c r="M11" s="130" t="s">
        <v>119</v>
      </c>
    </row>
    <row r="12" spans="1:15" ht="15" customHeight="1" x14ac:dyDescent="0.25">
      <c r="A12" t="s">
        <v>969</v>
      </c>
      <c r="B12" s="479">
        <v>44554</v>
      </c>
      <c r="C12" s="307" t="s">
        <v>434</v>
      </c>
      <c r="D12" s="307" t="str">
        <f>IFERROR(VLOOKUP(C12,'Base de Monedas'!A:B,2,0),"")</f>
        <v>Guaraní</v>
      </c>
      <c r="E12" s="485">
        <v>3000000</v>
      </c>
      <c r="F12" s="307" t="s">
        <v>979</v>
      </c>
      <c r="H12" s="452" t="s">
        <v>969</v>
      </c>
      <c r="I12" s="479"/>
      <c r="J12" s="307"/>
      <c r="K12" s="307"/>
      <c r="L12" s="508"/>
      <c r="M12" s="307"/>
    </row>
    <row r="13" spans="1:15" ht="15" customHeight="1" x14ac:dyDescent="0.25">
      <c r="A13" s="295" t="s">
        <v>969</v>
      </c>
      <c r="B13" s="479">
        <v>44645</v>
      </c>
      <c r="C13" s="307" t="s">
        <v>434</v>
      </c>
      <c r="D13" s="307" t="str">
        <f>IFERROR(VLOOKUP(C13,'Base de Monedas'!A:B,2,0),"")</f>
        <v>Guaraní</v>
      </c>
      <c r="E13" s="485">
        <v>4312499.9989999998</v>
      </c>
      <c r="F13" s="307" t="s">
        <v>979</v>
      </c>
      <c r="H13" s="452" t="s">
        <v>969</v>
      </c>
      <c r="I13" s="479">
        <v>44221</v>
      </c>
      <c r="J13" s="307" t="s">
        <v>434</v>
      </c>
      <c r="K13" s="307" t="str">
        <f>IFERROR(VLOOKUP(J13,'Base de Monedas'!A:B,2,0),"")</f>
        <v>Guaraní</v>
      </c>
      <c r="L13" s="711">
        <v>3208333.335</v>
      </c>
      <c r="M13" s="307" t="s">
        <v>979</v>
      </c>
    </row>
    <row r="14" spans="1:15" s="452" customFormat="1" ht="15" customHeight="1" x14ac:dyDescent="0.25">
      <c r="A14" s="452" t="s">
        <v>969</v>
      </c>
      <c r="B14" s="486">
        <v>44466</v>
      </c>
      <c r="C14" s="307" t="s">
        <v>434</v>
      </c>
      <c r="D14" s="307" t="str">
        <f>IFERROR(VLOOKUP(C14,'Base de Monedas'!A:B,2,0),"")</f>
        <v>Guaraní</v>
      </c>
      <c r="E14" s="485">
        <v>3300000</v>
      </c>
      <c r="F14" s="307" t="s">
        <v>979</v>
      </c>
      <c r="H14" s="452" t="s">
        <v>969</v>
      </c>
      <c r="I14" s="479">
        <v>44095</v>
      </c>
      <c r="J14" s="307" t="s">
        <v>434</v>
      </c>
      <c r="K14" s="307" t="str">
        <f>IFERROR(VLOOKUP(J14,'Base de Monedas'!A:B,2,0),"")</f>
        <v>Guaraní</v>
      </c>
      <c r="L14" s="711">
        <v>1273750.003</v>
      </c>
      <c r="M14" s="307" t="s">
        <v>979</v>
      </c>
      <c r="N14" s="503"/>
      <c r="O14" s="509"/>
    </row>
    <row r="15" spans="1:15" s="452" customFormat="1" ht="15" customHeight="1" x14ac:dyDescent="0.25">
      <c r="A15" s="452" t="s">
        <v>969</v>
      </c>
      <c r="B15" s="479" t="s">
        <v>980</v>
      </c>
      <c r="C15" s="307"/>
      <c r="D15" s="307"/>
      <c r="E15" s="460" t="s">
        <v>980</v>
      </c>
      <c r="F15" s="307" t="s">
        <v>980</v>
      </c>
      <c r="H15" s="452" t="s">
        <v>969</v>
      </c>
      <c r="I15" s="479">
        <v>44036</v>
      </c>
      <c r="J15" s="307" t="s">
        <v>434</v>
      </c>
      <c r="K15" s="307" t="str">
        <f>IFERROR(VLOOKUP(J15,'Base de Monedas'!A:B,2,0),"")</f>
        <v>Guaraní</v>
      </c>
      <c r="L15" s="711">
        <v>308333.337</v>
      </c>
      <c r="M15" s="307" t="s">
        <v>979</v>
      </c>
      <c r="N15" s="503"/>
      <c r="O15" s="509"/>
    </row>
    <row r="16" spans="1:15" s="452" customFormat="1" ht="15" customHeight="1" x14ac:dyDescent="0.25">
      <c r="A16" s="452" t="s">
        <v>969</v>
      </c>
      <c r="B16" s="479" t="s">
        <v>980</v>
      </c>
      <c r="C16" s="307"/>
      <c r="D16" s="307"/>
      <c r="E16" s="460" t="s">
        <v>980</v>
      </c>
      <c r="F16" s="307" t="s">
        <v>980</v>
      </c>
      <c r="H16" s="452" t="s">
        <v>969</v>
      </c>
      <c r="I16" s="479">
        <v>44158</v>
      </c>
      <c r="J16" s="307" t="s">
        <v>434</v>
      </c>
      <c r="K16" s="307" t="str">
        <f>IFERROR(VLOOKUP(J16,'Base de Monedas'!A:B,2,0),"")</f>
        <v>Guaraní</v>
      </c>
      <c r="L16" s="711">
        <v>2291666.6690000002</v>
      </c>
      <c r="M16" s="307" t="s">
        <v>979</v>
      </c>
      <c r="N16" s="503"/>
      <c r="O16" s="509"/>
    </row>
    <row r="17" spans="1:15" s="452" customFormat="1" ht="15" customHeight="1" x14ac:dyDescent="0.25">
      <c r="A17" s="452" t="s">
        <v>969</v>
      </c>
      <c r="B17" s="479" t="s">
        <v>980</v>
      </c>
      <c r="C17" s="307"/>
      <c r="D17" s="307"/>
      <c r="E17" s="460" t="s">
        <v>980</v>
      </c>
      <c r="F17" s="307" t="s">
        <v>980</v>
      </c>
      <c r="H17" s="452" t="s">
        <v>969</v>
      </c>
      <c r="I17" s="479">
        <v>44277</v>
      </c>
      <c r="J17" s="307" t="s">
        <v>434</v>
      </c>
      <c r="K17" s="307" t="s">
        <v>757</v>
      </c>
      <c r="L17" s="711">
        <v>1499999.9990000001</v>
      </c>
      <c r="M17" s="307" t="s">
        <v>979</v>
      </c>
      <c r="N17" s="503"/>
      <c r="O17" s="509"/>
    </row>
    <row r="18" spans="1:15" s="452" customFormat="1" ht="15" customHeight="1" x14ac:dyDescent="0.25">
      <c r="A18" s="452" t="s">
        <v>970</v>
      </c>
      <c r="B18" s="479" t="s">
        <v>980</v>
      </c>
      <c r="C18" s="307"/>
      <c r="D18" s="307"/>
      <c r="E18" s="460" t="s">
        <v>980</v>
      </c>
      <c r="F18" s="307" t="s">
        <v>980</v>
      </c>
      <c r="H18" s="452" t="s">
        <v>970</v>
      </c>
      <c r="I18" s="479">
        <v>44067</v>
      </c>
      <c r="J18" s="307" t="s">
        <v>434</v>
      </c>
      <c r="K18" s="307" t="str">
        <f>IFERROR(VLOOKUP(J18,'Base de Monedas'!A:B,2,0),"")</f>
        <v>Guaraní</v>
      </c>
      <c r="L18" s="711">
        <v>5000000</v>
      </c>
      <c r="M18" s="307" t="s">
        <v>979</v>
      </c>
      <c r="N18" s="503"/>
      <c r="O18" s="509"/>
    </row>
    <row r="19" spans="1:15" s="452" customFormat="1" ht="15" customHeight="1" x14ac:dyDescent="0.25">
      <c r="A19" s="452" t="s">
        <v>970</v>
      </c>
      <c r="B19" s="479" t="s">
        <v>980</v>
      </c>
      <c r="C19" s="307"/>
      <c r="D19" s="307"/>
      <c r="E19" s="460" t="s">
        <v>980</v>
      </c>
      <c r="F19" s="307" t="s">
        <v>980</v>
      </c>
      <c r="H19" s="452" t="s">
        <v>970</v>
      </c>
      <c r="I19" s="479">
        <v>44274</v>
      </c>
      <c r="J19" s="307" t="s">
        <v>434</v>
      </c>
      <c r="K19" s="307" t="str">
        <f>IFERROR(VLOOKUP(J19,'Base de Monedas'!A:B,2,0),"")</f>
        <v>Guaraní</v>
      </c>
      <c r="L19" s="711">
        <v>3749999.9989999998</v>
      </c>
      <c r="M19" s="307" t="s">
        <v>979</v>
      </c>
      <c r="N19" s="503"/>
      <c r="O19" s="509"/>
    </row>
    <row r="20" spans="1:15" s="452" customFormat="1" ht="15" customHeight="1" x14ac:dyDescent="0.25">
      <c r="A20" s="452" t="s">
        <v>971</v>
      </c>
      <c r="B20" s="479">
        <v>44553</v>
      </c>
      <c r="C20" s="307" t="s">
        <v>434</v>
      </c>
      <c r="D20" s="307" t="str">
        <f>IFERROR(VLOOKUP(C20,'Base de Monedas'!A:B,2,0),"")</f>
        <v>Guaraní</v>
      </c>
      <c r="E20" s="485">
        <v>507824.37699999998</v>
      </c>
      <c r="F20" s="307" t="s">
        <v>979</v>
      </c>
      <c r="H20" s="702" t="s">
        <v>970</v>
      </c>
      <c r="I20" s="479">
        <v>44340</v>
      </c>
      <c r="J20" s="307" t="s">
        <v>434</v>
      </c>
      <c r="K20" s="307" t="str">
        <f>IFERROR(VLOOKUP(J20,'Base de Monedas'!A:B,2,0),"")</f>
        <v>Guaraní</v>
      </c>
      <c r="L20" s="711">
        <v>6875000</v>
      </c>
      <c r="M20" s="307" t="s">
        <v>979</v>
      </c>
      <c r="N20" s="503"/>
      <c r="O20" s="509"/>
    </row>
    <row r="21" spans="1:15" s="452" customFormat="1" ht="15" customHeight="1" x14ac:dyDescent="0.25">
      <c r="A21" s="452" t="s">
        <v>971</v>
      </c>
      <c r="B21" s="479">
        <v>44493</v>
      </c>
      <c r="C21" s="307" t="s">
        <v>434</v>
      </c>
      <c r="D21" s="307" t="str">
        <f>IFERROR(VLOOKUP(C21,'Base de Monedas'!A:B,2,0),"")</f>
        <v>Guaraní</v>
      </c>
      <c r="E21" s="485">
        <v>2552195.0989999999</v>
      </c>
      <c r="F21" s="307" t="s">
        <v>979</v>
      </c>
      <c r="H21" s="702" t="s">
        <v>970</v>
      </c>
      <c r="I21" s="479">
        <v>44340</v>
      </c>
      <c r="J21" s="307" t="s">
        <v>434</v>
      </c>
      <c r="K21" s="307" t="str">
        <f>IFERROR(VLOOKUP(J21,'Base de Monedas'!A:B,2,0),"")</f>
        <v>Guaraní</v>
      </c>
      <c r="L21" s="711">
        <v>2291666.6669999999</v>
      </c>
      <c r="M21" s="307" t="s">
        <v>979</v>
      </c>
      <c r="N21" s="503"/>
      <c r="O21" s="509"/>
    </row>
    <row r="22" spans="1:15" s="452" customFormat="1" ht="15" customHeight="1" x14ac:dyDescent="0.25">
      <c r="A22" s="452" t="s">
        <v>971</v>
      </c>
      <c r="B22" s="479">
        <v>44674</v>
      </c>
      <c r="C22" s="307" t="s">
        <v>434</v>
      </c>
      <c r="D22" s="307" t="str">
        <f>IFERROR(VLOOKUP(C22,'Base de Monedas'!A:B,2,0),"")</f>
        <v>Guaraní</v>
      </c>
      <c r="E22" s="485">
        <v>3517042.2609999999</v>
      </c>
      <c r="F22" s="307" t="s">
        <v>979</v>
      </c>
      <c r="H22" s="452" t="s">
        <v>971</v>
      </c>
      <c r="I22" s="479">
        <v>44158</v>
      </c>
      <c r="J22" s="307" t="s">
        <v>434</v>
      </c>
      <c r="K22" s="307" t="str">
        <f>IFERROR(VLOOKUP(J22,'Base de Monedas'!A:B,2,0),"")</f>
        <v>Guaraní</v>
      </c>
      <c r="L22" s="711">
        <v>1885755.4680000001</v>
      </c>
      <c r="M22" s="307" t="s">
        <v>979</v>
      </c>
      <c r="N22" s="503"/>
      <c r="O22" s="509"/>
    </row>
    <row r="23" spans="1:15" s="452" customFormat="1" ht="15" customHeight="1" x14ac:dyDescent="0.25">
      <c r="A23" s="452" t="s">
        <v>972</v>
      </c>
      <c r="B23" s="479" t="s">
        <v>980</v>
      </c>
      <c r="C23" s="307"/>
      <c r="D23" s="307"/>
      <c r="E23" s="460" t="s">
        <v>980</v>
      </c>
      <c r="F23" s="307" t="s">
        <v>980</v>
      </c>
      <c r="H23" s="452" t="s">
        <v>971</v>
      </c>
      <c r="I23" s="479">
        <v>44064</v>
      </c>
      <c r="J23" s="307" t="s">
        <v>434</v>
      </c>
      <c r="K23" s="307" t="str">
        <f>IFERROR(VLOOKUP(J23,'Base de Monedas'!A:B,2,0),"")</f>
        <v>Guaraní</v>
      </c>
      <c r="L23" s="711">
        <v>936815.70900000003</v>
      </c>
      <c r="M23" s="307" t="s">
        <v>979</v>
      </c>
      <c r="N23" s="503"/>
      <c r="O23" s="509"/>
    </row>
    <row r="24" spans="1:15" s="452" customFormat="1" ht="15" customHeight="1" x14ac:dyDescent="0.25">
      <c r="A24" s="452" t="s">
        <v>974</v>
      </c>
      <c r="B24" s="480">
        <v>44559</v>
      </c>
      <c r="C24" s="307" t="s">
        <v>434</v>
      </c>
      <c r="D24" s="307" t="str">
        <f>IFERROR(VLOOKUP(C24,'Base de Monedas'!A:B,2,0),"")</f>
        <v>Guaraní</v>
      </c>
      <c r="E24" s="485">
        <v>2291311.594</v>
      </c>
      <c r="F24" s="307" t="s">
        <v>979</v>
      </c>
      <c r="H24" s="452" t="s">
        <v>971</v>
      </c>
      <c r="I24" s="307" t="s">
        <v>980</v>
      </c>
      <c r="J24" s="307"/>
      <c r="K24" s="307" t="s">
        <v>980</v>
      </c>
      <c r="L24" s="508" t="s">
        <v>980</v>
      </c>
      <c r="M24" s="307" t="s">
        <v>980</v>
      </c>
      <c r="N24" s="503"/>
      <c r="O24" s="509"/>
    </row>
    <row r="25" spans="1:15" s="452" customFormat="1" ht="15" customHeight="1" x14ac:dyDescent="0.25">
      <c r="A25" s="452" t="s">
        <v>974</v>
      </c>
      <c r="B25" s="479" t="s">
        <v>980</v>
      </c>
      <c r="C25" s="307"/>
      <c r="D25" s="307"/>
      <c r="E25" s="460" t="s">
        <v>980</v>
      </c>
      <c r="F25" s="307" t="s">
        <v>980</v>
      </c>
      <c r="H25" s="452" t="s">
        <v>972</v>
      </c>
      <c r="I25" s="479">
        <v>44310</v>
      </c>
      <c r="J25" s="307" t="s">
        <v>434</v>
      </c>
      <c r="K25" s="307" t="str">
        <f>IFERROR(VLOOKUP(J25,'Base de Monedas'!A:B,2,0),"")</f>
        <v>Guaraní</v>
      </c>
      <c r="L25" s="711">
        <v>8133333.3339999998</v>
      </c>
      <c r="M25" s="307" t="s">
        <v>979</v>
      </c>
      <c r="N25" s="503"/>
      <c r="O25" s="509"/>
    </row>
    <row r="26" spans="1:15" s="452" customFormat="1" ht="15" customHeight="1" x14ac:dyDescent="0.25">
      <c r="A26" s="452" t="s">
        <v>974</v>
      </c>
      <c r="B26" s="479" t="s">
        <v>980</v>
      </c>
      <c r="C26" s="307"/>
      <c r="D26" s="307"/>
      <c r="E26" s="460" t="s">
        <v>980</v>
      </c>
      <c r="F26" s="307" t="s">
        <v>980</v>
      </c>
      <c r="H26" s="452" t="s">
        <v>974</v>
      </c>
      <c r="I26" s="480">
        <v>44191</v>
      </c>
      <c r="J26" s="307" t="s">
        <v>434</v>
      </c>
      <c r="K26" s="307" t="str">
        <f>IFERROR(VLOOKUP(J26,'Base de Monedas'!A:B,2,0),"")</f>
        <v>Guaraní</v>
      </c>
      <c r="L26" s="712">
        <v>945557.16799999995</v>
      </c>
      <c r="M26" s="307" t="s">
        <v>979</v>
      </c>
      <c r="N26" s="503"/>
      <c r="O26" s="509"/>
    </row>
    <row r="27" spans="1:15" s="452" customFormat="1" ht="15" customHeight="1" x14ac:dyDescent="0.25">
      <c r="A27" s="452" t="s">
        <v>976</v>
      </c>
      <c r="B27" s="479" t="s">
        <v>980</v>
      </c>
      <c r="C27" s="307"/>
      <c r="D27" s="307"/>
      <c r="E27" s="460" t="s">
        <v>980</v>
      </c>
      <c r="F27" s="307" t="s">
        <v>980</v>
      </c>
      <c r="H27" s="452" t="s">
        <v>974</v>
      </c>
      <c r="I27" s="505">
        <v>44279</v>
      </c>
      <c r="J27" s="307" t="s">
        <v>434</v>
      </c>
      <c r="K27" s="307" t="str">
        <f>IFERROR(VLOOKUP(J27,'Base de Monedas'!A:B,2,0),"")</f>
        <v>Guaraní</v>
      </c>
      <c r="L27" s="711">
        <v>1516522.5290000001</v>
      </c>
      <c r="M27" s="307" t="s">
        <v>979</v>
      </c>
      <c r="N27" s="503"/>
      <c r="O27" s="509"/>
    </row>
    <row r="28" spans="1:15" s="452" customFormat="1" ht="15" customHeight="1" x14ac:dyDescent="0.25">
      <c r="A28" s="452" t="s">
        <v>976</v>
      </c>
      <c r="B28" s="480">
        <v>44530</v>
      </c>
      <c r="C28" s="307" t="s">
        <v>434</v>
      </c>
      <c r="D28" s="307" t="str">
        <f>IFERROR(VLOOKUP(C28,'Base de Monedas'!A:B,2,0),"")</f>
        <v>Guaraní</v>
      </c>
      <c r="E28" s="706">
        <v>4469551.2319999998</v>
      </c>
      <c r="F28" s="307" t="s">
        <v>979</v>
      </c>
      <c r="H28" s="452" t="s">
        <v>974</v>
      </c>
      <c r="I28" s="307" t="s">
        <v>980</v>
      </c>
      <c r="J28" s="307"/>
      <c r="K28" s="307" t="s">
        <v>980</v>
      </c>
      <c r="L28" s="508" t="s">
        <v>980</v>
      </c>
      <c r="M28" s="307" t="s">
        <v>980</v>
      </c>
      <c r="N28" s="503"/>
      <c r="O28" s="509"/>
    </row>
    <row r="29" spans="1:15" s="452" customFormat="1" ht="15" customHeight="1" x14ac:dyDescent="0.25">
      <c r="A29" s="452" t="s">
        <v>976</v>
      </c>
      <c r="B29" s="480">
        <v>44642</v>
      </c>
      <c r="C29" s="307" t="s">
        <v>434</v>
      </c>
      <c r="D29" s="307" t="str">
        <f>IFERROR(VLOOKUP(C29,'Base de Monedas'!A:B,2,0),"")</f>
        <v>Guaraní</v>
      </c>
      <c r="E29" s="706">
        <v>4837373.2659999998</v>
      </c>
      <c r="F29" s="307" t="s">
        <v>979</v>
      </c>
      <c r="H29" s="452" t="s">
        <v>976</v>
      </c>
      <c r="I29" s="479">
        <v>44339</v>
      </c>
      <c r="J29" s="307" t="s">
        <v>434</v>
      </c>
      <c r="K29" s="307" t="str">
        <f>IFERROR(VLOOKUP(J29,'Base de Monedas'!A:B,2,0),"")</f>
        <v>Guaraní</v>
      </c>
      <c r="L29" s="711">
        <v>7461124.2060000002</v>
      </c>
      <c r="M29" s="307" t="s">
        <v>979</v>
      </c>
      <c r="N29" s="503"/>
      <c r="O29" s="509"/>
    </row>
    <row r="30" spans="1:15" s="452" customFormat="1" ht="15" customHeight="1" x14ac:dyDescent="0.25">
      <c r="A30" s="452" t="s">
        <v>981</v>
      </c>
      <c r="B30" s="479">
        <v>43945</v>
      </c>
      <c r="C30" s="307" t="s">
        <v>434</v>
      </c>
      <c r="D30" s="307" t="str">
        <f>IFERROR(VLOOKUP(C30,'Base de Monedas'!A:B,2,0),"")</f>
        <v>Guaraní</v>
      </c>
      <c r="E30" s="460">
        <v>10000000</v>
      </c>
      <c r="F30" s="307" t="s">
        <v>979</v>
      </c>
      <c r="H30" s="452" t="s">
        <v>976</v>
      </c>
      <c r="I30" s="307" t="s">
        <v>980</v>
      </c>
      <c r="J30" s="307"/>
      <c r="K30" s="307" t="s">
        <v>980</v>
      </c>
      <c r="L30" s="508" t="s">
        <v>980</v>
      </c>
      <c r="M30" s="307" t="s">
        <v>980</v>
      </c>
      <c r="N30" s="503"/>
      <c r="O30" s="509"/>
    </row>
    <row r="31" spans="1:15" s="452" customFormat="1" ht="15" customHeight="1" x14ac:dyDescent="0.25">
      <c r="A31" s="452" t="s">
        <v>981</v>
      </c>
      <c r="B31" s="479" t="s">
        <v>980</v>
      </c>
      <c r="C31" s="307"/>
      <c r="D31" s="307"/>
      <c r="E31" s="460" t="s">
        <v>980</v>
      </c>
      <c r="F31" s="307" t="s">
        <v>980</v>
      </c>
      <c r="H31" s="452" t="s">
        <v>976</v>
      </c>
      <c r="I31" s="307" t="s">
        <v>980</v>
      </c>
      <c r="J31" s="307"/>
      <c r="K31" s="307" t="s">
        <v>980</v>
      </c>
      <c r="L31" s="508" t="s">
        <v>980</v>
      </c>
      <c r="M31" s="307" t="s">
        <v>980</v>
      </c>
      <c r="N31" s="503"/>
      <c r="O31" s="509"/>
    </row>
    <row r="32" spans="1:15" s="452" customFormat="1" ht="15" customHeight="1" x14ac:dyDescent="0.25">
      <c r="A32" s="452" t="s">
        <v>982</v>
      </c>
      <c r="B32" s="479" t="s">
        <v>980</v>
      </c>
      <c r="C32" s="307"/>
      <c r="D32" s="307"/>
      <c r="E32" s="460" t="s">
        <v>980</v>
      </c>
      <c r="F32" s="307" t="s">
        <v>980</v>
      </c>
      <c r="H32" s="452" t="s">
        <v>981</v>
      </c>
      <c r="I32" s="307" t="s">
        <v>980</v>
      </c>
      <c r="J32" s="307"/>
      <c r="K32" s="307" t="s">
        <v>980</v>
      </c>
      <c r="L32" s="508" t="s">
        <v>980</v>
      </c>
      <c r="M32" s="307" t="s">
        <v>980</v>
      </c>
      <c r="N32" s="503"/>
      <c r="O32" s="509"/>
    </row>
    <row r="33" spans="1:15" s="452" customFormat="1" ht="15" customHeight="1" x14ac:dyDescent="0.25">
      <c r="A33" s="452" t="s">
        <v>982</v>
      </c>
      <c r="B33" s="479" t="s">
        <v>980</v>
      </c>
      <c r="C33" s="307"/>
      <c r="D33" s="307"/>
      <c r="E33" s="460" t="s">
        <v>980</v>
      </c>
      <c r="F33" s="307" t="s">
        <v>980</v>
      </c>
      <c r="H33" s="452" t="s">
        <v>981</v>
      </c>
      <c r="I33" s="307" t="s">
        <v>980</v>
      </c>
      <c r="J33" s="307"/>
      <c r="K33" s="307" t="s">
        <v>980</v>
      </c>
      <c r="L33" s="508" t="s">
        <v>980</v>
      </c>
      <c r="M33" s="307" t="s">
        <v>980</v>
      </c>
      <c r="N33" s="503"/>
      <c r="O33" s="509"/>
    </row>
    <row r="34" spans="1:15" s="452" customFormat="1" ht="15" customHeight="1" x14ac:dyDescent="0.25">
      <c r="A34" s="452" t="s">
        <v>982</v>
      </c>
      <c r="B34" s="479" t="s">
        <v>980</v>
      </c>
      <c r="C34" s="307"/>
      <c r="D34" s="307"/>
      <c r="E34" s="460" t="s">
        <v>980</v>
      </c>
      <c r="F34" s="307" t="s">
        <v>980</v>
      </c>
      <c r="H34" s="452" t="s">
        <v>982</v>
      </c>
      <c r="I34" s="479">
        <v>44068</v>
      </c>
      <c r="J34" s="307" t="s">
        <v>434</v>
      </c>
      <c r="K34" s="307" t="str">
        <f>IFERROR(VLOOKUP(J34,'Base de Monedas'!A:B,2,0),"")</f>
        <v>Guaraní</v>
      </c>
      <c r="L34" s="711">
        <v>739301.61499999999</v>
      </c>
      <c r="M34" s="307" t="s">
        <v>979</v>
      </c>
      <c r="N34" s="503"/>
      <c r="O34" s="509"/>
    </row>
    <row r="35" spans="1:15" s="452" customFormat="1" ht="15" customHeight="1" x14ac:dyDescent="0.25">
      <c r="A35" s="452" t="s">
        <v>982</v>
      </c>
      <c r="B35" s="479" t="s">
        <v>980</v>
      </c>
      <c r="C35" s="307"/>
      <c r="D35" s="307"/>
      <c r="E35" s="460" t="s">
        <v>980</v>
      </c>
      <c r="F35" s="307" t="s">
        <v>980</v>
      </c>
      <c r="H35" s="452" t="s">
        <v>982</v>
      </c>
      <c r="I35" s="479">
        <v>44190</v>
      </c>
      <c r="J35" s="307" t="s">
        <v>434</v>
      </c>
      <c r="K35" s="307" t="str">
        <f>IFERROR(VLOOKUP(J35,'Base de Monedas'!A:B,2,0),"")</f>
        <v>Guaraní</v>
      </c>
      <c r="L35" s="712">
        <v>599510.73100000003</v>
      </c>
      <c r="M35" s="307" t="s">
        <v>979</v>
      </c>
      <c r="N35" s="503"/>
      <c r="O35" s="509"/>
    </row>
    <row r="36" spans="1:15" s="452" customFormat="1" ht="15" customHeight="1" x14ac:dyDescent="0.25">
      <c r="A36" s="452" t="s">
        <v>983</v>
      </c>
      <c r="B36" s="479" t="s">
        <v>980</v>
      </c>
      <c r="C36" s="307"/>
      <c r="D36" s="307"/>
      <c r="E36" s="460" t="s">
        <v>980</v>
      </c>
      <c r="F36" s="307" t="s">
        <v>980</v>
      </c>
      <c r="H36" s="452" t="s">
        <v>982</v>
      </c>
      <c r="I36" s="479">
        <v>44252</v>
      </c>
      <c r="J36" s="307" t="s">
        <v>434</v>
      </c>
      <c r="K36" s="307" t="str">
        <f>IFERROR(VLOOKUP(J36,'Base de Monedas'!A:B,2,0),"")</f>
        <v>Guaraní</v>
      </c>
      <c r="L36" s="712">
        <v>724836.02</v>
      </c>
      <c r="M36" s="307" t="s">
        <v>979</v>
      </c>
      <c r="N36" s="503"/>
      <c r="O36" s="509"/>
    </row>
    <row r="37" spans="1:15" s="452" customFormat="1" ht="15" customHeight="1" x14ac:dyDescent="0.25">
      <c r="A37" s="452" t="s">
        <v>984</v>
      </c>
      <c r="B37" s="480">
        <v>44648</v>
      </c>
      <c r="C37" s="307" t="s">
        <v>434</v>
      </c>
      <c r="D37" s="307" t="str">
        <f>IFERROR(VLOOKUP(C37,'Base de Monedas'!A:B,2,0),"")</f>
        <v>Guaraní</v>
      </c>
      <c r="E37" s="706">
        <v>7571296.0920000002</v>
      </c>
      <c r="F37" s="307" t="s">
        <v>979</v>
      </c>
      <c r="H37" s="702" t="s">
        <v>983</v>
      </c>
      <c r="I37" s="479">
        <v>44202</v>
      </c>
      <c r="J37" s="307" t="s">
        <v>434</v>
      </c>
      <c r="K37" s="307" t="str">
        <f>IFERROR(VLOOKUP(J37,'Base de Monedas'!A:B,2,0),"")</f>
        <v>Guaraní</v>
      </c>
      <c r="L37" s="712">
        <v>5170348.3619999997</v>
      </c>
      <c r="M37" s="307" t="s">
        <v>979</v>
      </c>
      <c r="N37" s="503"/>
      <c r="O37" s="509"/>
    </row>
    <row r="38" spans="1:15" s="452" customFormat="1" ht="15" customHeight="1" x14ac:dyDescent="0.25">
      <c r="A38" s="452" t="s">
        <v>984</v>
      </c>
      <c r="B38" s="479" t="s">
        <v>980</v>
      </c>
      <c r="C38" s="307"/>
      <c r="D38" s="307"/>
      <c r="E38" s="460" t="s">
        <v>980</v>
      </c>
      <c r="F38" s="307" t="s">
        <v>980</v>
      </c>
      <c r="H38" s="452" t="s">
        <v>983</v>
      </c>
      <c r="I38" s="479">
        <v>44106</v>
      </c>
      <c r="J38" s="307" t="s">
        <v>434</v>
      </c>
      <c r="K38" s="307" t="str">
        <f>IFERROR(VLOOKUP(J38,'Base de Monedas'!A:B,2,0),"")</f>
        <v>Guaraní</v>
      </c>
      <c r="L38" s="711">
        <v>10076316.614</v>
      </c>
      <c r="M38" s="307" t="s">
        <v>979</v>
      </c>
      <c r="N38" s="503"/>
      <c r="O38" s="509"/>
    </row>
    <row r="39" spans="1:15" s="452" customFormat="1" ht="15" customHeight="1" x14ac:dyDescent="0.25">
      <c r="A39" s="452" t="s">
        <v>975</v>
      </c>
      <c r="B39" s="480">
        <v>44530</v>
      </c>
      <c r="C39" s="307" t="s">
        <v>434</v>
      </c>
      <c r="D39" s="307" t="str">
        <f>IFERROR(VLOOKUP(C39,'Base de Monedas'!A:B,2,0),"")</f>
        <v>Guaraní</v>
      </c>
      <c r="E39" s="706">
        <v>2641081.4309999999</v>
      </c>
      <c r="F39" s="307" t="s">
        <v>979</v>
      </c>
      <c r="H39" s="452" t="s">
        <v>1289</v>
      </c>
      <c r="I39" s="479">
        <v>44103</v>
      </c>
      <c r="J39" s="307" t="s">
        <v>434</v>
      </c>
      <c r="K39" s="307" t="str">
        <f>IFERROR(VLOOKUP(J39,'Base de Monedas'!A:B,2,0),"")</f>
        <v>Guaraní</v>
      </c>
      <c r="L39" s="711">
        <v>2637446.2949999999</v>
      </c>
      <c r="M39" s="307" t="s">
        <v>979</v>
      </c>
      <c r="N39" s="503"/>
      <c r="O39" s="509"/>
    </row>
    <row r="40" spans="1:15" s="452" customFormat="1" ht="15" customHeight="1" x14ac:dyDescent="0.25">
      <c r="A40" s="702" t="s">
        <v>975</v>
      </c>
      <c r="B40" s="481">
        <v>44741</v>
      </c>
      <c r="C40" s="307" t="s">
        <v>434</v>
      </c>
      <c r="D40" s="307" t="str">
        <f>IFERROR(VLOOKUP(C40,'Base de Monedas'!A:B,2,0),"")</f>
        <v>Guaraní</v>
      </c>
      <c r="E40" s="706">
        <v>5768940.8269999996</v>
      </c>
      <c r="F40" s="307" t="s">
        <v>979</v>
      </c>
      <c r="H40" s="702" t="s">
        <v>1289</v>
      </c>
      <c r="I40" s="479">
        <v>44165</v>
      </c>
      <c r="J40" s="307" t="s">
        <v>434</v>
      </c>
      <c r="K40" s="307" t="str">
        <f>IFERROR(VLOOKUP(J40,'Base de Monedas'!A:B,2,0),"")</f>
        <v>Guaraní</v>
      </c>
      <c r="L40" s="711">
        <v>1305758.585</v>
      </c>
      <c r="M40" s="307" t="s">
        <v>979</v>
      </c>
      <c r="N40" s="503"/>
      <c r="O40" s="509"/>
    </row>
    <row r="41" spans="1:15" s="452" customFormat="1" ht="15" customHeight="1" x14ac:dyDescent="0.25">
      <c r="A41" s="702" t="s">
        <v>985</v>
      </c>
      <c r="B41" s="481" t="s">
        <v>980</v>
      </c>
      <c r="C41" s="307"/>
      <c r="D41" s="307"/>
      <c r="E41" s="481" t="s">
        <v>980</v>
      </c>
      <c r="F41" s="481" t="s">
        <v>980</v>
      </c>
      <c r="H41" s="452" t="s">
        <v>975</v>
      </c>
      <c r="I41" s="479">
        <v>44282</v>
      </c>
      <c r="J41" s="307" t="s">
        <v>434</v>
      </c>
      <c r="K41" s="307" t="str">
        <f>IFERROR(VLOOKUP(J41,'Base de Monedas'!A:B,2,0),"")</f>
        <v>Guaraní</v>
      </c>
      <c r="L41" s="711">
        <v>2377698.6</v>
      </c>
      <c r="M41" s="307" t="s">
        <v>979</v>
      </c>
      <c r="N41" s="503"/>
      <c r="O41" s="509"/>
    </row>
    <row r="42" spans="1:15" ht="15" customHeight="1" x14ac:dyDescent="0.25">
      <c r="A42" s="702" t="s">
        <v>985</v>
      </c>
      <c r="B42" s="481" t="s">
        <v>980</v>
      </c>
      <c r="C42" s="307"/>
      <c r="E42" s="481" t="s">
        <v>980</v>
      </c>
      <c r="F42" s="481" t="s">
        <v>980</v>
      </c>
      <c r="H42" s="452" t="s">
        <v>985</v>
      </c>
      <c r="I42" s="479">
        <v>44279</v>
      </c>
      <c r="J42" s="307" t="s">
        <v>434</v>
      </c>
      <c r="K42" s="307" t="str">
        <f>IFERROR(VLOOKUP(J42,'Base de Monedas'!A:B,2,0),"")</f>
        <v>Guaraní</v>
      </c>
      <c r="L42" s="712">
        <v>4934756.0180000002</v>
      </c>
      <c r="M42" s="307" t="s">
        <v>979</v>
      </c>
    </row>
    <row r="43" spans="1:15" ht="15" customHeight="1" x14ac:dyDescent="0.25">
      <c r="A43" s="452" t="s">
        <v>985</v>
      </c>
      <c r="B43" s="481" t="s">
        <v>980</v>
      </c>
      <c r="C43" s="307"/>
      <c r="E43" s="481" t="s">
        <v>980</v>
      </c>
      <c r="F43" s="481" t="s">
        <v>980</v>
      </c>
      <c r="H43" s="452" t="s">
        <v>985</v>
      </c>
      <c r="I43" s="307" t="s">
        <v>980</v>
      </c>
      <c r="J43" s="307"/>
      <c r="K43" s="307" t="s">
        <v>980</v>
      </c>
      <c r="L43" s="508" t="s">
        <v>980</v>
      </c>
      <c r="M43" s="307" t="s">
        <v>980</v>
      </c>
    </row>
    <row r="44" spans="1:15" ht="15" customHeight="1" x14ac:dyDescent="0.25">
      <c r="A44" s="506" t="s">
        <v>1016</v>
      </c>
      <c r="B44" s="307">
        <v>2021</v>
      </c>
      <c r="C44" s="307" t="s">
        <v>434</v>
      </c>
      <c r="D44" s="307" t="str">
        <f>IFERROR(VLOOKUP(C44,'Base de Monedas'!A:B,2,0),"")</f>
        <v>Guaraní</v>
      </c>
      <c r="E44" s="483">
        <v>71972589.297000006</v>
      </c>
      <c r="F44" s="307" t="s">
        <v>1017</v>
      </c>
      <c r="H44" s="506" t="s">
        <v>1016</v>
      </c>
      <c r="I44" s="307">
        <v>2021</v>
      </c>
      <c r="J44" s="307" t="s">
        <v>434</v>
      </c>
      <c r="K44" s="307" t="str">
        <f>IFERROR(VLOOKUP(J44,'Base de Monedas'!A:B,2,0),"")</f>
        <v>Guaraní</v>
      </c>
      <c r="L44" s="460">
        <v>30538721.684999999</v>
      </c>
      <c r="M44" s="307" t="s">
        <v>1017</v>
      </c>
    </row>
    <row r="45" spans="1:15" ht="15" customHeight="1" x14ac:dyDescent="0.25">
      <c r="A45" s="506" t="s">
        <v>1040</v>
      </c>
      <c r="B45" s="307">
        <v>2022</v>
      </c>
      <c r="C45" s="307" t="s">
        <v>434</v>
      </c>
      <c r="D45" s="307" t="str">
        <f>IFERROR(VLOOKUP(C45,'Base de Monedas'!A:B,2,0),"")</f>
        <v>Guaraní</v>
      </c>
      <c r="E45" s="460">
        <v>19437801.795000002</v>
      </c>
      <c r="F45" s="307" t="s">
        <v>1017</v>
      </c>
      <c r="H45" s="506" t="s">
        <v>1040</v>
      </c>
      <c r="I45" s="480">
        <v>2021</v>
      </c>
      <c r="J45" s="307" t="s">
        <v>434</v>
      </c>
      <c r="K45" s="307" t="str">
        <f>IFERROR(VLOOKUP(J45,'[7]Base de Monedas'!A$1:B$65536,2,0),"")</f>
        <v>Guaraní</v>
      </c>
      <c r="L45" s="460">
        <v>23352386.897</v>
      </c>
      <c r="M45" s="460" t="s">
        <v>1017</v>
      </c>
    </row>
    <row r="46" spans="1:15" ht="15" customHeight="1" x14ac:dyDescent="0.25">
      <c r="A46" s="327" t="s">
        <v>123</v>
      </c>
      <c r="B46" s="307" t="s">
        <v>973</v>
      </c>
      <c r="C46" s="307"/>
      <c r="D46" s="307" t="str">
        <f>IFERROR(VLOOKUP(C46,'Base de Monedas'!A:B,2,0),"")</f>
        <v/>
      </c>
      <c r="J46" s="307"/>
      <c r="K46" s="295" t="str">
        <f>IFERROR(VLOOKUP(J46,'Base de Monedas'!A:B,2,0),"")</f>
        <v/>
      </c>
    </row>
    <row r="47" spans="1:15" ht="15" customHeight="1" x14ac:dyDescent="0.25">
      <c r="A47" s="129" t="s">
        <v>843</v>
      </c>
      <c r="B47" s="307"/>
      <c r="C47" s="307"/>
      <c r="D47" s="307" t="str">
        <f>IFERROR(VLOOKUP(C47,'Base de Monedas'!A:B,2,0),"")</f>
        <v/>
      </c>
      <c r="H47" s="129" t="s">
        <v>843</v>
      </c>
      <c r="J47" s="307"/>
      <c r="K47" s="295" t="str">
        <f>IFERROR(VLOOKUP(J47,'Base de Monedas'!A:B,2,0),"")</f>
        <v/>
      </c>
    </row>
    <row r="48" spans="1:15" ht="15" customHeight="1" x14ac:dyDescent="0.25">
      <c r="A48" s="295" t="s">
        <v>841</v>
      </c>
      <c r="B48" s="307" t="s">
        <v>973</v>
      </c>
      <c r="C48" s="307"/>
      <c r="D48" s="307" t="str">
        <f>IFERROR(VLOOKUP(C48,'Base de Monedas'!A:B,2,0),"")</f>
        <v/>
      </c>
      <c r="E48" s="307" t="s">
        <v>980</v>
      </c>
      <c r="H48" s="452" t="s">
        <v>841</v>
      </c>
      <c r="I48" s="307" t="s">
        <v>973</v>
      </c>
      <c r="J48" s="307"/>
      <c r="K48" s="295" t="str">
        <f>IFERROR(VLOOKUP(J48,'Base de Monedas'!A:B,2,0),"")</f>
        <v/>
      </c>
    </row>
    <row r="49" spans="1:17" ht="15" customHeight="1" x14ac:dyDescent="0.25">
      <c r="A49" s="295" t="s">
        <v>841</v>
      </c>
      <c r="B49" s="307" t="s">
        <v>973</v>
      </c>
      <c r="C49" s="307"/>
      <c r="D49" s="307" t="str">
        <f>IFERROR(VLOOKUP(C49,'Base de Monedas'!A:B,2,0),"")</f>
        <v/>
      </c>
      <c r="H49" s="452" t="s">
        <v>841</v>
      </c>
      <c r="I49" s="307" t="s">
        <v>973</v>
      </c>
      <c r="J49" s="307"/>
      <c r="K49" s="295" t="str">
        <f>IFERROR(VLOOKUP(J49,'Base de Monedas'!A:B,2,0),"")</f>
        <v/>
      </c>
    </row>
    <row r="50" spans="1:17" ht="15" customHeight="1" x14ac:dyDescent="0.25">
      <c r="A50" s="327" t="s">
        <v>122</v>
      </c>
      <c r="B50" s="307" t="s">
        <v>973</v>
      </c>
      <c r="C50" s="307"/>
      <c r="D50" s="307" t="str">
        <f>IFERROR(VLOOKUP(C50,'Base de Monedas'!A:B,2,0),"")</f>
        <v/>
      </c>
      <c r="H50" s="327" t="s">
        <v>122</v>
      </c>
      <c r="I50" s="307" t="s">
        <v>973</v>
      </c>
      <c r="J50" s="307"/>
      <c r="K50" s="295" t="str">
        <f>IFERROR(VLOOKUP(J50,'Base de Monedas'!A:B,2,0),"")</f>
        <v/>
      </c>
    </row>
    <row r="51" spans="1:17" ht="15" customHeight="1" x14ac:dyDescent="0.25">
      <c r="A51" t="s">
        <v>253</v>
      </c>
      <c r="B51" s="307" t="s">
        <v>973</v>
      </c>
      <c r="C51" s="307"/>
      <c r="D51" s="307" t="str">
        <f>IFERROR(VLOOKUP(C51,'Base de Monedas'!A:B,2,0),"")</f>
        <v/>
      </c>
      <c r="H51" s="452" t="s">
        <v>253</v>
      </c>
      <c r="I51" s="307" t="s">
        <v>973</v>
      </c>
      <c r="J51" s="307"/>
      <c r="K51" s="295" t="str">
        <f>IFERROR(VLOOKUP(J51,'Base de Monedas'!A:B,2,0),"")</f>
        <v/>
      </c>
    </row>
    <row r="52" spans="1:17" ht="15" customHeight="1" x14ac:dyDescent="0.25">
      <c r="A52" s="327" t="s">
        <v>123</v>
      </c>
      <c r="B52" s="307" t="s">
        <v>973</v>
      </c>
      <c r="C52" s="307"/>
      <c r="D52" s="307" t="str">
        <f>IFERROR(VLOOKUP(C52,'Base de Monedas'!A:B,2,0),"")</f>
        <v/>
      </c>
      <c r="E52" s="460"/>
      <c r="H52" s="327" t="s">
        <v>123</v>
      </c>
      <c r="I52" s="307" t="s">
        <v>973</v>
      </c>
      <c r="J52" s="307"/>
      <c r="K52" s="295" t="str">
        <f>IFERROR(VLOOKUP(J52,'Base de Monedas'!A:B,2,0),"")</f>
        <v/>
      </c>
      <c r="N52" s="510"/>
      <c r="O52" s="510"/>
      <c r="Q52" s="455"/>
    </row>
    <row r="53" spans="1:17" s="295" customFormat="1" ht="15" customHeight="1" x14ac:dyDescent="0.25">
      <c r="A53" s="99" t="s">
        <v>846</v>
      </c>
      <c r="B53" s="307"/>
      <c r="C53" s="307"/>
      <c r="D53" s="307"/>
      <c r="E53" s="460"/>
      <c r="F53"/>
      <c r="H53" s="99" t="s">
        <v>846</v>
      </c>
      <c r="I53" s="307"/>
      <c r="J53" s="307"/>
      <c r="K53" s="295" t="str">
        <f>IFERROR(VLOOKUP(J53,'Base de Monedas'!A:B,2,0),"")</f>
        <v/>
      </c>
      <c r="L53"/>
      <c r="M53"/>
      <c r="N53" s="503"/>
      <c r="O53" s="509"/>
      <c r="Q53" s="455"/>
    </row>
    <row r="54" spans="1:17" s="452" customFormat="1" ht="15" customHeight="1" x14ac:dyDescent="0.25">
      <c r="A54" t="s">
        <v>844</v>
      </c>
      <c r="B54" s="307"/>
      <c r="C54" s="307" t="s">
        <v>434</v>
      </c>
      <c r="D54" s="307" t="str">
        <f>IFERROR(VLOOKUP(C54,'Base de Monedas'!A:B,2,0),"")</f>
        <v>Guaraní</v>
      </c>
      <c r="E54" s="460">
        <v>1316708.9380000001</v>
      </c>
      <c r="F54"/>
      <c r="H54" s="452" t="s">
        <v>844</v>
      </c>
      <c r="I54" s="307"/>
      <c r="J54" s="307" t="s">
        <v>434</v>
      </c>
      <c r="K54" s="295" t="str">
        <f>IFERROR(VLOOKUP(J54,'Base de Monedas'!A:B,2,0),"")</f>
        <v>Guaraní</v>
      </c>
      <c r="L54" s="460">
        <v>3740163.5350000001</v>
      </c>
      <c r="M54"/>
      <c r="N54" s="503"/>
      <c r="O54" s="509"/>
    </row>
    <row r="55" spans="1:17" s="452" customFormat="1" ht="15" customHeight="1" x14ac:dyDescent="0.25">
      <c r="A55" s="295" t="s">
        <v>847</v>
      </c>
      <c r="B55" s="307"/>
      <c r="C55" s="307" t="s">
        <v>434</v>
      </c>
      <c r="D55" s="307" t="str">
        <f>IFERROR(VLOOKUP(C55,'Base de Monedas'!A:B,2,0),"")</f>
        <v>Guaraní</v>
      </c>
      <c r="E55" s="460">
        <v>-1293728.7009999999</v>
      </c>
      <c r="F55" s="460"/>
      <c r="H55" s="452" t="s">
        <v>847</v>
      </c>
      <c r="I55" s="307"/>
      <c r="J55" s="307" t="s">
        <v>434</v>
      </c>
      <c r="K55" s="452" t="str">
        <f>IFERROR(VLOOKUP(J55,'Base de Monedas'!A:B,2,0),"")</f>
        <v>Guaraní</v>
      </c>
      <c r="L55" s="460">
        <v>-3125838.699</v>
      </c>
      <c r="M55" s="295"/>
      <c r="N55" s="503"/>
      <c r="O55" s="509"/>
    </row>
    <row r="56" spans="1:17" s="452" customFormat="1" ht="15" customHeight="1" x14ac:dyDescent="0.25">
      <c r="A56" s="99" t="s">
        <v>1016</v>
      </c>
      <c r="B56" s="307"/>
      <c r="C56" s="307"/>
      <c r="D56" s="307"/>
      <c r="E56" s="460"/>
      <c r="F56" s="460"/>
      <c r="H56" s="99" t="s">
        <v>1016</v>
      </c>
      <c r="I56" s="307"/>
      <c r="J56" s="307"/>
      <c r="L56" s="460"/>
      <c r="N56" s="503"/>
      <c r="O56" s="509"/>
    </row>
    <row r="57" spans="1:17" s="452" customFormat="1" ht="15" customHeight="1" x14ac:dyDescent="0.25">
      <c r="A57" s="452" t="s">
        <v>844</v>
      </c>
      <c r="B57" s="307"/>
      <c r="C57" s="307" t="s">
        <v>434</v>
      </c>
      <c r="D57" s="307" t="str">
        <f>IFERROR(VLOOKUP(C57,'Base de Monedas'!A:B,2,0),"")</f>
        <v>Guaraní</v>
      </c>
      <c r="E57" s="460">
        <v>5525630.7139999997</v>
      </c>
      <c r="F57" s="460"/>
      <c r="H57" s="452" t="s">
        <v>844</v>
      </c>
      <c r="I57" s="307"/>
      <c r="J57" s="307" t="s">
        <v>434</v>
      </c>
      <c r="K57" s="452" t="str">
        <f>IFERROR(VLOOKUP(J57,'Base de Monedas'!A:B,2,0),"")</f>
        <v>Guaraní</v>
      </c>
      <c r="L57" s="460">
        <v>2344457.4539999999</v>
      </c>
      <c r="N57" s="503"/>
      <c r="O57" s="509"/>
    </row>
    <row r="58" spans="1:17" ht="15" customHeight="1" x14ac:dyDescent="0.25">
      <c r="A58" s="452" t="s">
        <v>847</v>
      </c>
      <c r="B58" s="307"/>
      <c r="C58" s="307" t="s">
        <v>434</v>
      </c>
      <c r="D58" s="307" t="str">
        <f>IFERROR(VLOOKUP(C58,'Base de Monedas'!A:B,2,0),"")</f>
        <v>Guaraní</v>
      </c>
      <c r="E58" s="460">
        <v>-4158674.7740000002</v>
      </c>
      <c r="F58" s="460"/>
      <c r="H58" s="452" t="s">
        <v>847</v>
      </c>
      <c r="J58" s="307" t="s">
        <v>434</v>
      </c>
      <c r="K58" s="452" t="str">
        <f>IFERROR(VLOOKUP(J58,'Base de Monedas'!A:B,2,0),"")</f>
        <v>Guaraní</v>
      </c>
      <c r="L58" s="460">
        <v>-1958231.031</v>
      </c>
      <c r="M58" s="452"/>
    </row>
    <row r="59" spans="1:17" ht="15" customHeight="1" x14ac:dyDescent="0.25">
      <c r="A59" s="506" t="s">
        <v>1041</v>
      </c>
      <c r="B59" s="307"/>
      <c r="C59" s="307" t="s">
        <v>434</v>
      </c>
      <c r="D59" s="307" t="str">
        <f>IFERROR(VLOOKUP(C59,'Base de Monedas'!A:B,2,0),"")</f>
        <v>Guaraní</v>
      </c>
      <c r="E59" s="460">
        <v>91224.377999999997</v>
      </c>
      <c r="F59" s="460"/>
      <c r="H59" s="506" t="s">
        <v>1041</v>
      </c>
      <c r="J59" s="307" t="s">
        <v>434</v>
      </c>
      <c r="K59" s="452" t="str">
        <f>IFERROR(VLOOKUP(J59,'Base de Monedas'!A:B,2,0),"")</f>
        <v>Guaraní</v>
      </c>
      <c r="L59" s="460">
        <v>113495.413</v>
      </c>
      <c r="M59" s="452"/>
    </row>
    <row r="60" spans="1:17" ht="15" customHeight="1" x14ac:dyDescent="0.25">
      <c r="A60" s="99" t="s">
        <v>120</v>
      </c>
      <c r="B60" s="307"/>
      <c r="C60" s="307"/>
      <c r="D60" s="307" t="str">
        <f>IFERROR(VLOOKUP(C60,'Base de Monedas'!A:B,2,0),"")</f>
        <v/>
      </c>
      <c r="F60" s="484"/>
      <c r="G60" s="329"/>
      <c r="H60" s="99" t="s">
        <v>120</v>
      </c>
    </row>
    <row r="61" spans="1:17" ht="15" customHeight="1" x14ac:dyDescent="0.25">
      <c r="A61" t="s">
        <v>844</v>
      </c>
      <c r="B61" s="307"/>
      <c r="C61" s="307"/>
      <c r="E61" s="460"/>
      <c r="F61" s="484"/>
      <c r="H61" s="452" t="s">
        <v>844</v>
      </c>
    </row>
    <row r="62" spans="1:17" ht="15" customHeight="1" x14ac:dyDescent="0.25">
      <c r="A62" s="329" t="s">
        <v>847</v>
      </c>
      <c r="B62" s="330"/>
      <c r="C62" s="330"/>
      <c r="D62" s="330" t="str">
        <f>IFERROR(VLOOKUP(C62,'Base de Monedas'!A:B,2,0),"")</f>
        <v/>
      </c>
      <c r="E62" s="330"/>
      <c r="F62" s="507"/>
      <c r="H62" s="329" t="s">
        <v>847</v>
      </c>
      <c r="I62" s="330"/>
      <c r="J62" s="329"/>
      <c r="K62" s="329"/>
      <c r="L62" s="329"/>
      <c r="M62" s="329"/>
    </row>
    <row r="63" spans="1:17" ht="15" customHeight="1" x14ac:dyDescent="0.25">
      <c r="A63" s="99" t="s">
        <v>3</v>
      </c>
      <c r="C63" s="307"/>
      <c r="D63" s="307" t="str">
        <f>IFERROR(VLOOKUP(C63,'Base de Monedas'!A:B,2,0),"")</f>
        <v/>
      </c>
      <c r="E63" s="485">
        <f>SUM($E$12:E62)</f>
        <v>147660667.82499999</v>
      </c>
      <c r="J63" s="504"/>
      <c r="K63" s="500"/>
      <c r="L63" s="485">
        <f>SUM($L$12:L62)</f>
        <v>130948986.51699997</v>
      </c>
    </row>
    <row r="64" spans="1:17" s="295" customFormat="1" ht="15" customHeight="1" x14ac:dyDescent="0.25">
      <c r="A64" s="99"/>
      <c r="B64"/>
      <c r="C64"/>
      <c r="D64" s="307"/>
      <c r="E64" s="485"/>
      <c r="F64"/>
      <c r="H64" s="452"/>
      <c r="I64" s="307"/>
      <c r="J64" s="504"/>
      <c r="K64" s="500"/>
      <c r="L64"/>
      <c r="M64"/>
      <c r="N64" s="503"/>
      <c r="O64" s="509"/>
    </row>
    <row r="65" spans="1:15" s="295" customFormat="1" ht="15" customHeight="1" x14ac:dyDescent="0.25">
      <c r="A65"/>
      <c r="B65"/>
      <c r="C65"/>
      <c r="D65" s="307"/>
      <c r="E65" s="460"/>
      <c r="F65"/>
      <c r="H65" s="452"/>
      <c r="I65" s="307"/>
      <c r="J65" s="504"/>
      <c r="K65" s="500"/>
      <c r="L65"/>
      <c r="M65"/>
      <c r="N65" s="503"/>
      <c r="O65" s="509"/>
    </row>
    <row r="66" spans="1:15" s="295" customFormat="1" ht="15" customHeight="1" x14ac:dyDescent="0.25">
      <c r="A66" s="99" t="s">
        <v>838</v>
      </c>
      <c r="D66" s="450"/>
      <c r="E66" s="512"/>
      <c r="H66" s="452"/>
      <c r="I66" s="307"/>
      <c r="J66" s="254"/>
      <c r="K66" s="254"/>
      <c r="L66" s="254"/>
      <c r="M66" s="254"/>
      <c r="N66" s="503"/>
      <c r="O66" s="509"/>
    </row>
    <row r="67" spans="1:15" s="452" customFormat="1" ht="15" customHeight="1" x14ac:dyDescent="0.25">
      <c r="A67" s="19"/>
      <c r="B67" s="413" t="s">
        <v>299</v>
      </c>
      <c r="C67" s="413"/>
      <c r="D67" s="396">
        <f>IFERROR(YEAR(Indice!B6),"2XX2")</f>
        <v>2021</v>
      </c>
      <c r="E67" s="395"/>
      <c r="F67" s="413"/>
      <c r="I67" s="395"/>
      <c r="J67" s="413"/>
      <c r="K67" s="396">
        <f>IFERROR(YEAR(Indice!B6-365),"2XX1")</f>
        <v>2020</v>
      </c>
      <c r="L67" s="413"/>
      <c r="M67" s="413"/>
      <c r="N67" s="503"/>
      <c r="O67" s="509"/>
    </row>
    <row r="68" spans="1:15" s="452" customFormat="1" ht="15" customHeight="1" x14ac:dyDescent="0.25">
      <c r="A68" s="129" t="s">
        <v>845</v>
      </c>
      <c r="B68" s="130" t="s">
        <v>117</v>
      </c>
      <c r="C68" s="310" t="s">
        <v>842</v>
      </c>
      <c r="D68" s="310" t="s">
        <v>330</v>
      </c>
      <c r="E68" s="129" t="s">
        <v>849</v>
      </c>
      <c r="F68" s="130" t="s">
        <v>118</v>
      </c>
      <c r="H68" s="129" t="s">
        <v>845</v>
      </c>
      <c r="I68" s="130" t="s">
        <v>117</v>
      </c>
      <c r="J68" s="310" t="s">
        <v>842</v>
      </c>
      <c r="K68" s="310" t="s">
        <v>330</v>
      </c>
      <c r="L68" s="129" t="s">
        <v>849</v>
      </c>
      <c r="M68" s="130" t="s">
        <v>119</v>
      </c>
      <c r="N68" s="503"/>
      <c r="O68" s="509"/>
    </row>
    <row r="69" spans="1:15" s="452" customFormat="1" ht="15" customHeight="1" x14ac:dyDescent="0.25">
      <c r="A69" s="452" t="s">
        <v>975</v>
      </c>
      <c r="B69" s="487" t="s">
        <v>980</v>
      </c>
      <c r="E69" s="307" t="s">
        <v>980</v>
      </c>
      <c r="F69" s="307" t="s">
        <v>980</v>
      </c>
      <c r="H69" s="452" t="s">
        <v>975</v>
      </c>
      <c r="I69" s="480">
        <v>44070</v>
      </c>
      <c r="J69" s="307" t="s">
        <v>434</v>
      </c>
      <c r="K69" s="307" t="str">
        <f>IFERROR(VLOOKUP(J69,'Base de Monedas'!A:B,2,0),"")</f>
        <v>Guaraní</v>
      </c>
      <c r="L69" s="488">
        <v>869229.277</v>
      </c>
      <c r="M69" s="307" t="s">
        <v>979</v>
      </c>
      <c r="N69" s="503"/>
      <c r="O69" s="509"/>
    </row>
    <row r="70" spans="1:15" s="452" customFormat="1" ht="15" customHeight="1" x14ac:dyDescent="0.25">
      <c r="A70" s="452" t="s">
        <v>975</v>
      </c>
      <c r="B70" s="480" t="s">
        <v>980</v>
      </c>
      <c r="C70" s="307"/>
      <c r="D70" s="307"/>
      <c r="E70" s="483" t="s">
        <v>980</v>
      </c>
      <c r="F70" s="307" t="s">
        <v>980</v>
      </c>
      <c r="H70" s="452" t="s">
        <v>975</v>
      </c>
      <c r="I70" s="480">
        <v>44191</v>
      </c>
      <c r="J70" s="307" t="s">
        <v>434</v>
      </c>
      <c r="K70" s="307" t="str">
        <f>IFERROR(VLOOKUP(J70,'Base de Monedas'!A:B,2,0),"")</f>
        <v>Guaraní</v>
      </c>
      <c r="L70" s="488">
        <v>2157890.659</v>
      </c>
      <c r="M70" s="307" t="s">
        <v>979</v>
      </c>
      <c r="N70" s="503"/>
      <c r="O70" s="509"/>
    </row>
    <row r="71" spans="1:15" s="452" customFormat="1" ht="15" customHeight="1" x14ac:dyDescent="0.25">
      <c r="A71" s="452" t="s">
        <v>976</v>
      </c>
      <c r="B71" s="480" t="s">
        <v>980</v>
      </c>
      <c r="C71" s="307"/>
      <c r="D71" s="307"/>
      <c r="E71" s="483" t="s">
        <v>980</v>
      </c>
      <c r="F71" s="307" t="s">
        <v>980</v>
      </c>
      <c r="H71" s="702" t="s">
        <v>974</v>
      </c>
      <c r="I71" s="479">
        <v>44128</v>
      </c>
      <c r="J71" s="307" t="s">
        <v>434</v>
      </c>
      <c r="K71" s="307" t="str">
        <f>IFERROR(VLOOKUP(J71,'Base de Monedas'!A:B,2,0),"")</f>
        <v>Guaraní</v>
      </c>
      <c r="L71" s="488">
        <v>1033208.2659999999</v>
      </c>
      <c r="M71" s="307" t="s">
        <v>979</v>
      </c>
      <c r="N71" s="503"/>
      <c r="O71" s="509"/>
    </row>
    <row r="72" spans="1:15" s="295" customFormat="1" ht="15" customHeight="1" x14ac:dyDescent="0.25">
      <c r="A72" s="452" t="s">
        <v>976</v>
      </c>
      <c r="B72" s="480" t="s">
        <v>980</v>
      </c>
      <c r="C72" s="307"/>
      <c r="D72" s="307"/>
      <c r="E72" s="483" t="s">
        <v>980</v>
      </c>
      <c r="F72" s="307" t="s">
        <v>980</v>
      </c>
      <c r="H72" s="452" t="s">
        <v>976</v>
      </c>
      <c r="I72" s="307" t="s">
        <v>980</v>
      </c>
      <c r="J72" s="307" t="s">
        <v>980</v>
      </c>
      <c r="K72" s="307" t="s">
        <v>980</v>
      </c>
      <c r="L72" s="713" t="s">
        <v>980</v>
      </c>
      <c r="M72" s="307" t="s">
        <v>980</v>
      </c>
      <c r="N72" s="503"/>
      <c r="O72" s="509"/>
    </row>
    <row r="73" spans="1:15" s="295" customFormat="1" ht="15" customHeight="1" x14ac:dyDescent="0.25">
      <c r="A73" s="452" t="s">
        <v>976</v>
      </c>
      <c r="B73" s="487" t="s">
        <v>980</v>
      </c>
      <c r="C73" s="452"/>
      <c r="D73" s="452"/>
      <c r="E73" s="307" t="s">
        <v>980</v>
      </c>
      <c r="F73" s="307" t="s">
        <v>980</v>
      </c>
      <c r="H73" s="452" t="s">
        <v>976</v>
      </c>
      <c r="I73" s="307" t="s">
        <v>980</v>
      </c>
      <c r="J73" s="307" t="s">
        <v>980</v>
      </c>
      <c r="K73" s="307" t="s">
        <v>980</v>
      </c>
      <c r="L73" s="713" t="s">
        <v>980</v>
      </c>
      <c r="M73" s="307" t="s">
        <v>980</v>
      </c>
      <c r="N73" s="503"/>
      <c r="O73" s="509"/>
    </row>
    <row r="74" spans="1:15" s="452" customFormat="1" ht="15" customHeight="1" x14ac:dyDescent="0.25">
      <c r="A74" s="295" t="s">
        <v>970</v>
      </c>
      <c r="B74" s="481">
        <v>44382</v>
      </c>
      <c r="C74" s="307" t="s">
        <v>434</v>
      </c>
      <c r="D74" s="307" t="str">
        <f>IFERROR(VLOOKUP(C74,'Base de Monedas'!A:B,2,0),"")</f>
        <v>Guaraní</v>
      </c>
      <c r="E74" s="707">
        <v>729166.66299999994</v>
      </c>
      <c r="F74" s="307" t="s">
        <v>979</v>
      </c>
      <c r="H74" s="452" t="s">
        <v>970</v>
      </c>
      <c r="I74" s="480">
        <v>44382</v>
      </c>
      <c r="J74" s="307" t="s">
        <v>434</v>
      </c>
      <c r="K74" s="307" t="str">
        <f>IFERROR(VLOOKUP(J74,'Base de Monedas'!A:B,2,0),"")</f>
        <v>Guaraní</v>
      </c>
      <c r="L74" s="488">
        <v>8750000</v>
      </c>
      <c r="M74" s="307" t="s">
        <v>979</v>
      </c>
      <c r="N74" s="503"/>
      <c r="O74" s="509"/>
    </row>
    <row r="75" spans="1:15" s="452" customFormat="1" ht="15" customHeight="1" x14ac:dyDescent="0.25">
      <c r="A75" s="295" t="s">
        <v>977</v>
      </c>
      <c r="B75" s="481">
        <v>44397</v>
      </c>
      <c r="C75" s="307" t="s">
        <v>434</v>
      </c>
      <c r="D75" s="307" t="str">
        <f>IFERROR(VLOOKUP(C75,'Base de Monedas'!A:B,2,0),"")</f>
        <v>Guaraní</v>
      </c>
      <c r="E75" s="707">
        <v>495640.16499999998</v>
      </c>
      <c r="F75" s="307" t="s">
        <v>979</v>
      </c>
      <c r="H75" s="452" t="s">
        <v>977</v>
      </c>
      <c r="I75" s="480">
        <v>44032</v>
      </c>
      <c r="J75" s="307" t="s">
        <v>434</v>
      </c>
      <c r="K75" s="307" t="str">
        <f>IFERROR(VLOOKUP(J75,'Base de Monedas'!A:B,2,0),"")</f>
        <v>Guaraní</v>
      </c>
      <c r="L75" s="488">
        <v>5992212.7470000004</v>
      </c>
      <c r="M75" s="307" t="s">
        <v>979</v>
      </c>
      <c r="N75" s="503"/>
      <c r="O75" s="509"/>
    </row>
    <row r="76" spans="1:15" s="452" customFormat="1" ht="15" customHeight="1" x14ac:dyDescent="0.25">
      <c r="A76" s="452" t="s">
        <v>971</v>
      </c>
      <c r="B76" s="481">
        <v>44439</v>
      </c>
      <c r="C76" s="307" t="s">
        <v>434</v>
      </c>
      <c r="D76" s="307" t="str">
        <f>IFERROR(VLOOKUP(C76,'Base de Monedas'!A:B,2,0),"")</f>
        <v>Guaraní</v>
      </c>
      <c r="E76" s="707">
        <v>97296.228000000003</v>
      </c>
      <c r="F76" s="307" t="s">
        <v>979</v>
      </c>
      <c r="H76" s="702" t="s">
        <v>977</v>
      </c>
      <c r="I76" s="479">
        <v>44685</v>
      </c>
      <c r="J76" s="307" t="s">
        <v>434</v>
      </c>
      <c r="K76" s="307" t="str">
        <f>IFERROR(VLOOKUP(J76,'Base de Monedas'!A:B,2,0),"")</f>
        <v>Guaraní</v>
      </c>
      <c r="L76" s="488">
        <v>3885367.5890000002</v>
      </c>
      <c r="M76" s="307" t="s">
        <v>979</v>
      </c>
      <c r="N76" s="503"/>
      <c r="O76" s="509"/>
    </row>
    <row r="77" spans="1:15" s="452" customFormat="1" ht="15" customHeight="1" x14ac:dyDescent="0.25">
      <c r="A77" s="452" t="s">
        <v>971</v>
      </c>
      <c r="B77" s="481">
        <v>44514</v>
      </c>
      <c r="C77" s="307" t="s">
        <v>434</v>
      </c>
      <c r="D77" s="307" t="str">
        <f>IFERROR(VLOOKUP(C77,'Base de Monedas'!A:B,2,0),"")</f>
        <v>Guaraní</v>
      </c>
      <c r="E77" s="707">
        <v>359726.80900000001</v>
      </c>
      <c r="F77" s="307" t="s">
        <v>979</v>
      </c>
      <c r="H77" s="452" t="s">
        <v>971</v>
      </c>
      <c r="I77" s="479">
        <v>44439</v>
      </c>
      <c r="J77" s="307" t="s">
        <v>434</v>
      </c>
      <c r="K77" s="307" t="str">
        <f>IFERROR(VLOOKUP(J77,'Base de Monedas'!A:B,2,0),"")</f>
        <v>Guaraní</v>
      </c>
      <c r="L77" s="488">
        <v>389184.90299999999</v>
      </c>
      <c r="M77" s="307" t="s">
        <v>979</v>
      </c>
      <c r="N77" s="503"/>
      <c r="O77" s="509"/>
    </row>
    <row r="78" spans="1:15" s="452" customFormat="1" ht="15" customHeight="1" x14ac:dyDescent="0.25">
      <c r="A78" s="452" t="s">
        <v>971</v>
      </c>
      <c r="B78" s="481">
        <v>44484</v>
      </c>
      <c r="C78" s="307" t="s">
        <v>434</v>
      </c>
      <c r="D78" s="307" t="str">
        <f>IFERROR(VLOOKUP(C78,'Base de Monedas'!A:B,2,0),"")</f>
        <v>Guaraní</v>
      </c>
      <c r="E78" s="707">
        <v>288009.11300000001</v>
      </c>
      <c r="F78" s="307" t="s">
        <v>979</v>
      </c>
      <c r="H78" s="452" t="s">
        <v>971</v>
      </c>
      <c r="I78" s="479">
        <v>44484</v>
      </c>
      <c r="J78" s="307" t="s">
        <v>434</v>
      </c>
      <c r="K78" s="307" t="str">
        <f>IFERROR(VLOOKUP(J78,'Base de Monedas'!A:B,2,0),"")</f>
        <v>Guaraní</v>
      </c>
      <c r="L78" s="488">
        <v>864027.34499999997</v>
      </c>
      <c r="M78" s="307" t="s">
        <v>979</v>
      </c>
      <c r="N78" s="503"/>
      <c r="O78" s="509"/>
    </row>
    <row r="79" spans="1:15" s="452" customFormat="1" ht="15" customHeight="1" x14ac:dyDescent="0.25">
      <c r="A79" s="452" t="s">
        <v>971</v>
      </c>
      <c r="B79" s="481">
        <v>44456</v>
      </c>
      <c r="C79" s="307" t="s">
        <v>434</v>
      </c>
      <c r="D79" s="307" t="str">
        <f>IFERROR(VLOOKUP(C79,'Base de Monedas'!A:B,2,0),"")</f>
        <v>Guaraní</v>
      </c>
      <c r="E79" s="707">
        <v>216176.19899999999</v>
      </c>
      <c r="F79" s="307" t="s">
        <v>979</v>
      </c>
      <c r="H79" s="452" t="s">
        <v>971</v>
      </c>
      <c r="I79" s="479">
        <v>44456</v>
      </c>
      <c r="J79" s="307" t="s">
        <v>434</v>
      </c>
      <c r="K79" s="307" t="str">
        <f>IFERROR(VLOOKUP(J79,'Base de Monedas'!A:B,2,0),"")</f>
        <v>Guaraní</v>
      </c>
      <c r="L79" s="488">
        <v>864704.78700000001</v>
      </c>
      <c r="M79" s="307" t="s">
        <v>979</v>
      </c>
      <c r="N79" s="503"/>
      <c r="O79" s="509"/>
    </row>
    <row r="80" spans="1:15" s="452" customFormat="1" ht="15" customHeight="1" x14ac:dyDescent="0.25">
      <c r="A80" s="452" t="s">
        <v>978</v>
      </c>
      <c r="B80" s="481">
        <v>44520</v>
      </c>
      <c r="C80" s="307" t="s">
        <v>434</v>
      </c>
      <c r="D80" s="307" t="str">
        <f>IFERROR(VLOOKUP(C80,'Base de Monedas'!A:B,2,0),"")</f>
        <v>Guaraní</v>
      </c>
      <c r="E80" s="707">
        <v>1648215.4040000001</v>
      </c>
      <c r="F80" s="307" t="s">
        <v>979</v>
      </c>
      <c r="H80" s="452" t="s">
        <v>978</v>
      </c>
      <c r="I80" s="480">
        <v>44525</v>
      </c>
      <c r="J80" s="307" t="s">
        <v>434</v>
      </c>
      <c r="K80" s="307" t="str">
        <f>IFERROR(VLOOKUP(J80,'Base de Monedas'!A:B,2,0),"")</f>
        <v>Guaraní</v>
      </c>
      <c r="L80" s="488">
        <v>4285360.0439999998</v>
      </c>
      <c r="M80" s="307" t="s">
        <v>979</v>
      </c>
      <c r="N80" s="503"/>
      <c r="O80" s="509"/>
    </row>
    <row r="81" spans="1:15" s="452" customFormat="1" ht="15" customHeight="1" x14ac:dyDescent="0.25">
      <c r="A81" s="452" t="s">
        <v>984</v>
      </c>
      <c r="B81" s="481">
        <v>44648</v>
      </c>
      <c r="C81" s="307" t="s">
        <v>434</v>
      </c>
      <c r="D81" s="307" t="str">
        <f>IFERROR(VLOOKUP(C81,'Base de Monedas'!A:B,2,0),"")</f>
        <v>Guaraní</v>
      </c>
      <c r="E81" s="707">
        <v>8461957.5240000002</v>
      </c>
      <c r="F81" s="307" t="s">
        <v>979</v>
      </c>
      <c r="H81" s="452" t="s">
        <v>984</v>
      </c>
      <c r="I81" s="480">
        <v>44648</v>
      </c>
      <c r="J81" s="307" t="s">
        <v>434</v>
      </c>
      <c r="K81" s="307" t="str">
        <f>IFERROR(VLOOKUP(J81,'Base de Monedas'!A:B,2,0),"")</f>
        <v>Guaraní</v>
      </c>
      <c r="L81" s="488">
        <v>15310000</v>
      </c>
      <c r="M81" s="307" t="s">
        <v>979</v>
      </c>
      <c r="N81" s="503"/>
      <c r="O81" s="509"/>
    </row>
    <row r="82" spans="1:15" s="452" customFormat="1" ht="15" customHeight="1" x14ac:dyDescent="0.25">
      <c r="A82" s="452" t="s">
        <v>977</v>
      </c>
      <c r="B82" s="481">
        <v>44685</v>
      </c>
      <c r="C82" s="307" t="s">
        <v>434</v>
      </c>
      <c r="D82" s="307" t="str">
        <f>IFERROR(VLOOKUP(C82,'Base de Monedas'!A:B,2,0),"")</f>
        <v>Guaraní</v>
      </c>
      <c r="E82" s="707">
        <v>1999712.155</v>
      </c>
      <c r="F82" s="307" t="s">
        <v>979</v>
      </c>
      <c r="H82" s="702" t="s">
        <v>982</v>
      </c>
      <c r="I82" s="479">
        <v>44129</v>
      </c>
      <c r="J82" s="307" t="s">
        <v>434</v>
      </c>
      <c r="K82" s="307" t="str">
        <f>IFERROR(VLOOKUP(J82,'Base de Monedas'!A:B,2,0),"")</f>
        <v>Guaraní</v>
      </c>
      <c r="L82" s="488">
        <v>392720.875</v>
      </c>
      <c r="M82" s="307" t="s">
        <v>979</v>
      </c>
      <c r="N82" s="503"/>
      <c r="O82" s="509"/>
    </row>
    <row r="83" spans="1:15" s="452" customFormat="1" ht="15" customHeight="1" x14ac:dyDescent="0.25">
      <c r="A83" s="702" t="s">
        <v>977</v>
      </c>
      <c r="B83" s="481">
        <v>44683</v>
      </c>
      <c r="C83" s="307" t="s">
        <v>434</v>
      </c>
      <c r="D83" s="307" t="str">
        <f>IFERROR(VLOOKUP(C83,'Base de Monedas'!A:B,2,0),"")</f>
        <v>Guaraní</v>
      </c>
      <c r="E83" s="707">
        <v>8294786.5499999998</v>
      </c>
      <c r="F83" s="307" t="s">
        <v>979</v>
      </c>
      <c r="H83" s="452" t="s">
        <v>985</v>
      </c>
      <c r="I83" s="479">
        <v>44076</v>
      </c>
      <c r="J83" s="307" t="s">
        <v>434</v>
      </c>
      <c r="K83" s="307" t="str">
        <f>IFERROR(VLOOKUP(J83,'Base de Monedas'!A:B,2,0),"")</f>
        <v>Guaraní</v>
      </c>
      <c r="L83" s="488">
        <v>1171584.885</v>
      </c>
      <c r="M83" s="307" t="s">
        <v>979</v>
      </c>
      <c r="N83" s="503"/>
      <c r="O83" s="509"/>
    </row>
    <row r="84" spans="1:15" s="452" customFormat="1" ht="15" customHeight="1" x14ac:dyDescent="0.25">
      <c r="A84" s="452" t="s">
        <v>986</v>
      </c>
      <c r="B84" s="481" t="s">
        <v>980</v>
      </c>
      <c r="C84" s="307"/>
      <c r="D84" s="307"/>
      <c r="E84" s="481" t="s">
        <v>980</v>
      </c>
      <c r="F84" s="481" t="s">
        <v>980</v>
      </c>
      <c r="H84" s="452" t="s">
        <v>986</v>
      </c>
      <c r="I84" s="307" t="s">
        <v>980</v>
      </c>
      <c r="J84" s="307" t="s">
        <v>980</v>
      </c>
      <c r="K84" s="307" t="s">
        <v>980</v>
      </c>
      <c r="L84" s="713" t="s">
        <v>980</v>
      </c>
      <c r="M84" s="307" t="s">
        <v>980</v>
      </c>
      <c r="N84" s="503"/>
      <c r="O84" s="509"/>
    </row>
    <row r="85" spans="1:15" s="295" customFormat="1" ht="15" customHeight="1" x14ac:dyDescent="0.25">
      <c r="A85" s="452" t="s">
        <v>986</v>
      </c>
      <c r="B85" s="481" t="s">
        <v>980</v>
      </c>
      <c r="C85" s="307"/>
      <c r="D85" s="307"/>
      <c r="E85" s="481" t="s">
        <v>980</v>
      </c>
      <c r="F85" s="481" t="s">
        <v>980</v>
      </c>
      <c r="H85" s="452" t="s">
        <v>986</v>
      </c>
      <c r="I85" s="479">
        <v>44074</v>
      </c>
      <c r="J85" s="307" t="s">
        <v>434</v>
      </c>
      <c r="K85" s="307" t="str">
        <f>IFERROR(VLOOKUP(J85,'Base de Monedas'!A:B,2,0),"")</f>
        <v>Guaraní</v>
      </c>
      <c r="L85" s="488">
        <v>880255.41700000002</v>
      </c>
      <c r="M85" s="307" t="s">
        <v>979</v>
      </c>
      <c r="N85" s="503"/>
      <c r="O85" s="509"/>
    </row>
    <row r="86" spans="1:15" s="295" customFormat="1" ht="15" customHeight="1" x14ac:dyDescent="0.25">
      <c r="A86" s="452" t="s">
        <v>1016</v>
      </c>
      <c r="B86" s="481">
        <v>2021</v>
      </c>
      <c r="C86" s="307" t="s">
        <v>434</v>
      </c>
      <c r="D86" s="307" t="str">
        <f>IFERROR(VLOOKUP(C86,'Base de Monedas'!A:B,2,0),"")</f>
        <v>Guaraní</v>
      </c>
      <c r="E86" s="460">
        <v>60946045.509999998</v>
      </c>
      <c r="F86" s="460" t="s">
        <v>1017</v>
      </c>
      <c r="H86" s="452" t="s">
        <v>1016</v>
      </c>
      <c r="I86" s="479">
        <v>2021</v>
      </c>
      <c r="J86" s="307" t="s">
        <v>434</v>
      </c>
      <c r="K86" s="307" t="str">
        <f>IFERROR(VLOOKUP(J86,'Base de Monedas'!A:B,2,0),"")</f>
        <v>Guaraní</v>
      </c>
      <c r="L86" s="488">
        <v>38188200</v>
      </c>
      <c r="M86" s="460" t="s">
        <v>1017</v>
      </c>
      <c r="N86" s="503"/>
      <c r="O86" s="509"/>
    </row>
    <row r="87" spans="1:15" s="295" customFormat="1" ht="15" customHeight="1" x14ac:dyDescent="0.25">
      <c r="A87" s="295" t="s">
        <v>253</v>
      </c>
      <c r="C87" s="307"/>
      <c r="D87" s="307" t="str">
        <f>IFERROR(VLOOKUP(C87,'Base de Monedas'!A:B,2,0),"")</f>
        <v/>
      </c>
      <c r="E87" s="307"/>
      <c r="H87" s="452"/>
      <c r="I87" s="307"/>
      <c r="J87" s="307"/>
      <c r="K87" s="307"/>
      <c r="L87" s="483"/>
      <c r="N87" s="503"/>
      <c r="O87" s="509"/>
    </row>
    <row r="88" spans="1:15" s="295" customFormat="1" ht="15" customHeight="1" x14ac:dyDescent="0.25">
      <c r="A88" s="327" t="s">
        <v>123</v>
      </c>
      <c r="C88" s="307"/>
      <c r="D88" s="307" t="str">
        <f>IFERROR(VLOOKUP(C88,'Base de Monedas'!A:B,2,0),"")</f>
        <v/>
      </c>
      <c r="H88" s="452"/>
      <c r="I88" s="307"/>
      <c r="J88" s="307"/>
      <c r="K88" s="307"/>
      <c r="L88" s="483"/>
      <c r="N88" s="503"/>
      <c r="O88" s="509"/>
    </row>
    <row r="89" spans="1:15" s="295" customFormat="1" ht="15" customHeight="1" x14ac:dyDescent="0.25">
      <c r="A89" s="129" t="s">
        <v>843</v>
      </c>
      <c r="C89" s="307"/>
      <c r="D89" s="307" t="str">
        <f>IFERROR(VLOOKUP(C89,'Base de Monedas'!A:B,2,0),"")</f>
        <v/>
      </c>
      <c r="E89" s="307"/>
      <c r="H89" s="129" t="s">
        <v>843</v>
      </c>
      <c r="J89" s="452"/>
      <c r="K89" s="307"/>
      <c r="L89" s="483"/>
      <c r="N89" s="503"/>
      <c r="O89" s="509"/>
    </row>
    <row r="90" spans="1:15" s="295" customFormat="1" ht="15" customHeight="1" x14ac:dyDescent="0.25">
      <c r="A90" s="295" t="s">
        <v>841</v>
      </c>
      <c r="C90" s="307"/>
      <c r="D90" s="307" t="str">
        <f>IFERROR(VLOOKUP(C90,'Base de Monedas'!A:B,2,0),"")</f>
        <v/>
      </c>
      <c r="E90" s="307"/>
      <c r="H90" s="452" t="s">
        <v>841</v>
      </c>
      <c r="J90" s="452"/>
      <c r="K90" s="307"/>
      <c r="L90" s="483"/>
      <c r="N90" s="503"/>
      <c r="O90" s="509"/>
    </row>
    <row r="91" spans="1:15" s="295" customFormat="1" ht="15" customHeight="1" x14ac:dyDescent="0.25">
      <c r="A91" s="295" t="s">
        <v>841</v>
      </c>
      <c r="C91" s="307"/>
      <c r="D91" s="307" t="str">
        <f>IFERROR(VLOOKUP(C91,'Base de Monedas'!A:B,2,0),"")</f>
        <v/>
      </c>
      <c r="E91" s="307"/>
      <c r="H91" s="452" t="s">
        <v>841</v>
      </c>
      <c r="J91" s="452"/>
      <c r="K91" s="460"/>
      <c r="L91" s="460"/>
      <c r="N91" s="503"/>
      <c r="O91" s="509"/>
    </row>
    <row r="92" spans="1:15" s="295" customFormat="1" ht="15" customHeight="1" x14ac:dyDescent="0.25">
      <c r="A92" s="327" t="s">
        <v>122</v>
      </c>
      <c r="C92" s="307"/>
      <c r="D92" s="307" t="str">
        <f>IFERROR(VLOOKUP(C92,'Base de Monedas'!A:B,2,0),"")</f>
        <v/>
      </c>
      <c r="E92" s="307"/>
      <c r="H92" s="327" t="s">
        <v>122</v>
      </c>
      <c r="J92" s="452"/>
      <c r="K92" s="307"/>
      <c r="N92" s="503"/>
      <c r="O92" s="509"/>
    </row>
    <row r="93" spans="1:15" s="295" customFormat="1" ht="15" customHeight="1" x14ac:dyDescent="0.25">
      <c r="A93" s="295" t="s">
        <v>253</v>
      </c>
      <c r="C93" s="307"/>
      <c r="D93" s="307" t="str">
        <f>IFERROR(VLOOKUP(C93,'Base de Monedas'!A:B,2,0),"")</f>
        <v/>
      </c>
      <c r="E93" s="307"/>
      <c r="H93" s="452" t="s">
        <v>253</v>
      </c>
      <c r="J93" s="452"/>
      <c r="K93" s="460"/>
      <c r="L93" s="460"/>
      <c r="N93" s="503"/>
      <c r="O93" s="509"/>
    </row>
    <row r="94" spans="1:15" s="295" customFormat="1" ht="15" customHeight="1" x14ac:dyDescent="0.25">
      <c r="A94" s="327" t="s">
        <v>123</v>
      </c>
      <c r="C94" s="307"/>
      <c r="D94" s="307" t="str">
        <f>IFERROR(VLOOKUP(C94,'Base de Monedas'!A:B,2,0),"")</f>
        <v/>
      </c>
      <c r="E94" s="307"/>
      <c r="H94" s="327" t="s">
        <v>123</v>
      </c>
      <c r="J94" s="452"/>
      <c r="K94" s="307"/>
      <c r="N94" s="510"/>
      <c r="O94" s="509"/>
    </row>
    <row r="95" spans="1:15" s="295" customFormat="1" ht="15" customHeight="1" x14ac:dyDescent="0.25">
      <c r="A95" s="99" t="s">
        <v>846</v>
      </c>
      <c r="C95" s="307"/>
      <c r="D95" s="307" t="str">
        <f>IFERROR(VLOOKUP(C95,'Base de Monedas'!A:B,2,0),"")</f>
        <v/>
      </c>
      <c r="E95" s="307"/>
      <c r="H95" s="99" t="s">
        <v>846</v>
      </c>
      <c r="J95" s="452"/>
      <c r="K95" s="307"/>
      <c r="N95" s="503"/>
      <c r="O95" s="509"/>
    </row>
    <row r="96" spans="1:15" s="452" customFormat="1" ht="15" customHeight="1" x14ac:dyDescent="0.25">
      <c r="A96" s="295" t="s">
        <v>844</v>
      </c>
      <c r="B96" s="295"/>
      <c r="C96" s="307" t="s">
        <v>434</v>
      </c>
      <c r="D96" s="307" t="str">
        <f>IFERROR(VLOOKUP(C96,'Base de Monedas'!A:B,2,0),"")</f>
        <v>Guaraní</v>
      </c>
      <c r="E96" s="460">
        <v>940077.13</v>
      </c>
      <c r="F96" s="295"/>
      <c r="H96" s="452" t="s">
        <v>844</v>
      </c>
      <c r="I96" s="295"/>
      <c r="J96" s="307" t="s">
        <v>434</v>
      </c>
      <c r="K96" s="307" t="str">
        <f>IFERROR(VLOOKUP(J96,'Base de Monedas'!A:B,2,0),"")</f>
        <v>Guaraní</v>
      </c>
      <c r="L96" s="460">
        <v>4681885.6679999996</v>
      </c>
      <c r="M96" s="510"/>
      <c r="N96" s="503"/>
      <c r="O96" s="509"/>
    </row>
    <row r="97" spans="1:15" s="452" customFormat="1" ht="15" customHeight="1" x14ac:dyDescent="0.25">
      <c r="A97" s="295" t="s">
        <v>847</v>
      </c>
      <c r="B97" s="295"/>
      <c r="C97" s="307" t="s">
        <v>434</v>
      </c>
      <c r="D97" s="307" t="str">
        <f>IFERROR(VLOOKUP(C97,'Base de Monedas'!A:B,2,0),"")</f>
        <v>Guaraní</v>
      </c>
      <c r="E97" s="460">
        <v>-853698.24</v>
      </c>
      <c r="F97" s="295"/>
      <c r="H97" s="452" t="s">
        <v>847</v>
      </c>
      <c r="I97" s="295"/>
      <c r="J97" s="307" t="s">
        <v>434</v>
      </c>
      <c r="K97" s="307" t="str">
        <f>IFERROR(VLOOKUP(J97,'Base de Monedas'!A:B,2,0),"")</f>
        <v>Guaraní</v>
      </c>
      <c r="L97" s="460">
        <v>-4138520.7540000002</v>
      </c>
      <c r="M97" s="295"/>
      <c r="N97" s="511"/>
      <c r="O97" s="509"/>
    </row>
    <row r="98" spans="1:15" s="452" customFormat="1" ht="15" customHeight="1" x14ac:dyDescent="0.25">
      <c r="A98" s="99" t="s">
        <v>1016</v>
      </c>
      <c r="C98" s="307"/>
      <c r="D98" s="307"/>
      <c r="E98" s="460"/>
      <c r="H98" s="99" t="s">
        <v>1016</v>
      </c>
      <c r="L98" s="460"/>
      <c r="M98" s="503"/>
      <c r="N98" s="503"/>
      <c r="O98" s="509"/>
    </row>
    <row r="99" spans="1:15" s="295" customFormat="1" ht="15" customHeight="1" x14ac:dyDescent="0.25">
      <c r="A99" s="452" t="s">
        <v>844</v>
      </c>
      <c r="B99" s="452"/>
      <c r="C99" s="307" t="s">
        <v>434</v>
      </c>
      <c r="D99" s="307" t="str">
        <f>IFERROR(VLOOKUP(C99,'Base de Monedas'!A:B,2,0),"")</f>
        <v>Guaraní</v>
      </c>
      <c r="E99" s="460">
        <v>9241510.7200000007</v>
      </c>
      <c r="F99" s="452"/>
      <c r="H99" s="452" t="s">
        <v>844</v>
      </c>
      <c r="I99" s="452"/>
      <c r="J99" s="307" t="s">
        <v>434</v>
      </c>
      <c r="K99" s="307" t="str">
        <f>IFERROR(VLOOKUP(J99,'Base de Monedas'!A:B,2,0),"")</f>
        <v>Guaraní</v>
      </c>
      <c r="L99" s="460">
        <v>3843748.835</v>
      </c>
      <c r="M99" s="511"/>
      <c r="N99" s="503"/>
      <c r="O99" s="509"/>
    </row>
    <row r="100" spans="1:15" s="295" customFormat="1" ht="15" customHeight="1" x14ac:dyDescent="0.25">
      <c r="A100" s="452" t="s">
        <v>847</v>
      </c>
      <c r="B100" s="452"/>
      <c r="C100" s="307" t="s">
        <v>434</v>
      </c>
      <c r="D100" s="307" t="str">
        <f>IFERROR(VLOOKUP(C100,'Base de Monedas'!A:B,2,0),"")</f>
        <v>Guaraní</v>
      </c>
      <c r="E100" s="460">
        <v>-8703802.7809999995</v>
      </c>
      <c r="F100" s="452"/>
      <c r="H100" s="452" t="s">
        <v>847</v>
      </c>
      <c r="I100" s="452"/>
      <c r="J100" s="307" t="s">
        <v>434</v>
      </c>
      <c r="K100" s="307" t="str">
        <f>IFERROR(VLOOKUP(J100,'Base de Monedas'!A:B,2,0),"")</f>
        <v>Guaraní</v>
      </c>
      <c r="L100" s="460">
        <v>-3419870.0630000001</v>
      </c>
      <c r="M100" s="503"/>
      <c r="N100" s="503"/>
      <c r="O100" s="509"/>
    </row>
    <row r="101" spans="1:15" s="295" customFormat="1" ht="15" customHeight="1" x14ac:dyDescent="0.25">
      <c r="A101" s="99" t="s">
        <v>120</v>
      </c>
      <c r="C101" s="307"/>
      <c r="D101" s="307" t="str">
        <f>IFERROR(VLOOKUP(C101,'Base de Monedas'!A:B,2,0),"")</f>
        <v/>
      </c>
      <c r="E101" s="307"/>
      <c r="H101" s="99" t="s">
        <v>120</v>
      </c>
      <c r="J101" s="452"/>
      <c r="K101" s="295" t="str">
        <f>IFERROR(VLOOKUP(#REF!,'Base de Monedas'!A:B,2,0),"")</f>
        <v/>
      </c>
      <c r="L101" s="460"/>
      <c r="N101" s="503"/>
      <c r="O101" s="509"/>
    </row>
    <row r="102" spans="1:15" s="295" customFormat="1" ht="15" customHeight="1" x14ac:dyDescent="0.25">
      <c r="A102" s="295" t="s">
        <v>844</v>
      </c>
      <c r="C102" s="307"/>
      <c r="D102" s="307"/>
      <c r="E102" s="307"/>
      <c r="H102" s="452" t="s">
        <v>844</v>
      </c>
      <c r="J102" s="452"/>
      <c r="K102" s="295" t="str">
        <f>IFERROR(VLOOKUP(#REF!,'Base de Monedas'!A:B,2,0),"")</f>
        <v/>
      </c>
      <c r="N102" s="503"/>
      <c r="O102" s="509"/>
    </row>
    <row r="103" spans="1:15" ht="15" customHeight="1" x14ac:dyDescent="0.25">
      <c r="A103" s="329" t="s">
        <v>847</v>
      </c>
      <c r="B103" s="329"/>
      <c r="C103" s="330"/>
      <c r="D103" s="330" t="str">
        <f>IFERROR(VLOOKUP(C103,'Base de Monedas'!A:B,2,0),"")</f>
        <v/>
      </c>
      <c r="E103" s="330"/>
      <c r="F103" s="295"/>
      <c r="H103" s="329" t="s">
        <v>847</v>
      </c>
      <c r="I103" s="295"/>
      <c r="J103" s="329"/>
      <c r="K103" s="329"/>
      <c r="L103" s="329"/>
      <c r="M103" s="329"/>
    </row>
    <row r="104" spans="1:15" ht="15" customHeight="1" x14ac:dyDescent="0.25">
      <c r="A104" s="99" t="s">
        <v>3</v>
      </c>
      <c r="B104" s="295"/>
      <c r="C104" s="307"/>
      <c r="D104" s="307" t="str">
        <f>IFERROR(VLOOKUP(C104,'Base de Monedas'!A:B,2,0),"")</f>
        <v/>
      </c>
      <c r="E104" s="485">
        <f>SUM($E$69:E103)</f>
        <v>84160819.148999989</v>
      </c>
      <c r="F104" s="295"/>
      <c r="J104" s="307"/>
      <c r="K104" s="295" t="str">
        <f>IFERROR(VLOOKUP(J104,'Base de Monedas'!A:B,2,0),"")</f>
        <v/>
      </c>
      <c r="L104" s="485">
        <f>SUM($L$69:L103)</f>
        <v>86001190.480000004</v>
      </c>
      <c r="M104" s="295"/>
    </row>
    <row r="105" spans="1:15" ht="15" customHeight="1" x14ac:dyDescent="0.25">
      <c r="E105" s="460"/>
      <c r="G105" s="503"/>
      <c r="J105" s="307"/>
      <c r="K105" s="295" t="str">
        <f>IFERROR(VLOOKUP(J105,'Base de Monedas'!H:I,2,0),"")</f>
        <v/>
      </c>
    </row>
    <row r="106" spans="1:15" ht="15" customHeight="1" x14ac:dyDescent="0.25">
      <c r="E106" s="460"/>
      <c r="G106" s="503"/>
      <c r="L106" s="460"/>
    </row>
    <row r="107" spans="1:15" ht="15" customHeight="1" x14ac:dyDescent="0.25">
      <c r="D107" s="502"/>
      <c r="E107" s="697"/>
      <c r="F107" s="503"/>
      <c r="G107" s="503"/>
      <c r="H107" s="503"/>
      <c r="I107" s="502"/>
      <c r="L107" s="460"/>
    </row>
    <row r="108" spans="1:15" ht="15" customHeight="1" x14ac:dyDescent="0.25">
      <c r="D108" s="502"/>
      <c r="E108" s="697"/>
      <c r="F108" s="503"/>
      <c r="G108" s="503"/>
      <c r="H108" s="503"/>
      <c r="I108" s="502"/>
      <c r="L108" s="460"/>
    </row>
    <row r="109" spans="1:15" ht="15" customHeight="1" x14ac:dyDescent="0.25">
      <c r="D109" s="502"/>
      <c r="E109" s="502"/>
      <c r="F109" s="503"/>
      <c r="G109" s="503"/>
      <c r="H109" s="503"/>
      <c r="I109" s="502"/>
      <c r="L109" s="460"/>
    </row>
    <row r="110" spans="1:15" ht="15" customHeight="1" x14ac:dyDescent="0.25">
      <c r="D110" s="500"/>
      <c r="E110" s="501"/>
      <c r="F110" s="500"/>
      <c r="G110" s="503"/>
      <c r="H110" s="503"/>
      <c r="I110" s="502"/>
    </row>
    <row r="111" spans="1:15" ht="15" customHeight="1" x14ac:dyDescent="0.25">
      <c r="D111" s="500"/>
      <c r="E111" s="501"/>
      <c r="F111" s="500"/>
      <c r="G111" s="503"/>
      <c r="H111" s="503"/>
      <c r="I111" s="502"/>
    </row>
    <row r="112" spans="1:15" ht="15" customHeight="1" x14ac:dyDescent="0.25">
      <c r="D112" s="500"/>
      <c r="E112" s="501"/>
      <c r="F112" s="500"/>
      <c r="G112" s="503"/>
      <c r="H112" s="503"/>
      <c r="I112" s="502"/>
    </row>
    <row r="113" spans="4:13" ht="15" customHeight="1" x14ac:dyDescent="0.25">
      <c r="D113" s="500"/>
      <c r="E113" s="501"/>
      <c r="F113" s="500"/>
      <c r="G113" s="503"/>
      <c r="H113" s="503"/>
      <c r="I113" s="502"/>
    </row>
    <row r="114" spans="4:13" ht="15" customHeight="1" x14ac:dyDescent="0.25">
      <c r="D114" s="500"/>
      <c r="E114" s="501"/>
      <c r="F114" s="500"/>
      <c r="G114" s="503"/>
      <c r="H114" s="503"/>
      <c r="I114" s="502"/>
    </row>
    <row r="115" spans="4:13" ht="15" customHeight="1" x14ac:dyDescent="0.25">
      <c r="D115" s="500"/>
      <c r="E115" s="501"/>
      <c r="F115" s="500"/>
      <c r="G115" s="503"/>
      <c r="H115" s="503"/>
      <c r="I115" s="502"/>
      <c r="K115" s="455"/>
      <c r="L115" s="455"/>
      <c r="M115" s="455"/>
    </row>
    <row r="116" spans="4:13" ht="15" customHeight="1" x14ac:dyDescent="0.25">
      <c r="D116" s="500"/>
      <c r="E116" s="501"/>
      <c r="F116" s="500"/>
      <c r="G116" s="503"/>
      <c r="H116" s="503"/>
      <c r="I116" s="502"/>
    </row>
    <row r="117" spans="4:13" ht="15" customHeight="1" x14ac:dyDescent="0.25">
      <c r="D117" s="500"/>
      <c r="E117" s="501"/>
      <c r="F117" s="500"/>
      <c r="G117" s="503"/>
      <c r="H117" s="503"/>
      <c r="I117" s="502"/>
    </row>
    <row r="118" spans="4:13" ht="15" customHeight="1" x14ac:dyDescent="0.25">
      <c r="D118" s="500"/>
      <c r="E118" s="501"/>
      <c r="F118" s="500"/>
      <c r="G118" s="503"/>
      <c r="H118" s="503"/>
      <c r="I118" s="502"/>
    </row>
    <row r="119" spans="4:13" ht="15" customHeight="1" x14ac:dyDescent="0.25">
      <c r="D119" s="502"/>
      <c r="E119" s="502"/>
      <c r="F119" s="503"/>
      <c r="G119" s="503"/>
      <c r="H119" s="503"/>
      <c r="I119" s="502"/>
    </row>
    <row r="120" spans="4:13" ht="15" customHeight="1" x14ac:dyDescent="0.25">
      <c r="D120" s="502"/>
      <c r="E120" s="502"/>
      <c r="F120" s="503"/>
      <c r="G120" s="503"/>
      <c r="H120" s="503"/>
      <c r="I120" s="502"/>
    </row>
    <row r="121" spans="4:13" ht="15" customHeight="1" x14ac:dyDescent="0.25">
      <c r="D121" s="502"/>
      <c r="E121" s="502"/>
      <c r="F121" s="503"/>
      <c r="G121" s="503"/>
      <c r="H121" s="503"/>
      <c r="I121" s="502"/>
    </row>
    <row r="122" spans="4:13" ht="15" customHeight="1" x14ac:dyDescent="0.25">
      <c r="D122" s="502"/>
      <c r="E122" s="502"/>
      <c r="F122" s="503"/>
      <c r="G122" s="503"/>
      <c r="H122" s="503"/>
      <c r="I122" s="502"/>
    </row>
    <row r="123" spans="4:13" ht="15" customHeight="1" x14ac:dyDescent="0.25">
      <c r="D123" s="502"/>
      <c r="E123" s="502"/>
      <c r="F123" s="503"/>
      <c r="G123" s="503"/>
      <c r="H123" s="503"/>
      <c r="I123" s="502"/>
    </row>
    <row r="124" spans="4:13" ht="15" customHeight="1" x14ac:dyDescent="0.25">
      <c r="D124" s="502"/>
      <c r="E124" s="502"/>
      <c r="F124" s="503"/>
      <c r="G124" s="503"/>
      <c r="H124" s="503"/>
      <c r="I124" s="502"/>
    </row>
    <row r="125" spans="4:13" ht="15" customHeight="1" x14ac:dyDescent="0.25">
      <c r="D125" s="502"/>
      <c r="E125" s="502"/>
      <c r="F125" s="503"/>
      <c r="G125" s="503"/>
      <c r="H125" s="503"/>
      <c r="I125" s="502"/>
    </row>
    <row r="126" spans="4:13" ht="15" customHeight="1" x14ac:dyDescent="0.25">
      <c r="D126" s="502"/>
      <c r="E126" s="502"/>
      <c r="F126" s="503"/>
      <c r="G126" s="503"/>
      <c r="H126" s="503"/>
      <c r="I126" s="502"/>
    </row>
    <row r="127" spans="4:13" ht="15" customHeight="1" x14ac:dyDescent="0.25">
      <c r="D127" s="502"/>
      <c r="E127" s="502"/>
      <c r="F127" s="503"/>
      <c r="G127" s="503"/>
      <c r="H127" s="503"/>
      <c r="I127" s="502"/>
    </row>
    <row r="128" spans="4:13" ht="15" customHeight="1" x14ac:dyDescent="0.25">
      <c r="D128" s="502"/>
      <c r="E128" s="502"/>
      <c r="F128" s="503"/>
      <c r="G128" s="503"/>
      <c r="H128" s="503"/>
      <c r="I128" s="502"/>
    </row>
    <row r="129" spans="4:9" ht="15" customHeight="1" x14ac:dyDescent="0.25">
      <c r="D129" s="502"/>
      <c r="E129" s="502"/>
      <c r="F129" s="503"/>
      <c r="G129" s="503"/>
      <c r="H129" s="503"/>
      <c r="I129" s="502"/>
    </row>
    <row r="130" spans="4:9" ht="15" customHeight="1" x14ac:dyDescent="0.25">
      <c r="D130" s="502"/>
      <c r="E130" s="502"/>
      <c r="F130" s="503"/>
      <c r="G130" s="503"/>
      <c r="H130" s="503"/>
      <c r="I130" s="502"/>
    </row>
    <row r="131" spans="4:9" ht="15" customHeight="1" x14ac:dyDescent="0.25">
      <c r="D131" s="502"/>
      <c r="E131" s="502"/>
      <c r="F131" s="503"/>
      <c r="G131" s="503"/>
      <c r="H131" s="503"/>
      <c r="I131" s="502"/>
    </row>
    <row r="132" spans="4:9" ht="15" customHeight="1" x14ac:dyDescent="0.25">
      <c r="D132" s="502"/>
      <c r="E132" s="502"/>
      <c r="F132" s="503"/>
      <c r="G132" s="503"/>
      <c r="H132" s="503"/>
      <c r="I132" s="502"/>
    </row>
    <row r="133" spans="4:9" ht="15" customHeight="1" x14ac:dyDescent="0.25">
      <c r="D133" s="502"/>
      <c r="E133" s="502"/>
      <c r="F133" s="503"/>
      <c r="G133" s="503"/>
      <c r="H133" s="503"/>
      <c r="I133" s="502"/>
    </row>
    <row r="134" spans="4:9" ht="15" customHeight="1" x14ac:dyDescent="0.25">
      <c r="D134" s="502"/>
      <c r="E134" s="502"/>
      <c r="F134" s="503"/>
      <c r="G134" s="503"/>
      <c r="H134" s="503"/>
      <c r="I134" s="502"/>
    </row>
    <row r="135" spans="4:9" ht="15" customHeight="1" x14ac:dyDescent="0.25">
      <c r="D135" s="502"/>
      <c r="E135" s="502"/>
      <c r="F135" s="503"/>
      <c r="G135" s="503"/>
      <c r="H135" s="503"/>
      <c r="I135" s="502"/>
    </row>
    <row r="136" spans="4:9" ht="15" customHeight="1" x14ac:dyDescent="0.25">
      <c r="D136" s="502"/>
      <c r="E136" s="502"/>
      <c r="F136" s="503"/>
      <c r="G136" s="503"/>
      <c r="H136" s="503"/>
      <c r="I136" s="502"/>
    </row>
    <row r="137" spans="4:9" ht="15" customHeight="1" x14ac:dyDescent="0.25">
      <c r="D137" s="502"/>
      <c r="E137" s="502"/>
      <c r="F137" s="503"/>
      <c r="G137" s="503"/>
      <c r="H137" s="503"/>
      <c r="I137" s="502"/>
    </row>
    <row r="138" spans="4:9" ht="15" customHeight="1" x14ac:dyDescent="0.25">
      <c r="D138" s="502"/>
      <c r="E138" s="502"/>
      <c r="F138" s="503"/>
      <c r="G138" s="503"/>
      <c r="H138" s="503"/>
      <c r="I138" s="502"/>
    </row>
    <row r="139" spans="4:9" ht="15" customHeight="1" x14ac:dyDescent="0.25">
      <c r="D139" s="502"/>
      <c r="E139" s="502"/>
      <c r="F139" s="503"/>
      <c r="G139" s="503"/>
      <c r="H139" s="503"/>
      <c r="I139" s="502"/>
    </row>
    <row r="140" spans="4:9" ht="15" customHeight="1" x14ac:dyDescent="0.25">
      <c r="D140" s="502"/>
      <c r="E140" s="502"/>
      <c r="F140" s="503"/>
      <c r="G140" s="503"/>
      <c r="H140" s="503"/>
      <c r="I140" s="502"/>
    </row>
    <row r="141" spans="4:9" ht="15" customHeight="1" x14ac:dyDescent="0.25">
      <c r="D141" s="502"/>
      <c r="E141" s="502"/>
      <c r="F141" s="503"/>
      <c r="G141" s="503"/>
      <c r="H141" s="503"/>
      <c r="I141" s="502"/>
    </row>
    <row r="142" spans="4:9" ht="15" customHeight="1" x14ac:dyDescent="0.25">
      <c r="D142" s="502"/>
      <c r="E142" s="502"/>
      <c r="F142" s="503"/>
      <c r="G142" s="503"/>
      <c r="H142" s="503"/>
      <c r="I142" s="502"/>
    </row>
    <row r="143" spans="4:9" ht="15" customHeight="1" x14ac:dyDescent="0.25">
      <c r="D143" s="502"/>
      <c r="E143" s="502"/>
      <c r="F143" s="503"/>
      <c r="G143" s="503"/>
      <c r="H143" s="503"/>
      <c r="I143" s="502"/>
    </row>
    <row r="144" spans="4:9" ht="15" customHeight="1" x14ac:dyDescent="0.25">
      <c r="D144" s="502"/>
      <c r="E144" s="502"/>
      <c r="F144" s="503"/>
      <c r="G144" s="503"/>
      <c r="H144" s="503"/>
      <c r="I144" s="502"/>
    </row>
    <row r="145" spans="4:9" ht="15" customHeight="1" x14ac:dyDescent="0.25">
      <c r="D145" s="502"/>
      <c r="E145" s="502"/>
      <c r="F145" s="503"/>
      <c r="G145" s="503"/>
      <c r="H145" s="503"/>
      <c r="I145" s="502"/>
    </row>
    <row r="146" spans="4:9" ht="15" customHeight="1" x14ac:dyDescent="0.25">
      <c r="D146" s="502"/>
      <c r="E146" s="502"/>
      <c r="F146" s="503"/>
      <c r="G146" s="503"/>
      <c r="H146" s="503"/>
      <c r="I146" s="502"/>
    </row>
    <row r="147" spans="4:9" ht="15" customHeight="1" x14ac:dyDescent="0.25">
      <c r="D147" s="502"/>
      <c r="E147" s="502"/>
      <c r="F147" s="503"/>
      <c r="G147" s="503"/>
      <c r="H147" s="503"/>
      <c r="I147" s="502"/>
    </row>
    <row r="148" spans="4:9" ht="15" customHeight="1" x14ac:dyDescent="0.25">
      <c r="D148" s="502"/>
      <c r="E148" s="502"/>
      <c r="F148" s="503"/>
      <c r="G148" s="503"/>
      <c r="H148" s="503"/>
      <c r="I148" s="502"/>
    </row>
    <row r="149" spans="4:9" ht="15" customHeight="1" x14ac:dyDescent="0.25">
      <c r="D149" s="502"/>
      <c r="E149" s="502"/>
      <c r="F149" s="503"/>
      <c r="G149" s="503"/>
      <c r="H149" s="503"/>
      <c r="I149" s="502"/>
    </row>
    <row r="150" spans="4:9" ht="15" customHeight="1" x14ac:dyDescent="0.25">
      <c r="D150" s="502"/>
      <c r="E150" s="502"/>
      <c r="F150" s="503"/>
      <c r="G150" s="503"/>
      <c r="H150" s="503"/>
      <c r="I150" s="502"/>
    </row>
    <row r="151" spans="4:9" ht="15" customHeight="1" x14ac:dyDescent="0.25">
      <c r="D151" s="502"/>
      <c r="E151" s="502"/>
      <c r="F151" s="503"/>
      <c r="G151" s="503"/>
      <c r="H151" s="503"/>
      <c r="I151" s="502"/>
    </row>
    <row r="152" spans="4:9" ht="15" customHeight="1" x14ac:dyDescent="0.25">
      <c r="D152" s="502"/>
      <c r="E152" s="502"/>
      <c r="F152" s="503"/>
      <c r="G152" s="503"/>
      <c r="H152" s="503"/>
      <c r="I152" s="502"/>
    </row>
    <row r="153" spans="4:9" ht="15" customHeight="1" x14ac:dyDescent="0.25">
      <c r="D153" s="502"/>
      <c r="E153" s="502"/>
      <c r="F153" s="503"/>
      <c r="G153" s="503"/>
      <c r="H153" s="503"/>
      <c r="I153" s="502"/>
    </row>
    <row r="154" spans="4:9" ht="15" customHeight="1" x14ac:dyDescent="0.25">
      <c r="D154" s="502"/>
      <c r="E154" s="502"/>
      <c r="F154" s="503"/>
      <c r="G154" s="503"/>
      <c r="H154" s="503"/>
      <c r="I154" s="502"/>
    </row>
    <row r="155" spans="4:9" ht="15" customHeight="1" x14ac:dyDescent="0.25">
      <c r="D155" s="502"/>
      <c r="E155" s="502"/>
      <c r="F155" s="503"/>
      <c r="G155" s="503"/>
      <c r="H155" s="503"/>
      <c r="I155" s="502"/>
    </row>
    <row r="156" spans="4:9" ht="15" customHeight="1" x14ac:dyDescent="0.25">
      <c r="D156" s="502"/>
      <c r="E156" s="502"/>
      <c r="F156" s="503"/>
      <c r="G156" s="503"/>
      <c r="H156" s="503"/>
      <c r="I156" s="502"/>
    </row>
    <row r="157" spans="4:9" ht="15" customHeight="1" x14ac:dyDescent="0.25">
      <c r="D157" s="502"/>
      <c r="E157" s="502"/>
      <c r="F157" s="503"/>
      <c r="G157" s="503"/>
      <c r="H157" s="503"/>
      <c r="I157" s="502"/>
    </row>
    <row r="158" spans="4:9" ht="15" customHeight="1" x14ac:dyDescent="0.25">
      <c r="D158" s="502"/>
      <c r="E158" s="502"/>
      <c r="F158" s="503"/>
      <c r="G158" s="503"/>
      <c r="H158" s="503"/>
      <c r="I158" s="502"/>
    </row>
    <row r="159" spans="4:9" ht="15" customHeight="1" x14ac:dyDescent="0.25">
      <c r="D159" s="502"/>
      <c r="E159" s="502"/>
      <c r="F159" s="503"/>
      <c r="G159" s="503"/>
      <c r="H159" s="503"/>
      <c r="I159" s="502"/>
    </row>
    <row r="160" spans="4:9" ht="15" customHeight="1" x14ac:dyDescent="0.25">
      <c r="D160" s="502"/>
      <c r="E160" s="502"/>
      <c r="F160" s="503"/>
      <c r="H160" s="503"/>
      <c r="I160" s="502"/>
    </row>
    <row r="161" spans="4:9" ht="15" customHeight="1" x14ac:dyDescent="0.25">
      <c r="D161" s="502"/>
      <c r="E161" s="502"/>
      <c r="F161" s="503"/>
      <c r="H161" s="503"/>
      <c r="I161" s="502"/>
    </row>
    <row r="162" spans="4:9" ht="15" customHeight="1" x14ac:dyDescent="0.25"/>
    <row r="163" spans="4:9" ht="15" customHeight="1" x14ac:dyDescent="0.25"/>
    <row r="164" spans="4:9" ht="15" customHeight="1" x14ac:dyDescent="0.25"/>
    <row r="165" spans="4:9" ht="15" customHeight="1" x14ac:dyDescent="0.25"/>
    <row r="166" spans="4:9" ht="15" customHeight="1" x14ac:dyDescent="0.25"/>
    <row r="167" spans="4:9" ht="15" customHeight="1" x14ac:dyDescent="0.25"/>
    <row r="168" spans="4:9" ht="15" customHeight="1" x14ac:dyDescent="0.25"/>
    <row r="169" spans="4:9" ht="15" customHeight="1" x14ac:dyDescent="0.25"/>
    <row r="170" spans="4:9" ht="15" customHeight="1" x14ac:dyDescent="0.25"/>
    <row r="171" spans="4:9" ht="15" customHeight="1" x14ac:dyDescent="0.25"/>
    <row r="172" spans="4:9" ht="15" customHeight="1" x14ac:dyDescent="0.25"/>
    <row r="173" spans="4:9" ht="15" customHeight="1" x14ac:dyDescent="0.25"/>
    <row r="174" spans="4:9" ht="15" customHeight="1" x14ac:dyDescent="0.25"/>
    <row r="175" spans="4:9" ht="15" customHeight="1" x14ac:dyDescent="0.25"/>
    <row r="176" spans="4:9"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row r="656" ht="18" customHeight="1" x14ac:dyDescent="0.25"/>
    <row r="657" ht="18" customHeight="1" x14ac:dyDescent="0.25"/>
    <row r="658" ht="18" customHeight="1" x14ac:dyDescent="0.25"/>
    <row r="659" ht="18" customHeight="1" x14ac:dyDescent="0.25"/>
    <row r="660" ht="18" customHeight="1" x14ac:dyDescent="0.25"/>
    <row r="661" ht="18" customHeight="1" x14ac:dyDescent="0.25"/>
    <row r="662" ht="18" customHeight="1" x14ac:dyDescent="0.25"/>
    <row r="663" ht="18" customHeight="1" x14ac:dyDescent="0.25"/>
    <row r="664" ht="18" customHeight="1" x14ac:dyDescent="0.25"/>
    <row r="665" ht="18" customHeight="1" x14ac:dyDescent="0.25"/>
    <row r="666" ht="18" customHeight="1" x14ac:dyDescent="0.25"/>
    <row r="667" ht="18" customHeight="1" x14ac:dyDescent="0.25"/>
    <row r="668" ht="18" customHeight="1" x14ac:dyDescent="0.25"/>
  </sheetData>
  <hyperlinks>
    <hyperlink ref="M1" location="BG!A1" display="BG"/>
    <hyperlink ref="E1" location="BG!A1" display="BG"/>
  </hyperlinks>
  <printOptions horizontalCentered="1"/>
  <pageMargins left="0.70866141732283472" right="0.70866141732283472" top="0.74803149606299213" bottom="0.74803149606299213" header="0.31496062992125984" footer="0.31496062992125984"/>
  <pageSetup paperSize="5"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82"/>
  <sheetViews>
    <sheetView showGridLines="0" topLeftCell="A3" zoomScaleNormal="100" workbookViewId="0">
      <selection activeCell="E35" sqref="E35"/>
    </sheetView>
  </sheetViews>
  <sheetFormatPr baseColWidth="10" defaultColWidth="11.42578125" defaultRowHeight="11.25" x14ac:dyDescent="0.2"/>
  <cols>
    <col min="1" max="1" width="2.140625" style="42" customWidth="1"/>
    <col min="2" max="2" width="2" style="42" customWidth="1"/>
    <col min="3" max="3" width="2.28515625" style="42" customWidth="1"/>
    <col min="4" max="4" width="51.85546875" style="42" customWidth="1"/>
    <col min="5" max="5" width="10.28515625" style="77" customWidth="1"/>
    <col min="6" max="7" width="21.7109375" style="42" bestFit="1" customWidth="1"/>
    <col min="8" max="8" width="11.42578125" style="42"/>
    <col min="9" max="9" width="14.7109375" style="42" bestFit="1" customWidth="1"/>
    <col min="10" max="16384" width="11.42578125" style="42"/>
  </cols>
  <sheetData>
    <row r="1" spans="1:10" ht="15" x14ac:dyDescent="0.2">
      <c r="D1" s="445" t="str">
        <f>Indice!C1</f>
        <v>NEGOFIN S.A.E.C.A.</v>
      </c>
      <c r="E1" s="200" t="s">
        <v>388</v>
      </c>
    </row>
    <row r="3" spans="1:10" x14ac:dyDescent="0.2">
      <c r="F3" s="114"/>
    </row>
    <row r="6" spans="1:10" x14ac:dyDescent="0.2">
      <c r="G6" s="47"/>
    </row>
    <row r="7" spans="1:10" ht="12.75" x14ac:dyDescent="0.2">
      <c r="A7" s="779" t="s">
        <v>300</v>
      </c>
      <c r="B7" s="779"/>
      <c r="C7" s="779"/>
      <c r="D7" s="779"/>
      <c r="E7" s="779"/>
      <c r="F7" s="779"/>
      <c r="G7" s="779"/>
    </row>
    <row r="8" spans="1:10" ht="15" customHeight="1" x14ac:dyDescent="0.2">
      <c r="A8" s="781" t="str">
        <f>IFERROR(IF(Indice!B6="","Al dia... de mes… de año 2XX2…","Al "&amp;DAY(Indice!B6)&amp;" de "&amp;VLOOKUP(MONTH(Indice!B6),Indice!S:T,2,0)&amp;" de "&amp;YEAR(Indice!B6)),"Al dia... de mes… de año 2XX2…")</f>
        <v>Al 30 de Junio de 2021</v>
      </c>
      <c r="B8" s="781"/>
      <c r="C8" s="781"/>
      <c r="D8" s="781"/>
      <c r="E8" s="781"/>
      <c r="F8" s="781"/>
      <c r="G8" s="781"/>
    </row>
    <row r="9" spans="1:10" ht="12.75" x14ac:dyDescent="0.2">
      <c r="A9" s="780" t="s">
        <v>274</v>
      </c>
      <c r="B9" s="780"/>
      <c r="C9" s="780"/>
      <c r="D9" s="780"/>
      <c r="E9" s="780"/>
      <c r="F9" s="780"/>
      <c r="G9" s="780"/>
    </row>
    <row r="10" spans="1:10" ht="12" x14ac:dyDescent="0.2">
      <c r="A10" s="53"/>
      <c r="B10" s="53"/>
      <c r="C10" s="53"/>
      <c r="D10" s="53"/>
      <c r="E10" s="5"/>
      <c r="F10" s="53"/>
      <c r="G10" s="53"/>
    </row>
    <row r="11" spans="1:10" ht="15" x14ac:dyDescent="0.3">
      <c r="A11" s="53"/>
      <c r="B11" s="198"/>
      <c r="C11" s="198"/>
      <c r="D11" s="198"/>
      <c r="E11" s="302" t="s">
        <v>220</v>
      </c>
      <c r="F11" s="302">
        <f>IFERROR(IF(Indice!B6="","2XX2",YEAR(Indice!B6)),"2XX2")</f>
        <v>2021</v>
      </c>
      <c r="G11" s="302">
        <f>IFERROR(YEAR(Indice!B6-365),"2XX1")</f>
        <v>2020</v>
      </c>
    </row>
    <row r="12" spans="1:10" ht="15" x14ac:dyDescent="0.2">
      <c r="B12" s="789" t="s">
        <v>221</v>
      </c>
      <c r="C12" s="789"/>
      <c r="D12" s="789"/>
      <c r="E12" s="203"/>
    </row>
    <row r="13" spans="1:10" ht="12.75" x14ac:dyDescent="0.2">
      <c r="A13" s="53"/>
      <c r="B13" s="69" t="s">
        <v>222</v>
      </c>
      <c r="C13" s="33"/>
      <c r="D13" s="33"/>
      <c r="E13" s="199"/>
      <c r="F13" s="33"/>
      <c r="G13" s="70"/>
    </row>
    <row r="14" spans="1:10" ht="15" x14ac:dyDescent="0.25">
      <c r="A14" s="53"/>
      <c r="B14" s="33"/>
      <c r="C14" s="778" t="s">
        <v>223</v>
      </c>
      <c r="D14" s="778"/>
      <c r="E14" s="217">
        <v>3</v>
      </c>
      <c r="F14" s="347">
        <f>'Nota 3'!C20</f>
        <v>14915383.572000001</v>
      </c>
      <c r="G14" s="347">
        <f>'Nota 3'!D20</f>
        <v>13278325.5</v>
      </c>
    </row>
    <row r="15" spans="1:10" ht="15" x14ac:dyDescent="0.25">
      <c r="A15" s="53"/>
      <c r="B15" s="33"/>
      <c r="C15" s="778" t="s">
        <v>110</v>
      </c>
      <c r="D15" s="778"/>
      <c r="E15" s="217">
        <v>4</v>
      </c>
      <c r="F15" s="347">
        <f>'Nota 4'!B18</f>
        <v>5072868.9730000002</v>
      </c>
      <c r="G15" s="347">
        <f>'Nota 4'!C18</f>
        <v>27704369.745999999</v>
      </c>
    </row>
    <row r="16" spans="1:10" ht="15" x14ac:dyDescent="0.25">
      <c r="A16" s="53"/>
      <c r="B16" s="33"/>
      <c r="C16" s="778" t="s">
        <v>224</v>
      </c>
      <c r="D16" s="778"/>
      <c r="E16" s="217">
        <v>5</v>
      </c>
      <c r="F16" s="347">
        <f>'Nota 5'!C27</f>
        <v>335961284.42799997</v>
      </c>
      <c r="G16" s="347">
        <f>'Nota 5'!D27</f>
        <v>267721855.60200003</v>
      </c>
      <c r="I16" s="521"/>
      <c r="J16" s="521"/>
    </row>
    <row r="17" spans="1:11" ht="15" x14ac:dyDescent="0.25">
      <c r="A17" s="68"/>
      <c r="B17" s="33"/>
      <c r="C17" s="778" t="s">
        <v>40</v>
      </c>
      <c r="D17" s="778"/>
      <c r="E17" s="217">
        <v>6</v>
      </c>
      <c r="F17" s="347">
        <f>'Nota 6'!B59</f>
        <v>5327314.1099999994</v>
      </c>
      <c r="G17" s="347">
        <f>'Nota 6'!C59</f>
        <v>3531226.9230000004</v>
      </c>
      <c r="I17" s="47"/>
      <c r="J17" s="489"/>
    </row>
    <row r="18" spans="1:11" ht="15" x14ac:dyDescent="0.25">
      <c r="A18" s="53"/>
      <c r="B18" s="33"/>
      <c r="C18" s="778" t="s">
        <v>225</v>
      </c>
      <c r="D18" s="778"/>
      <c r="E18" s="217">
        <v>7</v>
      </c>
      <c r="F18" s="347">
        <f>'Nota 7'!B15</f>
        <v>0</v>
      </c>
      <c r="G18" s="347">
        <f>'Nota 7'!C15</f>
        <v>0</v>
      </c>
      <c r="J18" s="47"/>
    </row>
    <row r="19" spans="1:11" ht="12.75" x14ac:dyDescent="0.2">
      <c r="A19" s="53"/>
      <c r="B19" s="33"/>
      <c r="C19" s="69" t="s">
        <v>309</v>
      </c>
      <c r="D19" s="33"/>
      <c r="E19" s="199"/>
      <c r="F19" s="652">
        <f>SUM(F14:F18)</f>
        <v>361276851.083</v>
      </c>
      <c r="G19" s="652">
        <f>SUM(G14:G18)</f>
        <v>312235777.77100003</v>
      </c>
      <c r="I19" s="47"/>
      <c r="J19" s="47"/>
    </row>
    <row r="20" spans="1:11" ht="12.75" x14ac:dyDescent="0.2">
      <c r="A20" s="53"/>
      <c r="B20" s="69" t="s">
        <v>226</v>
      </c>
      <c r="C20" s="33"/>
      <c r="D20" s="33"/>
      <c r="E20" s="199"/>
      <c r="F20" s="555"/>
      <c r="G20" s="348"/>
    </row>
    <row r="21" spans="1:11" ht="15" x14ac:dyDescent="0.25">
      <c r="A21" s="53"/>
      <c r="B21" s="33"/>
      <c r="C21" s="778" t="s">
        <v>227</v>
      </c>
      <c r="D21" s="778"/>
      <c r="E21" s="217">
        <v>6</v>
      </c>
      <c r="F21" s="347">
        <f>'Nota 6'!F16</f>
        <v>5818918.8999999994</v>
      </c>
      <c r="G21" s="653">
        <f>'Nota 6'!G16</f>
        <v>3923956.8590000002</v>
      </c>
    </row>
    <row r="22" spans="1:11" ht="15" x14ac:dyDescent="0.25">
      <c r="A22" s="53"/>
      <c r="B22" s="33"/>
      <c r="C22" s="391" t="s">
        <v>224</v>
      </c>
      <c r="D22" s="391"/>
      <c r="E22" s="217">
        <v>5</v>
      </c>
      <c r="F22" s="347">
        <f>'Nota 5'!C54</f>
        <v>73575967.857000008</v>
      </c>
      <c r="G22" s="653">
        <f>'Nota 5'!D54</f>
        <v>56154135.896000005</v>
      </c>
      <c r="I22" s="745"/>
      <c r="J22" s="746"/>
      <c r="K22" s="77"/>
    </row>
    <row r="23" spans="1:11" ht="15" x14ac:dyDescent="0.25">
      <c r="A23" s="53"/>
      <c r="B23" s="33"/>
      <c r="C23" s="778" t="s">
        <v>414</v>
      </c>
      <c r="D23" s="778"/>
      <c r="E23" s="217">
        <v>8</v>
      </c>
      <c r="F23" s="347">
        <f>'Nota 8'!B8</f>
        <v>750125</v>
      </c>
      <c r="G23" s="348">
        <f>'Nota 8'!C8</f>
        <v>718125</v>
      </c>
      <c r="I23" s="745"/>
      <c r="J23" s="745"/>
      <c r="K23" s="77"/>
    </row>
    <row r="24" spans="1:11" ht="15" x14ac:dyDescent="0.25">
      <c r="A24" s="53"/>
      <c r="B24" s="33"/>
      <c r="C24" s="778" t="s">
        <v>415</v>
      </c>
      <c r="D24" s="778"/>
      <c r="E24" s="217">
        <v>9</v>
      </c>
      <c r="F24" s="347">
        <f>'Nota 9'!L25</f>
        <v>2429803.6949999998</v>
      </c>
      <c r="G24" s="348">
        <f>'Nota 9'!M25</f>
        <v>2622671.4389999998</v>
      </c>
      <c r="I24" s="745"/>
      <c r="J24" s="745"/>
      <c r="K24" s="77"/>
    </row>
    <row r="25" spans="1:11" ht="15" x14ac:dyDescent="0.25">
      <c r="A25" s="53"/>
      <c r="B25" s="33"/>
      <c r="C25" s="778" t="s">
        <v>244</v>
      </c>
      <c r="D25" s="778"/>
      <c r="E25" s="217">
        <v>10</v>
      </c>
      <c r="F25" s="347">
        <f>'Nota 10'!B19</f>
        <v>0</v>
      </c>
      <c r="G25" s="348">
        <f>'Nota 10'!C19</f>
        <v>0</v>
      </c>
      <c r="I25" s="77"/>
      <c r="J25" s="77"/>
      <c r="K25" s="77"/>
    </row>
    <row r="26" spans="1:11" ht="15" x14ac:dyDescent="0.25">
      <c r="A26" s="53"/>
      <c r="B26" s="33"/>
      <c r="C26" s="778" t="s">
        <v>125</v>
      </c>
      <c r="D26" s="778"/>
      <c r="E26" s="217">
        <v>11</v>
      </c>
      <c r="F26" s="347">
        <f>'Nota 11'!B12</f>
        <v>7666.0410000002012</v>
      </c>
      <c r="G26" s="348">
        <f>'Nota 11'!C12</f>
        <v>873517.39699999988</v>
      </c>
      <c r="I26" s="77"/>
      <c r="J26" s="77"/>
      <c r="K26" s="77"/>
    </row>
    <row r="27" spans="1:11" ht="15" x14ac:dyDescent="0.25">
      <c r="A27" s="53"/>
      <c r="B27" s="33"/>
      <c r="C27" s="778" t="s">
        <v>131</v>
      </c>
      <c r="D27" s="778"/>
      <c r="E27" s="217">
        <v>12</v>
      </c>
      <c r="F27" s="347">
        <f>'Nota 12'!B11</f>
        <v>0</v>
      </c>
      <c r="G27" s="348">
        <f>'Nota 12'!C11</f>
        <v>0</v>
      </c>
      <c r="I27" s="77"/>
      <c r="J27" s="77"/>
      <c r="K27" s="77"/>
    </row>
    <row r="28" spans="1:11" ht="12.75" x14ac:dyDescent="0.2">
      <c r="A28" s="53"/>
      <c r="B28" s="33"/>
      <c r="C28" s="782" t="s">
        <v>327</v>
      </c>
      <c r="D28" s="782"/>
      <c r="E28" s="199"/>
      <c r="F28" s="652">
        <f>SUM(F21:F27)</f>
        <v>82582481.493000001</v>
      </c>
      <c r="G28" s="652">
        <f>SUM(G21:G27)</f>
        <v>64292406.591000006</v>
      </c>
      <c r="I28" s="77"/>
      <c r="J28" s="77"/>
      <c r="K28" s="77"/>
    </row>
    <row r="29" spans="1:11" ht="15.75" x14ac:dyDescent="0.3">
      <c r="A29" s="53"/>
      <c r="B29" s="790" t="s">
        <v>245</v>
      </c>
      <c r="C29" s="790"/>
      <c r="D29" s="790"/>
      <c r="E29" s="204"/>
      <c r="F29" s="654">
        <f>+F19+F28</f>
        <v>443859332.57599998</v>
      </c>
      <c r="G29" s="655">
        <f>+G19+G28</f>
        <v>376528184.36200005</v>
      </c>
      <c r="I29" s="518"/>
      <c r="J29" s="745"/>
      <c r="K29" s="77"/>
    </row>
    <row r="30" spans="1:11" ht="17.25" x14ac:dyDescent="0.45">
      <c r="B30" s="784" t="s">
        <v>246</v>
      </c>
      <c r="C30" s="784"/>
      <c r="D30" s="784"/>
      <c r="E30" s="206"/>
      <c r="F30" s="656"/>
      <c r="G30" s="657">
        <v>395442329</v>
      </c>
      <c r="I30" s="746"/>
      <c r="J30" s="746"/>
      <c r="K30" s="77"/>
    </row>
    <row r="31" spans="1:11" ht="12.75" x14ac:dyDescent="0.2">
      <c r="A31" s="53"/>
      <c r="B31" s="69" t="s">
        <v>247</v>
      </c>
      <c r="C31" s="33"/>
      <c r="D31" s="33"/>
      <c r="E31" s="199"/>
      <c r="F31" s="658">
        <v>-1</v>
      </c>
      <c r="G31" s="348"/>
      <c r="I31" s="77"/>
      <c r="J31" s="77"/>
      <c r="K31" s="77"/>
    </row>
    <row r="32" spans="1:11" ht="15" x14ac:dyDescent="0.25">
      <c r="A32" s="53"/>
      <c r="B32" s="33"/>
      <c r="C32" s="778" t="s">
        <v>111</v>
      </c>
      <c r="D32" s="778"/>
      <c r="E32" s="217">
        <v>13</v>
      </c>
      <c r="F32" s="347">
        <f>'Nota 13'!D13</f>
        <v>927432.60499999998</v>
      </c>
      <c r="G32" s="348">
        <f>'Nota 13'!E13</f>
        <v>397575.39399999997</v>
      </c>
      <c r="I32" s="77"/>
      <c r="J32" s="77"/>
      <c r="K32" s="77"/>
    </row>
    <row r="33" spans="1:11" ht="15" x14ac:dyDescent="0.25">
      <c r="A33" s="53"/>
      <c r="B33" s="33"/>
      <c r="C33" s="791" t="s">
        <v>249</v>
      </c>
      <c r="D33" s="791"/>
      <c r="E33" s="217">
        <v>14</v>
      </c>
      <c r="F33" s="347">
        <f>'Nota 14'!E63</f>
        <v>147660667.82499999</v>
      </c>
      <c r="G33" s="348">
        <f>'Nota 14'!L63</f>
        <v>130948986.51699997</v>
      </c>
      <c r="I33" s="47"/>
      <c r="J33" s="489"/>
    </row>
    <row r="34" spans="1:11" ht="15" x14ac:dyDescent="0.25">
      <c r="A34" s="53"/>
      <c r="B34" s="33"/>
      <c r="C34" s="778" t="s">
        <v>133</v>
      </c>
      <c r="D34" s="778"/>
      <c r="E34" s="217">
        <v>15</v>
      </c>
      <c r="F34" s="347">
        <f>'Nota 15'!B15</f>
        <v>0</v>
      </c>
      <c r="G34" s="348">
        <f>'Nota 15'!C15</f>
        <v>0</v>
      </c>
    </row>
    <row r="35" spans="1:11" ht="15" x14ac:dyDescent="0.25">
      <c r="A35" s="53"/>
      <c r="B35" s="33"/>
      <c r="C35" s="778" t="s">
        <v>67</v>
      </c>
      <c r="D35" s="778"/>
      <c r="E35" s="217">
        <v>16</v>
      </c>
      <c r="F35" s="347">
        <f>'Nota 16'!B12</f>
        <v>1334185.8049999999</v>
      </c>
      <c r="G35" s="348">
        <f>'Nota 16'!C12</f>
        <v>1290608.24</v>
      </c>
      <c r="I35" s="47"/>
      <c r="J35" s="489"/>
    </row>
    <row r="36" spans="1:11" ht="15" x14ac:dyDescent="0.25">
      <c r="A36" s="53"/>
      <c r="B36" s="33"/>
      <c r="C36" s="778" t="s">
        <v>68</v>
      </c>
      <c r="D36" s="778"/>
      <c r="E36" s="217">
        <v>17</v>
      </c>
      <c r="F36" s="347">
        <f>'Nota 17'!B12</f>
        <v>3541229.9649999999</v>
      </c>
      <c r="G36" s="348">
        <f>'Nota 17'!C12</f>
        <v>1277375.824</v>
      </c>
    </row>
    <row r="37" spans="1:11" ht="15" x14ac:dyDescent="0.25">
      <c r="A37" s="53"/>
      <c r="B37" s="33"/>
      <c r="C37" s="778" t="s">
        <v>69</v>
      </c>
      <c r="D37" s="778"/>
      <c r="E37" s="217">
        <v>18</v>
      </c>
      <c r="F37" s="347">
        <f>'Nota 18'!B41</f>
        <v>511379.74099999998</v>
      </c>
      <c r="G37" s="348">
        <f>'Nota 18'!C41</f>
        <v>702890.69900000002</v>
      </c>
    </row>
    <row r="38" spans="1:11" ht="15" x14ac:dyDescent="0.25">
      <c r="A38" s="53"/>
      <c r="B38" s="33"/>
      <c r="C38" s="778" t="s">
        <v>250</v>
      </c>
      <c r="D38" s="778"/>
      <c r="E38" s="217">
        <v>19</v>
      </c>
      <c r="F38" s="347">
        <f>'Nota 19'!B46</f>
        <v>1371590.8589999997</v>
      </c>
      <c r="G38" s="348">
        <f>'Nota 19'!C46</f>
        <v>972030.39799999993</v>
      </c>
      <c r="I38" s="47"/>
      <c r="J38" s="489"/>
    </row>
    <row r="39" spans="1:11" ht="13.7" customHeight="1" x14ac:dyDescent="0.2">
      <c r="A39" s="53"/>
      <c r="B39" s="33"/>
      <c r="C39" s="69" t="s">
        <v>248</v>
      </c>
      <c r="D39" s="33"/>
      <c r="E39" s="199"/>
      <c r="F39" s="652">
        <f>+F32+F33+F34+F35+F36+F37+F38</f>
        <v>155346486.79999998</v>
      </c>
      <c r="G39" s="652">
        <f>SUM(G32:G38)</f>
        <v>135589467.07199997</v>
      </c>
      <c r="I39" s="47"/>
      <c r="J39" s="47"/>
    </row>
    <row r="40" spans="1:11" ht="12.75" x14ac:dyDescent="0.2">
      <c r="A40" s="53"/>
      <c r="B40" s="69" t="s">
        <v>251</v>
      </c>
      <c r="C40" s="33"/>
      <c r="D40" s="33"/>
      <c r="E40" s="199"/>
      <c r="F40" s="555"/>
      <c r="G40" s="555"/>
    </row>
    <row r="41" spans="1:11" ht="15" x14ac:dyDescent="0.25">
      <c r="A41" s="53"/>
      <c r="B41" s="33"/>
      <c r="C41" s="778" t="s">
        <v>252</v>
      </c>
      <c r="D41" s="778"/>
      <c r="E41" s="217">
        <v>14</v>
      </c>
      <c r="F41" s="347">
        <f>'Nota 14'!E104</f>
        <v>84160819.148999989</v>
      </c>
      <c r="G41" s="348">
        <f>'Nota 14'!L104</f>
        <v>86001190.480000004</v>
      </c>
    </row>
    <row r="42" spans="1:11" ht="15" x14ac:dyDescent="0.25">
      <c r="A42" s="53"/>
      <c r="B42" s="33"/>
      <c r="C42" s="778" t="s">
        <v>362</v>
      </c>
      <c r="D42" s="778"/>
      <c r="E42" s="217">
        <v>19</v>
      </c>
      <c r="F42" s="347">
        <f>'Nota 19'!F14</f>
        <v>0</v>
      </c>
      <c r="G42" s="348">
        <f>'Nota 19'!G14</f>
        <v>0</v>
      </c>
    </row>
    <row r="43" spans="1:11" ht="12.75" x14ac:dyDescent="0.2">
      <c r="A43" s="53"/>
      <c r="B43" s="33"/>
      <c r="C43" s="69" t="s">
        <v>337</v>
      </c>
      <c r="D43" s="33"/>
      <c r="E43" s="199"/>
      <c r="F43" s="652">
        <f>SUM(F41:F42)</f>
        <v>84160819.148999989</v>
      </c>
      <c r="G43" s="652">
        <f>SUM(G41:G42)</f>
        <v>86001190.480000004</v>
      </c>
    </row>
    <row r="44" spans="1:11" ht="6" customHeight="1" x14ac:dyDescent="0.2">
      <c r="A44" s="53"/>
      <c r="B44" s="33"/>
      <c r="C44" s="33"/>
      <c r="D44" s="81"/>
      <c r="E44" s="205"/>
      <c r="F44" s="555"/>
      <c r="G44" s="348"/>
    </row>
    <row r="45" spans="1:11" ht="15.75" x14ac:dyDescent="0.3">
      <c r="A45" s="53"/>
      <c r="B45" s="784" t="s">
        <v>416</v>
      </c>
      <c r="C45" s="784"/>
      <c r="D45" s="784"/>
      <c r="E45" s="207"/>
      <c r="F45" s="654">
        <f>+F39+F43</f>
        <v>239507305.94899997</v>
      </c>
      <c r="G45" s="654">
        <f>+G39+G43</f>
        <v>221590657.55199999</v>
      </c>
      <c r="I45" s="455"/>
      <c r="J45" s="455"/>
      <c r="K45" s="521"/>
    </row>
    <row r="46" spans="1:11" ht="15" x14ac:dyDescent="0.25">
      <c r="B46" s="784" t="s">
        <v>41</v>
      </c>
      <c r="C46" s="784"/>
      <c r="D46" s="784"/>
      <c r="E46" s="206"/>
      <c r="F46" s="460"/>
      <c r="G46" s="460"/>
      <c r="I46" s="521"/>
      <c r="J46" s="489"/>
      <c r="K46" s="489"/>
    </row>
    <row r="47" spans="1:11" ht="15" x14ac:dyDescent="0.25">
      <c r="A47" s="53"/>
      <c r="B47" s="33"/>
      <c r="C47" s="778" t="s">
        <v>254</v>
      </c>
      <c r="D47" s="778"/>
      <c r="E47" s="217">
        <v>20</v>
      </c>
      <c r="F47" s="347">
        <f>'Nota 20'!B12</f>
        <v>120884126</v>
      </c>
      <c r="G47" s="347">
        <f>'Nota 20'!C12</f>
        <v>120884126</v>
      </c>
    </row>
    <row r="48" spans="1:11" ht="15" x14ac:dyDescent="0.25">
      <c r="A48" s="53"/>
      <c r="B48" s="33"/>
      <c r="C48" s="778" t="s">
        <v>43</v>
      </c>
      <c r="D48" s="778"/>
      <c r="E48" s="200">
        <v>21</v>
      </c>
      <c r="F48" s="347">
        <f>' Nota 21'!B8</f>
        <v>1334216.8</v>
      </c>
      <c r="G48" s="347">
        <f>' Nota 21'!C8</f>
        <v>1334216.8</v>
      </c>
      <c r="J48" s="489"/>
      <c r="K48" s="489"/>
    </row>
    <row r="49" spans="1:11" ht="15" x14ac:dyDescent="0.25">
      <c r="A49" s="68"/>
      <c r="B49" s="33"/>
      <c r="C49" s="778" t="s">
        <v>81</v>
      </c>
      <c r="D49" s="778"/>
      <c r="E49" s="200">
        <v>21</v>
      </c>
      <c r="F49" s="347">
        <f>' Nota 21'!B12</f>
        <v>14286409.379000001</v>
      </c>
      <c r="G49" s="347">
        <f>' Nota 21'!C12</f>
        <v>11145066.199999999</v>
      </c>
    </row>
    <row r="50" spans="1:11" ht="15" x14ac:dyDescent="0.25">
      <c r="A50" s="53"/>
      <c r="B50" s="33"/>
      <c r="C50" s="778" t="s">
        <v>255</v>
      </c>
      <c r="D50" s="778"/>
      <c r="E50" s="200">
        <v>21</v>
      </c>
      <c r="F50" s="347">
        <f>' Nota 21'!B16</f>
        <v>0</v>
      </c>
      <c r="G50" s="347">
        <f>' Nota 21'!C16</f>
        <v>0</v>
      </c>
    </row>
    <row r="51" spans="1:11" ht="15" x14ac:dyDescent="0.25">
      <c r="A51" s="53"/>
      <c r="B51" s="33"/>
      <c r="C51" s="778" t="s">
        <v>256</v>
      </c>
      <c r="D51" s="778"/>
      <c r="E51" s="200">
        <v>21</v>
      </c>
      <c r="F51" s="347">
        <f>' Nota 21'!B20</f>
        <v>43280907.421999998</v>
      </c>
      <c r="G51" s="347">
        <f>' Nota 21'!C20</f>
        <v>0</v>
      </c>
    </row>
    <row r="52" spans="1:11" ht="15" x14ac:dyDescent="0.25">
      <c r="A52" s="53"/>
      <c r="B52" s="33"/>
      <c r="C52" s="778" t="s">
        <v>70</v>
      </c>
      <c r="D52" s="778"/>
      <c r="E52" s="217">
        <v>22</v>
      </c>
      <c r="F52" s="347">
        <f>'Nota 22'!B8</f>
        <v>0</v>
      </c>
      <c r="G52" s="347">
        <f>'Nota 22'!C8</f>
        <v>0</v>
      </c>
    </row>
    <row r="53" spans="1:11" ht="15" x14ac:dyDescent="0.25">
      <c r="A53" s="53"/>
      <c r="B53" s="33"/>
      <c r="C53" s="778" t="s">
        <v>44</v>
      </c>
      <c r="D53" s="778"/>
      <c r="E53" s="217">
        <v>23</v>
      </c>
      <c r="F53" s="347">
        <f>'Nota 23'!B10</f>
        <v>24566367.884</v>
      </c>
      <c r="G53" s="347">
        <f>'Nota 23'!C10</f>
        <v>21574117.199000001</v>
      </c>
    </row>
    <row r="54" spans="1:11" ht="12.75" x14ac:dyDescent="0.2">
      <c r="A54" s="53"/>
      <c r="B54" s="33"/>
      <c r="C54" s="787" t="s">
        <v>62</v>
      </c>
      <c r="D54" s="787"/>
      <c r="E54" s="199"/>
      <c r="F54" s="347">
        <f>SUM(F47:F53)</f>
        <v>204352027.48499998</v>
      </c>
      <c r="G54" s="347">
        <f>SUM(G47:G53)</f>
        <v>154937526.199</v>
      </c>
    </row>
    <row r="55" spans="1:11" ht="15" x14ac:dyDescent="0.25">
      <c r="A55" s="53"/>
      <c r="B55" s="33"/>
      <c r="C55" s="778" t="s">
        <v>71</v>
      </c>
      <c r="D55" s="778"/>
      <c r="E55" s="217">
        <v>24</v>
      </c>
      <c r="F55" s="347">
        <f>'Nota 24'!B8</f>
        <v>0</v>
      </c>
      <c r="G55" s="347">
        <f>'Nota 24'!C8</f>
        <v>0</v>
      </c>
    </row>
    <row r="56" spans="1:11" ht="15" x14ac:dyDescent="0.3">
      <c r="A56" s="53"/>
      <c r="B56" s="784" t="s">
        <v>257</v>
      </c>
      <c r="C56" s="784"/>
      <c r="D56" s="784"/>
      <c r="E56" s="207"/>
      <c r="F56" s="654">
        <f>F54</f>
        <v>204352027.48499998</v>
      </c>
      <c r="G56" s="654">
        <f>G54</f>
        <v>154937526.199</v>
      </c>
      <c r="J56" s="521"/>
      <c r="K56" s="521"/>
    </row>
    <row r="57" spans="1:11" ht="15" x14ac:dyDescent="0.3">
      <c r="A57" s="53"/>
      <c r="B57" s="784" t="s">
        <v>258</v>
      </c>
      <c r="C57" s="784"/>
      <c r="D57" s="784"/>
      <c r="E57" s="208"/>
      <c r="F57" s="654">
        <f>+F45+F56</f>
        <v>443859333.43399996</v>
      </c>
      <c r="G57" s="654">
        <f>+G45+G56</f>
        <v>376528183.75099999</v>
      </c>
      <c r="J57" s="521"/>
      <c r="K57" s="521"/>
    </row>
    <row r="58" spans="1:11" ht="12.75" x14ac:dyDescent="0.2">
      <c r="A58" s="53"/>
      <c r="B58" s="69"/>
      <c r="C58" s="33"/>
      <c r="D58" s="33"/>
      <c r="E58" s="199"/>
      <c r="F58" s="659"/>
      <c r="G58" s="555"/>
    </row>
    <row r="59" spans="1:11" ht="12" x14ac:dyDescent="0.2">
      <c r="B59" s="53" t="s">
        <v>413</v>
      </c>
      <c r="C59" s="53"/>
      <c r="D59" s="53"/>
      <c r="E59" s="209"/>
      <c r="F59" s="660"/>
      <c r="G59" s="660"/>
    </row>
    <row r="60" spans="1:11" ht="12" x14ac:dyDescent="0.2">
      <c r="A60" s="53"/>
      <c r="B60" s="67"/>
      <c r="C60" s="53"/>
      <c r="D60" s="53"/>
      <c r="E60" s="209"/>
      <c r="F60" s="660"/>
      <c r="G60" s="661"/>
    </row>
    <row r="61" spans="1:11" ht="12" x14ac:dyDescent="0.2">
      <c r="A61" s="53"/>
      <c r="B61" s="67"/>
      <c r="C61" s="53"/>
      <c r="D61" s="53"/>
      <c r="E61" s="209"/>
      <c r="F61" s="660"/>
      <c r="G61" s="661"/>
    </row>
    <row r="62" spans="1:11" ht="12" x14ac:dyDescent="0.2">
      <c r="A62" s="53"/>
      <c r="B62" s="67"/>
      <c r="C62" s="53"/>
      <c r="D62" s="53"/>
      <c r="E62" s="209"/>
      <c r="F62" s="660"/>
      <c r="G62" s="661"/>
    </row>
    <row r="63" spans="1:11" ht="12" x14ac:dyDescent="0.2">
      <c r="A63" s="53"/>
      <c r="B63" s="53"/>
      <c r="C63" s="53"/>
      <c r="D63" s="53"/>
      <c r="E63" s="209"/>
      <c r="F63" s="660"/>
      <c r="G63" s="660"/>
    </row>
    <row r="64" spans="1:11" s="80" customFormat="1" ht="15" x14ac:dyDescent="0.2">
      <c r="A64" s="93"/>
      <c r="B64" s="94"/>
      <c r="C64" s="94"/>
      <c r="D64" s="94"/>
      <c r="E64" s="210"/>
      <c r="F64" s="788"/>
      <c r="G64" s="788"/>
    </row>
    <row r="65" spans="1:7" s="80" customFormat="1" ht="15.75" x14ac:dyDescent="0.25">
      <c r="B65" s="95"/>
      <c r="C65" s="95"/>
      <c r="D65" s="103"/>
      <c r="E65" s="211"/>
      <c r="F65" s="785"/>
      <c r="G65" s="785"/>
    </row>
    <row r="66" spans="1:7" s="80" customFormat="1" ht="15.75" x14ac:dyDescent="0.25">
      <c r="A66" s="93"/>
      <c r="B66" s="93"/>
      <c r="C66" s="93"/>
      <c r="D66" s="79"/>
      <c r="E66" s="212"/>
      <c r="F66" s="79"/>
      <c r="G66" s="93"/>
    </row>
    <row r="67" spans="1:7" s="80" customFormat="1" ht="15.75" x14ac:dyDescent="0.25">
      <c r="A67" s="93"/>
      <c r="B67" s="93"/>
      <c r="C67" s="93"/>
      <c r="D67" s="79"/>
      <c r="E67" s="212"/>
      <c r="F67" s="79"/>
      <c r="G67" s="93"/>
    </row>
    <row r="68" spans="1:7" s="80" customFormat="1" ht="15.75" x14ac:dyDescent="0.25">
      <c r="A68" s="93"/>
      <c r="B68" s="93"/>
      <c r="C68" s="93"/>
      <c r="D68" s="79"/>
      <c r="E68" s="212"/>
      <c r="F68" s="79"/>
      <c r="G68" s="93"/>
    </row>
    <row r="69" spans="1:7" s="80" customFormat="1" ht="15" x14ac:dyDescent="0.2">
      <c r="A69" s="96"/>
      <c r="B69" s="96"/>
      <c r="C69" s="96"/>
      <c r="D69" s="96"/>
      <c r="E69" s="213"/>
      <c r="F69" s="786"/>
      <c r="G69" s="786"/>
    </row>
    <row r="70" spans="1:7" s="80" customFormat="1" ht="15.75" x14ac:dyDescent="0.25">
      <c r="B70" s="97"/>
      <c r="C70" s="97"/>
      <c r="D70" s="97"/>
      <c r="E70" s="212"/>
      <c r="F70" s="785"/>
      <c r="G70" s="785"/>
    </row>
    <row r="71" spans="1:7" s="79" customFormat="1" ht="15.75" x14ac:dyDescent="0.25">
      <c r="B71" s="783"/>
      <c r="C71" s="783"/>
      <c r="D71" s="783"/>
      <c r="E71" s="212"/>
    </row>
    <row r="72" spans="1:7" ht="12.75" x14ac:dyDescent="0.2">
      <c r="A72" s="33"/>
      <c r="B72" s="33"/>
      <c r="C72" s="70"/>
      <c r="D72" s="71"/>
      <c r="E72" s="199"/>
      <c r="F72" s="71"/>
      <c r="G72" s="33"/>
    </row>
    <row r="73" spans="1:7" x14ac:dyDescent="0.2">
      <c r="C73" s="45"/>
      <c r="D73" s="43"/>
      <c r="E73" s="214"/>
      <c r="F73" s="43"/>
    </row>
    <row r="74" spans="1:7" x14ac:dyDescent="0.2">
      <c r="D74" s="44"/>
      <c r="E74" s="215"/>
      <c r="F74" s="44"/>
    </row>
    <row r="75" spans="1:7" x14ac:dyDescent="0.2">
      <c r="D75" s="44"/>
      <c r="E75" s="215"/>
      <c r="F75" s="44"/>
    </row>
    <row r="76" spans="1:7" x14ac:dyDescent="0.2">
      <c r="D76" s="44"/>
      <c r="E76" s="215"/>
      <c r="F76" s="44"/>
    </row>
    <row r="77" spans="1:7" x14ac:dyDescent="0.2">
      <c r="D77" s="44"/>
      <c r="E77" s="215"/>
      <c r="F77" s="44"/>
    </row>
    <row r="78" spans="1:7" x14ac:dyDescent="0.2">
      <c r="D78" s="44"/>
      <c r="E78" s="215"/>
      <c r="F78" s="44"/>
    </row>
    <row r="79" spans="1:7" x14ac:dyDescent="0.2">
      <c r="E79" s="216"/>
    </row>
    <row r="80" spans="1:7" x14ac:dyDescent="0.2">
      <c r="C80" s="46"/>
      <c r="E80" s="216"/>
    </row>
    <row r="81" spans="3:6" x14ac:dyDescent="0.2">
      <c r="C81" s="45"/>
      <c r="D81" s="43"/>
      <c r="E81" s="214"/>
      <c r="F81" s="43"/>
    </row>
    <row r="82" spans="3:6" x14ac:dyDescent="0.2">
      <c r="D82" s="43"/>
      <c r="E82" s="78"/>
      <c r="F82" s="43"/>
    </row>
  </sheetData>
  <mergeCells count="45">
    <mergeCell ref="B12:D12"/>
    <mergeCell ref="B30:D30"/>
    <mergeCell ref="B46:D46"/>
    <mergeCell ref="B45:D45"/>
    <mergeCell ref="B56:D56"/>
    <mergeCell ref="B29:D29"/>
    <mergeCell ref="C41:D41"/>
    <mergeCell ref="C33:D33"/>
    <mergeCell ref="B71:D71"/>
    <mergeCell ref="B57:D57"/>
    <mergeCell ref="F70:G70"/>
    <mergeCell ref="F69:G69"/>
    <mergeCell ref="F65:G65"/>
    <mergeCell ref="F64:G64"/>
    <mergeCell ref="C27:D27"/>
    <mergeCell ref="C34:D34"/>
    <mergeCell ref="C55:D55"/>
    <mergeCell ref="C50:D50"/>
    <mergeCell ref="C51:D51"/>
    <mergeCell ref="C52:D52"/>
    <mergeCell ref="C38:D38"/>
    <mergeCell ref="C49:D49"/>
    <mergeCell ref="C48:D48"/>
    <mergeCell ref="C35:D35"/>
    <mergeCell ref="C36:D36"/>
    <mergeCell ref="C42:D42"/>
    <mergeCell ref="C53:D53"/>
    <mergeCell ref="C54:D54"/>
    <mergeCell ref="C32:D32"/>
    <mergeCell ref="C37:D37"/>
    <mergeCell ref="C47:D47"/>
    <mergeCell ref="C24:D24"/>
    <mergeCell ref="A7:G7"/>
    <mergeCell ref="A9:G9"/>
    <mergeCell ref="C17:D17"/>
    <mergeCell ref="C18:D18"/>
    <mergeCell ref="C23:D23"/>
    <mergeCell ref="A8:G8"/>
    <mergeCell ref="C16:D16"/>
    <mergeCell ref="C21:D21"/>
    <mergeCell ref="C14:D14"/>
    <mergeCell ref="C15:D15"/>
    <mergeCell ref="C28:D28"/>
    <mergeCell ref="C25:D25"/>
    <mergeCell ref="C26:D26"/>
  </mergeCells>
  <hyperlinks>
    <hyperlink ref="E14" location="'Nota 3'!A1" display="'Nota 3'!A1"/>
    <hyperlink ref="E15" location="'Nota 4'!A1" display="'Nota 4'!A1"/>
    <hyperlink ref="E16" location="'Nota 5'!A1" display="'Nota 5'!A1"/>
    <hyperlink ref="E17" location="'Nota 6'!A1" display="'Nota 6'!A1"/>
    <hyperlink ref="E18" location="'Nota 7'!A1" display="'Nota 7'!A1"/>
    <hyperlink ref="E21" location="'Nota 6'!A1" display="'Nota 6'!A1"/>
    <hyperlink ref="E23" location="'Nota 8'!A1" display="'Nota 8'!A1"/>
    <hyperlink ref="E24" location="'Nota 9'!A1" display="'Nota 9'!A1"/>
    <hyperlink ref="E25" location="'Nota 10'!A1" display="'Nota 10'!A1"/>
    <hyperlink ref="E26" location="'Nota 11'!A1" display="'Nota 11'!A1"/>
    <hyperlink ref="E27" location="'Nota 12'!A1" display="'Nota 12'!A1"/>
    <hyperlink ref="E32" location="'Nota 13'!A1" display="'Nota 13'!A1"/>
    <hyperlink ref="E33" location="'Nota 14'!A1" display="'Nota 14'!A1"/>
    <hyperlink ref="E41" location="'Nota 14'!A1" display="'Nota 14'!A1"/>
    <hyperlink ref="E34" location="'Nota 15'!A1" display="'Nota 15'!A1"/>
    <hyperlink ref="E35" location="'Nota 16'!A1" display="'Nota 16'!A1"/>
    <hyperlink ref="E36" location="'Nota 17'!A1" display="'Nota 17'!A1"/>
    <hyperlink ref="E37" location="'Nota 18'!A1" display="'Nota 18'!A1"/>
    <hyperlink ref="E38" location="'Nota 19'!A1" display="'Nota 19'!A1"/>
    <hyperlink ref="E42" location="'Nota 19'!A1" display="'Nota 19'!A1"/>
    <hyperlink ref="E47" location="'Nota 20'!A1" display="'Nota 20'!A1"/>
    <hyperlink ref="E52" location="'Nota 22'!A1" display="'Nota 22'!A1"/>
    <hyperlink ref="E48" location="' Nota 21'!A1" display="' Nota 21'!A1"/>
    <hyperlink ref="E49" location="' Nota 21'!A1" display="' Nota 21'!A1"/>
    <hyperlink ref="E50" location="' Nota 21'!A1" display="' Nota 21'!A1"/>
    <hyperlink ref="E51" location="' Nota 21'!A1" display="' Nota 21'!A1"/>
    <hyperlink ref="E53" location="'Nota 23'!A1" display="'Nota 23'!A1"/>
    <hyperlink ref="E55" location="'Nota 24'!A1" display="'Nota 24'!A1"/>
    <hyperlink ref="E1" location="Indice!A1" display="Indice"/>
    <hyperlink ref="E22" location="'Nota 5'!A1" display="'Nota 5'!A1"/>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ignoredErrors>
    <ignoredError sqref="G28" formulaRang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AH19"/>
  <sheetViews>
    <sheetView workbookViewId="0">
      <selection activeCell="B10" sqref="B10:C14"/>
    </sheetView>
  </sheetViews>
  <sheetFormatPr baseColWidth="10" defaultRowHeight="15" x14ac:dyDescent="0.25"/>
  <cols>
    <col min="1" max="1" width="44.7109375" style="123" customWidth="1"/>
    <col min="2" max="2" width="18.28515625" style="123" customWidth="1"/>
    <col min="3" max="3" width="20.140625" style="123" customWidth="1"/>
    <col min="4" max="34" width="11.42578125" style="123" customWidth="1"/>
  </cols>
  <sheetData>
    <row r="1" spans="1:34" x14ac:dyDescent="0.25">
      <c r="A1" s="123" t="str">
        <f>Indice!C1</f>
        <v>NEGOFIN S.A.E.C.A.</v>
      </c>
      <c r="D1" s="144" t="s">
        <v>132</v>
      </c>
    </row>
    <row r="5" spans="1:34" x14ac:dyDescent="0.25">
      <c r="A5" s="308" t="s">
        <v>331</v>
      </c>
      <c r="B5" s="308"/>
      <c r="C5" s="308"/>
      <c r="D5" s="308"/>
      <c r="T5"/>
      <c r="U5"/>
      <c r="V5"/>
      <c r="W5"/>
      <c r="X5"/>
      <c r="Y5"/>
      <c r="Z5"/>
      <c r="AA5"/>
      <c r="AB5"/>
      <c r="AC5"/>
      <c r="AD5"/>
      <c r="AE5"/>
      <c r="AF5"/>
      <c r="AG5"/>
      <c r="AH5"/>
    </row>
    <row r="7" spans="1:34" x14ac:dyDescent="0.25">
      <c r="B7" s="860" t="s">
        <v>313</v>
      </c>
      <c r="C7" s="860"/>
    </row>
    <row r="8" spans="1:34" x14ac:dyDescent="0.25">
      <c r="A8" s="297" t="s">
        <v>133</v>
      </c>
      <c r="B8" s="744">
        <f>IFERROR(IF(Indice!B6="","2XX2",YEAR(Indice!B6)),"2XX2")</f>
        <v>2021</v>
      </c>
      <c r="C8" s="744">
        <f>IFERROR(YEAR(Indice!B6-365),"2XX1")</f>
        <v>2020</v>
      </c>
      <c r="D8" s="137"/>
      <c r="T8"/>
      <c r="U8"/>
      <c r="V8"/>
      <c r="W8"/>
      <c r="X8"/>
      <c r="Y8"/>
      <c r="Z8"/>
      <c r="AA8"/>
      <c r="AB8"/>
      <c r="AC8"/>
      <c r="AD8"/>
      <c r="AE8"/>
      <c r="AF8"/>
      <c r="AG8"/>
      <c r="AH8"/>
    </row>
    <row r="9" spans="1:34" x14ac:dyDescent="0.25">
      <c r="A9" s="138" t="s">
        <v>111</v>
      </c>
      <c r="B9" s="470">
        <v>0</v>
      </c>
      <c r="C9" s="470">
        <v>0</v>
      </c>
      <c r="D9" s="138"/>
      <c r="T9"/>
      <c r="U9"/>
      <c r="V9"/>
      <c r="W9"/>
      <c r="X9"/>
      <c r="Y9"/>
      <c r="Z9"/>
      <c r="AA9"/>
      <c r="AB9"/>
      <c r="AC9"/>
      <c r="AD9"/>
      <c r="AE9"/>
      <c r="AF9"/>
      <c r="AG9"/>
      <c r="AH9"/>
    </row>
    <row r="10" spans="1:34" x14ac:dyDescent="0.25">
      <c r="A10" s="139" t="s">
        <v>134</v>
      </c>
      <c r="B10" s="470">
        <v>0</v>
      </c>
      <c r="C10" s="470">
        <v>0</v>
      </c>
      <c r="D10" s="139"/>
      <c r="T10"/>
      <c r="U10"/>
      <c r="V10"/>
      <c r="W10"/>
      <c r="X10"/>
      <c r="Y10"/>
      <c r="Z10"/>
      <c r="AA10"/>
      <c r="AB10"/>
      <c r="AC10"/>
      <c r="AD10"/>
      <c r="AE10"/>
      <c r="AF10"/>
      <c r="AG10"/>
      <c r="AH10"/>
    </row>
    <row r="11" spans="1:34" x14ac:dyDescent="0.25">
      <c r="A11" s="139" t="s">
        <v>116</v>
      </c>
      <c r="B11" s="470">
        <v>0</v>
      </c>
      <c r="C11" s="470">
        <v>0</v>
      </c>
      <c r="D11" s="139"/>
      <c r="T11"/>
      <c r="U11"/>
      <c r="V11"/>
      <c r="W11"/>
      <c r="X11"/>
      <c r="Y11"/>
      <c r="Z11"/>
      <c r="AA11"/>
      <c r="AB11"/>
      <c r="AC11"/>
      <c r="AD11"/>
      <c r="AE11"/>
      <c r="AF11"/>
      <c r="AG11"/>
      <c r="AH11"/>
    </row>
    <row r="12" spans="1:34" x14ac:dyDescent="0.25">
      <c r="A12" s="139" t="s">
        <v>135</v>
      </c>
      <c r="B12" s="470">
        <v>0</v>
      </c>
      <c r="C12" s="470">
        <v>0</v>
      </c>
      <c r="D12" s="139"/>
      <c r="T12"/>
      <c r="U12"/>
      <c r="V12"/>
      <c r="W12"/>
      <c r="X12"/>
      <c r="Y12"/>
      <c r="Z12"/>
      <c r="AA12"/>
      <c r="AB12"/>
      <c r="AC12"/>
      <c r="AD12"/>
      <c r="AE12"/>
      <c r="AF12"/>
      <c r="AG12"/>
      <c r="AH12"/>
    </row>
    <row r="13" spans="1:34" x14ac:dyDescent="0.25">
      <c r="A13" s="139" t="s">
        <v>136</v>
      </c>
      <c r="B13" s="470">
        <v>0</v>
      </c>
      <c r="C13" s="470">
        <v>0</v>
      </c>
      <c r="D13" s="139"/>
      <c r="T13"/>
      <c r="U13"/>
      <c r="V13"/>
      <c r="W13"/>
      <c r="X13"/>
      <c r="Y13"/>
      <c r="Z13"/>
      <c r="AA13"/>
      <c r="AB13"/>
      <c r="AC13"/>
      <c r="AD13"/>
      <c r="AE13"/>
      <c r="AF13"/>
      <c r="AG13"/>
      <c r="AH13"/>
    </row>
    <row r="14" spans="1:34" x14ac:dyDescent="0.25">
      <c r="A14" s="328" t="s">
        <v>66</v>
      </c>
      <c r="B14" s="470">
        <v>0</v>
      </c>
      <c r="C14" s="470">
        <v>0</v>
      </c>
      <c r="D14" s="138"/>
      <c r="T14"/>
      <c r="U14"/>
      <c r="V14"/>
      <c r="W14"/>
      <c r="X14"/>
      <c r="Y14"/>
      <c r="Z14"/>
      <c r="AA14"/>
      <c r="AB14"/>
      <c r="AC14"/>
      <c r="AD14"/>
      <c r="AE14"/>
      <c r="AF14"/>
      <c r="AG14"/>
      <c r="AH14"/>
    </row>
    <row r="15" spans="1:34" x14ac:dyDescent="0.25">
      <c r="A15" s="128" t="s">
        <v>130</v>
      </c>
      <c r="B15" s="478">
        <f>SUM($B$9:B14)</f>
        <v>0</v>
      </c>
      <c r="C15" s="478">
        <f>SUM($C$9:C14)</f>
        <v>0</v>
      </c>
      <c r="T15"/>
      <c r="U15"/>
      <c r="V15"/>
      <c r="W15"/>
      <c r="X15"/>
      <c r="Y15"/>
      <c r="Z15"/>
      <c r="AA15"/>
      <c r="AB15"/>
      <c r="AC15"/>
      <c r="AD15"/>
      <c r="AE15"/>
      <c r="AF15"/>
      <c r="AG15"/>
      <c r="AH15"/>
    </row>
    <row r="16" spans="1:34" x14ac:dyDescent="0.25">
      <c r="A16" s="140"/>
      <c r="D16" s="139"/>
      <c r="T16"/>
      <c r="U16"/>
      <c r="V16"/>
      <c r="W16"/>
      <c r="X16"/>
      <c r="Y16"/>
      <c r="Z16"/>
      <c r="AA16"/>
      <c r="AB16"/>
      <c r="AC16"/>
      <c r="AD16"/>
      <c r="AE16"/>
      <c r="AF16"/>
      <c r="AG16"/>
      <c r="AH16"/>
    </row>
    <row r="17" spans="1:34" x14ac:dyDescent="0.25">
      <c r="A17" s="139"/>
      <c r="D17" s="139"/>
      <c r="T17"/>
      <c r="U17"/>
      <c r="V17"/>
      <c r="W17"/>
      <c r="X17"/>
      <c r="Y17"/>
      <c r="Z17"/>
      <c r="AA17"/>
      <c r="AB17"/>
      <c r="AC17"/>
      <c r="AD17"/>
      <c r="AE17"/>
      <c r="AF17"/>
      <c r="AG17"/>
      <c r="AH17"/>
    </row>
    <row r="18" spans="1:34" x14ac:dyDescent="0.25">
      <c r="A18" s="140"/>
      <c r="D18" s="139"/>
      <c r="E18" s="138"/>
      <c r="F18" s="138"/>
      <c r="T18"/>
      <c r="U18"/>
      <c r="V18"/>
      <c r="W18"/>
      <c r="X18"/>
      <c r="Y18"/>
      <c r="Z18"/>
      <c r="AA18"/>
      <c r="AB18"/>
      <c r="AC18"/>
      <c r="AD18"/>
      <c r="AE18"/>
      <c r="AF18"/>
      <c r="AG18"/>
      <c r="AH18"/>
    </row>
    <row r="19" spans="1:34" x14ac:dyDescent="0.25">
      <c r="T19"/>
      <c r="U19"/>
      <c r="V19"/>
      <c r="W19"/>
      <c r="X19"/>
      <c r="Y19"/>
      <c r="Z19"/>
      <c r="AA19"/>
      <c r="AB19"/>
      <c r="AC19"/>
      <c r="AD19"/>
      <c r="AE19"/>
      <c r="AF19"/>
      <c r="AG19"/>
      <c r="AH19"/>
    </row>
  </sheetData>
  <mergeCells count="1">
    <mergeCell ref="B7:C7"/>
  </mergeCells>
  <hyperlinks>
    <hyperlink ref="D1" location="BG!A1" display="BG"/>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G12"/>
  <sheetViews>
    <sheetView workbookViewId="0">
      <selection activeCell="B11" sqref="B11"/>
    </sheetView>
  </sheetViews>
  <sheetFormatPr baseColWidth="10" defaultRowHeight="15" x14ac:dyDescent="0.25"/>
  <cols>
    <col min="1" max="1" width="48.42578125" style="123" customWidth="1"/>
    <col min="2" max="3" width="22.7109375" style="123" customWidth="1"/>
    <col min="4" max="33" width="11.42578125" style="123" customWidth="1"/>
  </cols>
  <sheetData>
    <row r="1" spans="1:33" x14ac:dyDescent="0.25">
      <c r="A1" s="123" t="str">
        <f>Indice!C1</f>
        <v>NEGOFIN S.A.E.C.A.</v>
      </c>
      <c r="F1" s="144" t="s">
        <v>132</v>
      </c>
    </row>
    <row r="4" spans="1:33" x14ac:dyDescent="0.25">
      <c r="A4" s="308" t="s">
        <v>332</v>
      </c>
      <c r="B4" s="308"/>
      <c r="C4" s="308"/>
      <c r="D4" s="308"/>
      <c r="T4"/>
      <c r="U4"/>
      <c r="V4"/>
      <c r="W4"/>
      <c r="X4"/>
      <c r="Y4"/>
      <c r="Z4"/>
      <c r="AA4"/>
      <c r="AB4"/>
      <c r="AC4"/>
      <c r="AD4"/>
      <c r="AE4"/>
      <c r="AF4"/>
      <c r="AG4"/>
    </row>
    <row r="6" spans="1:33" x14ac:dyDescent="0.25">
      <c r="B6" s="860" t="s">
        <v>313</v>
      </c>
      <c r="C6" s="860"/>
    </row>
    <row r="7" spans="1:33" x14ac:dyDescent="0.25">
      <c r="A7" s="297" t="s">
        <v>67</v>
      </c>
      <c r="B7" s="342">
        <f>IFERROR(IF(Indice!B6="","2XX2",YEAR(Indice!B6)),"2XX2")</f>
        <v>2021</v>
      </c>
      <c r="C7" s="342">
        <f>IFERROR(YEAR(Indice!B6-365),"2XX1")</f>
        <v>2020</v>
      </c>
    </row>
    <row r="8" spans="1:33" x14ac:dyDescent="0.25">
      <c r="A8" s="123" t="s">
        <v>137</v>
      </c>
      <c r="B8" s="471">
        <v>995618.73899999994</v>
      </c>
      <c r="C8" s="471">
        <f>945392.749+1</f>
        <v>945393.74899999995</v>
      </c>
    </row>
    <row r="9" spans="1:33" x14ac:dyDescent="0.25">
      <c r="A9" s="123" t="s">
        <v>138</v>
      </c>
      <c r="B9" s="471">
        <v>338567.06599999999</v>
      </c>
      <c r="C9" s="471">
        <v>345214.49099999998</v>
      </c>
    </row>
    <row r="10" spans="1:33" x14ac:dyDescent="0.25">
      <c r="A10" s="123" t="s">
        <v>139</v>
      </c>
      <c r="B10" s="471">
        <v>0</v>
      </c>
      <c r="C10" s="471">
        <v>0</v>
      </c>
    </row>
    <row r="11" spans="1:33" x14ac:dyDescent="0.25">
      <c r="A11" s="123" t="s">
        <v>140</v>
      </c>
      <c r="B11" s="471"/>
      <c r="C11" s="471"/>
    </row>
    <row r="12" spans="1:33" x14ac:dyDescent="0.25">
      <c r="A12" s="123" t="s">
        <v>3</v>
      </c>
      <c r="B12" s="472">
        <f>SUM($B$8:B11)</f>
        <v>1334185.8049999999</v>
      </c>
      <c r="C12" s="472">
        <f>SUM($C$8:C11)</f>
        <v>1290608.24</v>
      </c>
    </row>
  </sheetData>
  <mergeCells count="1">
    <mergeCell ref="B6:C6"/>
  </mergeCells>
  <hyperlinks>
    <hyperlink ref="F1" location="BG!A1" display="BG"/>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P12"/>
  <sheetViews>
    <sheetView workbookViewId="0">
      <selection activeCell="B10" sqref="B10"/>
    </sheetView>
  </sheetViews>
  <sheetFormatPr baseColWidth="10" defaultRowHeight="15" x14ac:dyDescent="0.25"/>
  <cols>
    <col min="1" max="1" width="51.5703125" style="123" customWidth="1"/>
    <col min="2" max="3" width="22.7109375" style="123" customWidth="1"/>
    <col min="4" max="16" width="11.42578125" style="123" customWidth="1"/>
  </cols>
  <sheetData>
    <row r="1" spans="1:7" x14ac:dyDescent="0.25">
      <c r="A1" s="123" t="str">
        <f>Indice!C1</f>
        <v>NEGOFIN S.A.E.C.A.</v>
      </c>
      <c r="G1" s="144" t="s">
        <v>132</v>
      </c>
    </row>
    <row r="5" spans="1:7" x14ac:dyDescent="0.25">
      <c r="A5" s="308" t="s">
        <v>348</v>
      </c>
      <c r="B5" s="308"/>
      <c r="C5" s="308"/>
      <c r="D5" s="308"/>
    </row>
    <row r="6" spans="1:7" s="24" customFormat="1" x14ac:dyDescent="0.25">
      <c r="A6" s="145"/>
      <c r="B6" s="145"/>
      <c r="C6" s="145"/>
      <c r="D6" s="145"/>
    </row>
    <row r="7" spans="1:7" x14ac:dyDescent="0.25">
      <c r="B7" s="860" t="s">
        <v>313</v>
      </c>
      <c r="C7" s="860"/>
    </row>
    <row r="8" spans="1:7" x14ac:dyDescent="0.25">
      <c r="A8" s="298" t="s">
        <v>68</v>
      </c>
      <c r="B8" s="342">
        <f>IFERROR(IF(Indice!B6="","2XX2",YEAR(Indice!B6)),"2XX2")</f>
        <v>2021</v>
      </c>
      <c r="C8" s="342">
        <f>IFERROR(YEAR(Indice!B6-365),"2XX1")</f>
        <v>2020</v>
      </c>
    </row>
    <row r="9" spans="1:7" x14ac:dyDescent="0.25">
      <c r="A9" s="123" t="s">
        <v>141</v>
      </c>
      <c r="B9" s="471">
        <v>3541229.9649999999</v>
      </c>
      <c r="C9" s="471">
        <v>1277375.824</v>
      </c>
    </row>
    <row r="10" spans="1:7" x14ac:dyDescent="0.25">
      <c r="A10" s="123" t="s">
        <v>142</v>
      </c>
      <c r="B10" s="471">
        <v>0</v>
      </c>
      <c r="C10" s="471">
        <v>0</v>
      </c>
    </row>
    <row r="11" spans="1:7" x14ac:dyDescent="0.25">
      <c r="A11" s="123" t="s">
        <v>143</v>
      </c>
      <c r="B11" s="471">
        <v>0</v>
      </c>
      <c r="C11" s="471">
        <v>0</v>
      </c>
    </row>
    <row r="12" spans="1:7" x14ac:dyDescent="0.25">
      <c r="A12" s="123" t="s">
        <v>3</v>
      </c>
      <c r="B12" s="472">
        <f>SUM($B$9:B11)</f>
        <v>3541229.9649999999</v>
      </c>
      <c r="C12" s="472">
        <f>SUM($C$9:C11)</f>
        <v>1277375.824</v>
      </c>
    </row>
  </sheetData>
  <mergeCells count="1">
    <mergeCell ref="B7:C7"/>
  </mergeCells>
  <hyperlinks>
    <hyperlink ref="G1" location="BG!A1" display="BG"/>
  </hyperlinks>
  <pageMargins left="0.7" right="0.7" top="0.75" bottom="0.75" header="0.3" footer="0.3"/>
  <pageSetup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M41"/>
  <sheetViews>
    <sheetView showGridLines="0" topLeftCell="A43" workbookViewId="0">
      <selection activeCell="C11" sqref="C11"/>
    </sheetView>
  </sheetViews>
  <sheetFormatPr baseColWidth="10" defaultRowHeight="15" x14ac:dyDescent="0.25"/>
  <cols>
    <col min="1" max="1" width="36.140625" style="123" bestFit="1" customWidth="1"/>
    <col min="2" max="3" width="22.7109375" style="123" customWidth="1"/>
    <col min="4" max="13" width="11.42578125" style="123" customWidth="1"/>
  </cols>
  <sheetData>
    <row r="1" spans="1:13" x14ac:dyDescent="0.25">
      <c r="A1" s="123" t="str">
        <f>Indice!C1</f>
        <v>NEGOFIN S.A.E.C.A.</v>
      </c>
      <c r="D1" s="144" t="s">
        <v>132</v>
      </c>
    </row>
    <row r="4" spans="1:13" x14ac:dyDescent="0.25">
      <c r="A4" s="864" t="s">
        <v>334</v>
      </c>
      <c r="B4" s="864"/>
      <c r="C4" s="864"/>
      <c r="D4" s="864"/>
    </row>
    <row r="6" spans="1:13" x14ac:dyDescent="0.25">
      <c r="B6" s="860" t="s">
        <v>313</v>
      </c>
      <c r="C6" s="860"/>
    </row>
    <row r="7" spans="1:13" x14ac:dyDescent="0.25">
      <c r="A7" s="869" t="s">
        <v>69</v>
      </c>
      <c r="B7" s="342">
        <f>IFERROR(IF(Indice!B6="","2XX2",YEAR(Indice!B6)),"2XX2")</f>
        <v>2021</v>
      </c>
      <c r="C7" s="342">
        <f>IFERROR(YEAR(Indice!B6-365),"2XX1")</f>
        <v>2020</v>
      </c>
    </row>
    <row r="8" spans="1:13" x14ac:dyDescent="0.25">
      <c r="A8" s="869"/>
      <c r="B8" s="414"/>
      <c r="C8" s="414"/>
    </row>
    <row r="9" spans="1:13" s="295" customFormat="1" x14ac:dyDescent="0.25">
      <c r="A9" s="331" t="s">
        <v>850</v>
      </c>
      <c r="B9" s="471">
        <v>0</v>
      </c>
      <c r="C9" s="471">
        <v>0</v>
      </c>
      <c r="D9" s="123"/>
      <c r="E9" s="123"/>
      <c r="F9" s="123"/>
      <c r="G9" s="123"/>
      <c r="H9" s="123"/>
      <c r="I9" s="123"/>
      <c r="J9" s="123"/>
      <c r="K9" s="123"/>
      <c r="L9" s="123"/>
      <c r="M9" s="123"/>
    </row>
    <row r="10" spans="1:13" s="295" customFormat="1" x14ac:dyDescent="0.25">
      <c r="A10" s="331" t="s">
        <v>851</v>
      </c>
      <c r="B10" s="471">
        <v>0</v>
      </c>
      <c r="C10" s="471">
        <v>0</v>
      </c>
      <c r="D10" s="123"/>
      <c r="E10" s="123"/>
      <c r="F10" s="123"/>
      <c r="G10" s="123"/>
      <c r="H10" s="123"/>
      <c r="I10" s="123"/>
      <c r="J10" s="123"/>
      <c r="K10" s="123"/>
      <c r="L10" s="123"/>
      <c r="M10" s="123"/>
    </row>
    <row r="11" spans="1:13" s="295" customFormat="1" x14ac:dyDescent="0.25">
      <c r="A11" s="331" t="s">
        <v>1282</v>
      </c>
      <c r="B11" s="471">
        <v>5780</v>
      </c>
      <c r="C11" s="471">
        <v>0</v>
      </c>
      <c r="D11" s="123"/>
      <c r="E11" s="123"/>
      <c r="F11" s="123"/>
      <c r="G11" s="123"/>
      <c r="H11" s="123"/>
      <c r="I11" s="123"/>
      <c r="J11" s="123"/>
      <c r="K11" s="123"/>
      <c r="L11" s="123"/>
      <c r="M11" s="123"/>
    </row>
    <row r="12" spans="1:13" s="452" customFormat="1" x14ac:dyDescent="0.25">
      <c r="A12" s="331" t="s">
        <v>966</v>
      </c>
      <c r="B12" s="471">
        <v>0</v>
      </c>
      <c r="C12" s="471">
        <v>15185</v>
      </c>
      <c r="D12" s="123"/>
      <c r="E12" s="123"/>
      <c r="F12" s="123"/>
      <c r="G12" s="123"/>
      <c r="H12" s="123"/>
      <c r="I12" s="123"/>
      <c r="J12" s="123"/>
      <c r="K12" s="123"/>
      <c r="L12" s="123"/>
      <c r="M12" s="123"/>
    </row>
    <row r="13" spans="1:13" s="698" customFormat="1" x14ac:dyDescent="0.25">
      <c r="A13" s="331" t="s">
        <v>1283</v>
      </c>
      <c r="B13" s="471">
        <v>0</v>
      </c>
      <c r="C13" s="471">
        <v>223571.09599999999</v>
      </c>
      <c r="D13" s="123"/>
      <c r="E13" s="123"/>
      <c r="F13" s="123"/>
      <c r="G13" s="123"/>
      <c r="H13" s="123"/>
      <c r="I13" s="123"/>
      <c r="J13" s="123"/>
      <c r="K13" s="123"/>
      <c r="L13" s="123"/>
      <c r="M13" s="123"/>
    </row>
    <row r="14" spans="1:13" s="452" customFormat="1" x14ac:dyDescent="0.25">
      <c r="A14" s="331" t="s">
        <v>967</v>
      </c>
      <c r="B14" s="471">
        <v>185647.30799999999</v>
      </c>
      <c r="C14" s="471">
        <v>194570.671</v>
      </c>
      <c r="D14" s="123"/>
      <c r="E14" s="123"/>
      <c r="F14" s="123"/>
      <c r="G14" s="123"/>
      <c r="H14" s="123"/>
      <c r="I14" s="123"/>
      <c r="J14" s="123"/>
      <c r="K14" s="123"/>
      <c r="L14" s="123"/>
      <c r="M14" s="123"/>
    </row>
    <row r="15" spans="1:13" s="452" customFormat="1" x14ac:dyDescent="0.25">
      <c r="A15" s="331" t="s">
        <v>968</v>
      </c>
      <c r="B15" s="471">
        <v>2662.8939999999998</v>
      </c>
      <c r="C15" s="471">
        <v>0</v>
      </c>
      <c r="D15" s="123"/>
      <c r="E15" s="123"/>
      <c r="F15" s="123"/>
      <c r="G15" s="123"/>
      <c r="H15" s="123"/>
      <c r="I15" s="123"/>
      <c r="J15" s="123"/>
      <c r="K15" s="123"/>
      <c r="L15" s="123"/>
      <c r="M15" s="123"/>
    </row>
    <row r="16" spans="1:13" s="452" customFormat="1" x14ac:dyDescent="0.25">
      <c r="A16" s="331" t="s">
        <v>987</v>
      </c>
      <c r="B16" s="471">
        <v>0</v>
      </c>
      <c r="C16" s="471">
        <v>73</v>
      </c>
      <c r="D16" s="123"/>
      <c r="E16" s="123"/>
      <c r="F16" s="123"/>
      <c r="G16" s="123"/>
      <c r="H16" s="123"/>
      <c r="I16" s="123"/>
      <c r="J16" s="123"/>
      <c r="K16" s="123"/>
      <c r="L16" s="123"/>
      <c r="M16" s="123"/>
    </row>
    <row r="17" spans="1:13" s="452" customFormat="1" x14ac:dyDescent="0.25">
      <c r="A17" s="331" t="s">
        <v>1284</v>
      </c>
      <c r="B17" s="471">
        <v>657.85500000000002</v>
      </c>
      <c r="C17" s="471">
        <v>0</v>
      </c>
      <c r="D17" s="123"/>
      <c r="E17" s="123"/>
      <c r="F17" s="123"/>
      <c r="G17" s="123"/>
      <c r="H17" s="123"/>
      <c r="I17" s="123"/>
      <c r="J17" s="123"/>
      <c r="K17" s="123"/>
      <c r="L17" s="123"/>
      <c r="M17" s="123"/>
    </row>
    <row r="18" spans="1:13" s="452" customFormat="1" x14ac:dyDescent="0.25">
      <c r="A18" s="331" t="s">
        <v>988</v>
      </c>
      <c r="B18" s="471">
        <v>9347.1</v>
      </c>
      <c r="C18" s="471">
        <v>12313.35</v>
      </c>
      <c r="D18" s="123"/>
      <c r="E18" s="123"/>
      <c r="F18" s="123"/>
      <c r="G18" s="123"/>
      <c r="H18" s="123"/>
      <c r="I18" s="123"/>
      <c r="J18" s="123"/>
      <c r="K18" s="123"/>
      <c r="L18" s="123"/>
      <c r="M18" s="123"/>
    </row>
    <row r="19" spans="1:13" s="452" customFormat="1" x14ac:dyDescent="0.25">
      <c r="A19" s="331" t="s">
        <v>989</v>
      </c>
      <c r="B19" s="471">
        <v>12506.942999999999</v>
      </c>
      <c r="C19" s="471">
        <v>14470.438</v>
      </c>
      <c r="D19" s="123"/>
      <c r="E19" s="123"/>
      <c r="F19" s="123"/>
      <c r="G19" s="123"/>
      <c r="H19" s="123"/>
      <c r="I19" s="123"/>
      <c r="J19" s="123"/>
      <c r="K19" s="123"/>
      <c r="L19" s="123"/>
      <c r="M19" s="123"/>
    </row>
    <row r="20" spans="1:13" s="452" customFormat="1" x14ac:dyDescent="0.25">
      <c r="A20" s="331" t="s">
        <v>990</v>
      </c>
      <c r="B20" s="471">
        <v>0</v>
      </c>
      <c r="C20" s="471">
        <v>696.8</v>
      </c>
      <c r="D20" s="123"/>
      <c r="E20" s="123"/>
      <c r="F20" s="123"/>
      <c r="G20" s="123"/>
      <c r="H20" s="123"/>
      <c r="I20" s="123"/>
      <c r="J20" s="123"/>
      <c r="K20" s="123"/>
      <c r="L20" s="123"/>
      <c r="M20" s="123"/>
    </row>
    <row r="21" spans="1:13" s="452" customFormat="1" x14ac:dyDescent="0.25">
      <c r="A21" s="331" t="s">
        <v>991</v>
      </c>
      <c r="B21" s="471">
        <v>3069.99</v>
      </c>
      <c r="C21" s="471">
        <v>8553.8009999999995</v>
      </c>
      <c r="D21" s="123"/>
      <c r="E21" s="123"/>
      <c r="F21" s="123"/>
      <c r="G21" s="123"/>
      <c r="H21" s="123"/>
      <c r="I21" s="123"/>
      <c r="J21" s="123"/>
      <c r="K21" s="123"/>
      <c r="L21" s="123"/>
      <c r="M21" s="123"/>
    </row>
    <row r="22" spans="1:13" s="452" customFormat="1" x14ac:dyDescent="0.25">
      <c r="A22" s="331" t="s">
        <v>992</v>
      </c>
      <c r="B22" s="471">
        <v>4531.8900000000003</v>
      </c>
      <c r="C22" s="471">
        <v>6046.32</v>
      </c>
      <c r="D22" s="123"/>
      <c r="E22" s="123"/>
      <c r="F22" s="123"/>
      <c r="G22" s="123"/>
      <c r="H22" s="123"/>
      <c r="I22" s="123"/>
      <c r="J22" s="123"/>
      <c r="K22" s="123"/>
      <c r="L22" s="123"/>
      <c r="M22" s="123"/>
    </row>
    <row r="23" spans="1:13" s="452" customFormat="1" x14ac:dyDescent="0.25">
      <c r="A23" s="331" t="s">
        <v>993</v>
      </c>
      <c r="B23" s="471">
        <v>54093.828000000001</v>
      </c>
      <c r="C23" s="471">
        <v>47553.302000000003</v>
      </c>
      <c r="D23" s="123"/>
      <c r="E23" s="123"/>
      <c r="F23" s="123"/>
      <c r="G23" s="123"/>
      <c r="H23" s="123"/>
      <c r="I23" s="123"/>
      <c r="J23" s="123"/>
      <c r="K23" s="123"/>
      <c r="L23" s="123"/>
      <c r="M23" s="123"/>
    </row>
    <row r="24" spans="1:13" s="452" customFormat="1" x14ac:dyDescent="0.25">
      <c r="A24" s="331" t="s">
        <v>994</v>
      </c>
      <c r="B24" s="471">
        <v>13142.5</v>
      </c>
      <c r="C24" s="471">
        <v>13142.5</v>
      </c>
      <c r="D24" s="123"/>
      <c r="E24" s="123"/>
      <c r="F24" s="123"/>
      <c r="G24" s="123"/>
      <c r="H24" s="123"/>
      <c r="I24" s="123"/>
      <c r="J24" s="123"/>
      <c r="K24" s="123"/>
      <c r="L24" s="123"/>
      <c r="M24" s="123"/>
    </row>
    <row r="25" spans="1:13" s="452" customFormat="1" x14ac:dyDescent="0.25">
      <c r="A25" s="331" t="s">
        <v>995</v>
      </c>
      <c r="B25" s="471">
        <v>8858.7880000000005</v>
      </c>
      <c r="C25" s="471">
        <v>8323.2000000000007</v>
      </c>
      <c r="D25" s="123"/>
      <c r="E25" s="123"/>
      <c r="F25" s="123"/>
      <c r="G25" s="123"/>
      <c r="H25" s="123"/>
      <c r="I25" s="123"/>
      <c r="J25" s="123"/>
      <c r="K25" s="123"/>
      <c r="L25" s="123"/>
      <c r="M25" s="123"/>
    </row>
    <row r="26" spans="1:13" s="452" customFormat="1" x14ac:dyDescent="0.25">
      <c r="A26" s="331" t="s">
        <v>996</v>
      </c>
      <c r="B26" s="471">
        <v>6773.6</v>
      </c>
      <c r="C26" s="471">
        <v>6773.6809999999996</v>
      </c>
      <c r="D26" s="123"/>
      <c r="E26" s="123"/>
      <c r="F26" s="123"/>
      <c r="G26" s="123"/>
      <c r="H26" s="123"/>
      <c r="I26" s="123"/>
      <c r="J26" s="123"/>
      <c r="K26" s="123"/>
      <c r="L26" s="123"/>
      <c r="M26" s="123"/>
    </row>
    <row r="27" spans="1:13" s="452" customFormat="1" x14ac:dyDescent="0.25">
      <c r="A27" s="331" t="s">
        <v>997</v>
      </c>
      <c r="B27" s="471">
        <v>9246.1380000000008</v>
      </c>
      <c r="C27" s="471">
        <v>21508</v>
      </c>
      <c r="D27" s="123"/>
      <c r="E27" s="123"/>
      <c r="F27" s="123"/>
      <c r="G27" s="123"/>
      <c r="H27" s="123"/>
      <c r="I27" s="123"/>
      <c r="J27" s="123"/>
      <c r="K27" s="123"/>
      <c r="L27" s="123"/>
      <c r="M27" s="123"/>
    </row>
    <row r="28" spans="1:13" s="452" customFormat="1" x14ac:dyDescent="0.25">
      <c r="A28" s="331" t="s">
        <v>998</v>
      </c>
      <c r="B28" s="471">
        <v>7192.7</v>
      </c>
      <c r="C28" s="471">
        <v>7192.3</v>
      </c>
      <c r="D28" s="123"/>
      <c r="E28" s="123"/>
      <c r="F28" s="123"/>
      <c r="G28" s="123"/>
      <c r="H28" s="123"/>
      <c r="I28" s="123"/>
      <c r="J28" s="123"/>
      <c r="K28" s="123"/>
      <c r="L28" s="123"/>
      <c r="M28" s="123"/>
    </row>
    <row r="29" spans="1:13" s="452" customFormat="1" x14ac:dyDescent="0.25">
      <c r="A29" s="331" t="s">
        <v>999</v>
      </c>
      <c r="B29" s="471">
        <v>4569.6000000000004</v>
      </c>
      <c r="C29" s="471">
        <v>6631.1329999999998</v>
      </c>
      <c r="D29" s="123"/>
      <c r="E29" s="123"/>
      <c r="F29" s="123"/>
      <c r="G29" s="123"/>
      <c r="H29" s="123"/>
      <c r="I29" s="123"/>
      <c r="J29" s="123"/>
      <c r="K29" s="123"/>
      <c r="L29" s="123"/>
      <c r="M29" s="123"/>
    </row>
    <row r="30" spans="1:13" s="452" customFormat="1" x14ac:dyDescent="0.25">
      <c r="A30" s="331" t="s">
        <v>1000</v>
      </c>
      <c r="B30" s="471">
        <v>31808.702000000001</v>
      </c>
      <c r="C30" s="471">
        <v>31808.702000000001</v>
      </c>
      <c r="D30" s="123"/>
      <c r="E30" s="123"/>
      <c r="F30" s="123"/>
      <c r="G30" s="123"/>
      <c r="H30" s="123"/>
      <c r="I30" s="123"/>
      <c r="J30" s="123"/>
      <c r="K30" s="123"/>
      <c r="L30" s="123"/>
      <c r="M30" s="123"/>
    </row>
    <row r="31" spans="1:13" s="452" customFormat="1" x14ac:dyDescent="0.25">
      <c r="A31" s="331" t="s">
        <v>1002</v>
      </c>
      <c r="B31" s="471">
        <v>10242.700000000001</v>
      </c>
      <c r="C31" s="471">
        <v>10242.700000000001</v>
      </c>
      <c r="D31" s="123"/>
      <c r="E31" s="123"/>
      <c r="F31" s="123"/>
      <c r="G31" s="123"/>
      <c r="H31" s="123"/>
      <c r="I31" s="123"/>
      <c r="J31" s="123"/>
      <c r="K31" s="123"/>
      <c r="L31" s="123"/>
      <c r="M31" s="123"/>
    </row>
    <row r="32" spans="1:13" s="452" customFormat="1" x14ac:dyDescent="0.25">
      <c r="A32" s="331" t="s">
        <v>1001</v>
      </c>
      <c r="B32" s="471">
        <v>11587.478999999999</v>
      </c>
      <c r="C32" s="471">
        <v>11051.978999999999</v>
      </c>
      <c r="D32" s="123"/>
      <c r="E32" s="123"/>
      <c r="F32" s="123"/>
      <c r="G32" s="123"/>
      <c r="H32" s="123"/>
      <c r="I32" s="123"/>
      <c r="J32" s="123"/>
      <c r="K32" s="123"/>
      <c r="L32" s="123"/>
      <c r="M32" s="123"/>
    </row>
    <row r="33" spans="1:13" s="452" customFormat="1" x14ac:dyDescent="0.25">
      <c r="A33" s="331" t="s">
        <v>1003</v>
      </c>
      <c r="B33" s="471">
        <v>118462.826</v>
      </c>
      <c r="C33" s="471">
        <v>60766.826000000001</v>
      </c>
      <c r="D33" s="123"/>
      <c r="E33" s="123"/>
      <c r="F33" s="123"/>
      <c r="G33" s="123"/>
      <c r="H33" s="123"/>
      <c r="I33" s="123"/>
      <c r="J33" s="123"/>
      <c r="K33" s="123"/>
      <c r="L33" s="123"/>
      <c r="M33" s="123"/>
    </row>
    <row r="34" spans="1:13" s="452" customFormat="1" x14ac:dyDescent="0.25">
      <c r="A34" s="331" t="s">
        <v>1008</v>
      </c>
      <c r="B34" s="471">
        <v>4150</v>
      </c>
      <c r="C34" s="471">
        <v>0</v>
      </c>
      <c r="D34" s="123"/>
      <c r="E34" s="123"/>
      <c r="F34" s="123"/>
      <c r="G34" s="123"/>
      <c r="H34" s="123"/>
      <c r="I34" s="123"/>
      <c r="J34" s="123"/>
      <c r="K34" s="123"/>
      <c r="L34" s="123"/>
      <c r="M34" s="123"/>
    </row>
    <row r="35" spans="1:13" s="452" customFormat="1" x14ac:dyDescent="0.25">
      <c r="A35" s="331" t="s">
        <v>1004</v>
      </c>
      <c r="B35" s="471">
        <v>586</v>
      </c>
      <c r="C35" s="471">
        <v>586</v>
      </c>
      <c r="D35" s="123"/>
      <c r="E35" s="123"/>
      <c r="F35" s="123"/>
      <c r="G35" s="123"/>
      <c r="H35" s="123"/>
      <c r="I35" s="123"/>
      <c r="J35" s="123"/>
      <c r="K35" s="123"/>
      <c r="L35" s="123"/>
      <c r="M35" s="123"/>
    </row>
    <row r="36" spans="1:13" s="452" customFormat="1" x14ac:dyDescent="0.25">
      <c r="A36" s="331" t="s">
        <v>1005</v>
      </c>
      <c r="B36" s="471">
        <v>4642</v>
      </c>
      <c r="C36" s="471">
        <v>582</v>
      </c>
      <c r="D36" s="123"/>
      <c r="E36" s="123"/>
      <c r="F36" s="123"/>
      <c r="G36" s="123"/>
      <c r="H36" s="123"/>
      <c r="I36" s="123"/>
      <c r="J36" s="123"/>
      <c r="K36" s="123"/>
      <c r="L36" s="123"/>
      <c r="M36" s="123"/>
    </row>
    <row r="37" spans="1:13" s="452" customFormat="1" x14ac:dyDescent="0.25">
      <c r="A37" s="331" t="s">
        <v>1006</v>
      </c>
      <c r="B37" s="471">
        <v>978.9</v>
      </c>
      <c r="C37" s="471">
        <v>704.9</v>
      </c>
      <c r="D37" s="123"/>
      <c r="E37" s="123"/>
      <c r="F37" s="123"/>
      <c r="G37" s="123"/>
      <c r="H37" s="123"/>
      <c r="I37" s="123"/>
      <c r="J37" s="123"/>
      <c r="K37" s="123"/>
      <c r="L37" s="123"/>
      <c r="M37" s="123"/>
    </row>
    <row r="38" spans="1:13" s="698" customFormat="1" x14ac:dyDescent="0.25">
      <c r="A38" s="331" t="s">
        <v>1285</v>
      </c>
      <c r="B38" s="471">
        <v>297</v>
      </c>
      <c r="C38" s="471">
        <v>0</v>
      </c>
      <c r="D38" s="123"/>
      <c r="E38" s="123"/>
      <c r="F38" s="123"/>
      <c r="G38" s="123"/>
      <c r="H38" s="123"/>
      <c r="I38" s="123"/>
      <c r="J38" s="123"/>
      <c r="K38" s="123"/>
      <c r="L38" s="123"/>
      <c r="M38" s="123"/>
    </row>
    <row r="39" spans="1:13" s="452" customFormat="1" x14ac:dyDescent="0.25">
      <c r="A39" s="331" t="s">
        <v>1007</v>
      </c>
      <c r="B39" s="471">
        <v>543</v>
      </c>
      <c r="C39" s="471">
        <v>543</v>
      </c>
      <c r="D39" s="123"/>
      <c r="E39" s="123"/>
      <c r="F39" s="123"/>
      <c r="G39" s="123"/>
      <c r="H39" s="123"/>
      <c r="I39" s="123"/>
      <c r="J39" s="123"/>
      <c r="K39" s="123"/>
      <c r="L39" s="123"/>
      <c r="M39" s="123"/>
    </row>
    <row r="40" spans="1:13" x14ac:dyDescent="0.25">
      <c r="A40" s="123" t="s">
        <v>335</v>
      </c>
      <c r="B40" s="471"/>
      <c r="C40" s="471"/>
    </row>
    <row r="41" spans="1:13" x14ac:dyDescent="0.25">
      <c r="A41" s="123" t="s">
        <v>3</v>
      </c>
      <c r="B41" s="478">
        <f>SUM($B$9:B40)</f>
        <v>511379.74099999998</v>
      </c>
      <c r="C41" s="478">
        <f>SUM($C$9:C40)</f>
        <v>702890.69900000002</v>
      </c>
    </row>
  </sheetData>
  <mergeCells count="3">
    <mergeCell ref="A4:D4"/>
    <mergeCell ref="A7:A8"/>
    <mergeCell ref="B6:C6"/>
  </mergeCells>
  <hyperlinks>
    <hyperlink ref="D1" location="BG!A1" display="BG"/>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48"/>
  <sheetViews>
    <sheetView showGridLines="0" topLeftCell="A31" workbookViewId="0">
      <selection activeCell="B47" sqref="B47:C48"/>
    </sheetView>
  </sheetViews>
  <sheetFormatPr baseColWidth="10" defaultRowHeight="15" x14ac:dyDescent="0.25"/>
  <cols>
    <col min="1" max="1" width="51.140625" customWidth="1"/>
    <col min="2" max="2" width="17.85546875" customWidth="1"/>
    <col min="3" max="3" width="14.85546875" bestFit="1" customWidth="1"/>
    <col min="4" max="4" width="3.42578125" bestFit="1" customWidth="1"/>
    <col min="5" max="5" width="51.5703125" bestFit="1" customWidth="1"/>
    <col min="6" max="7" width="17.140625" customWidth="1"/>
  </cols>
  <sheetData>
    <row r="1" spans="1:7" x14ac:dyDescent="0.25">
      <c r="A1" t="str">
        <f>Indice!C1</f>
        <v>NEGOFIN S.A.E.C.A.</v>
      </c>
      <c r="D1" s="143" t="s">
        <v>132</v>
      </c>
    </row>
    <row r="3" spans="1:7" x14ac:dyDescent="0.25">
      <c r="A3" s="308" t="s">
        <v>336</v>
      </c>
      <c r="B3" s="308"/>
      <c r="C3" s="308"/>
    </row>
    <row r="4" spans="1:7" x14ac:dyDescent="0.25">
      <c r="A4" s="870" t="s">
        <v>313</v>
      </c>
      <c r="B4" s="870"/>
    </row>
    <row r="5" spans="1:7" x14ac:dyDescent="0.25">
      <c r="A5" s="10"/>
      <c r="E5" s="10"/>
      <c r="F5" s="296"/>
      <c r="G5" s="296"/>
    </row>
    <row r="6" spans="1:7" x14ac:dyDescent="0.25">
      <c r="A6" s="20" t="s">
        <v>65</v>
      </c>
      <c r="B6" s="396">
        <f>IFERROR(IF(Indice!B6="","2XX2",YEAR(Indice!B6)),"2XX2")</f>
        <v>2021</v>
      </c>
      <c r="C6" s="396">
        <f>IFERROR(YEAR(Indice!B6-365),"2XX1")</f>
        <v>2020</v>
      </c>
      <c r="E6" s="20" t="s">
        <v>838</v>
      </c>
      <c r="F6" s="396">
        <f>IFERROR(IF(Indice!B6="","2XX2",YEAR(Indice!B6)),"2XX2")</f>
        <v>2021</v>
      </c>
      <c r="G6" s="396">
        <f>IFERROR(YEAR(Indice!B6-365),"2XX1")</f>
        <v>2020</v>
      </c>
    </row>
    <row r="7" spans="1:7" x14ac:dyDescent="0.25">
      <c r="A7" s="10" t="s">
        <v>144</v>
      </c>
      <c r="B7" s="461">
        <v>13186.394</v>
      </c>
      <c r="C7" s="461">
        <v>0</v>
      </c>
      <c r="E7" s="10" t="s">
        <v>144</v>
      </c>
      <c r="F7" s="461">
        <v>0</v>
      </c>
      <c r="G7" s="461">
        <v>0</v>
      </c>
    </row>
    <row r="8" spans="1:7" x14ac:dyDescent="0.25">
      <c r="A8" s="21" t="s">
        <v>20</v>
      </c>
      <c r="B8" s="474">
        <v>19779.572</v>
      </c>
      <c r="C8" s="475">
        <v>0</v>
      </c>
      <c r="E8" s="21" t="s">
        <v>20</v>
      </c>
      <c r="F8" s="461">
        <v>0</v>
      </c>
      <c r="G8" s="461">
        <v>0</v>
      </c>
    </row>
    <row r="9" spans="1:7" x14ac:dyDescent="0.25">
      <c r="A9" s="21" t="s">
        <v>1287</v>
      </c>
      <c r="B9" s="474">
        <v>1300</v>
      </c>
      <c r="C9" s="475">
        <v>0</v>
      </c>
      <c r="E9" s="21" t="s">
        <v>21</v>
      </c>
      <c r="F9" s="461">
        <v>0</v>
      </c>
      <c r="G9" s="461">
        <v>0</v>
      </c>
    </row>
    <row r="10" spans="1:7" x14ac:dyDescent="0.25">
      <c r="A10" s="21" t="s">
        <v>146</v>
      </c>
      <c r="B10" s="474">
        <v>0</v>
      </c>
      <c r="C10" s="475">
        <v>0</v>
      </c>
      <c r="E10" s="21" t="s">
        <v>147</v>
      </c>
      <c r="F10" s="461">
        <v>0</v>
      </c>
      <c r="G10" s="461">
        <v>0</v>
      </c>
    </row>
    <row r="11" spans="1:7" x14ac:dyDescent="0.25">
      <c r="A11" s="10" t="s">
        <v>848</v>
      </c>
      <c r="B11" s="474">
        <v>0</v>
      </c>
      <c r="C11" s="475">
        <v>0</v>
      </c>
      <c r="E11" s="10" t="s">
        <v>848</v>
      </c>
      <c r="F11" s="461">
        <v>0</v>
      </c>
      <c r="G11" s="461">
        <v>0</v>
      </c>
    </row>
    <row r="12" spans="1:7" x14ac:dyDescent="0.25">
      <c r="A12" s="10" t="s">
        <v>1009</v>
      </c>
      <c r="B12" s="474">
        <v>56</v>
      </c>
      <c r="C12" s="475">
        <v>13848.005999999999</v>
      </c>
      <c r="E12" s="10" t="s">
        <v>145</v>
      </c>
      <c r="F12" s="461">
        <v>0</v>
      </c>
      <c r="G12" s="461">
        <v>0</v>
      </c>
    </row>
    <row r="13" spans="1:7" x14ac:dyDescent="0.25">
      <c r="A13" s="10" t="s">
        <v>1010</v>
      </c>
      <c r="B13" s="474">
        <v>80902.486999999994</v>
      </c>
      <c r="C13" s="475">
        <v>81903.967999999993</v>
      </c>
      <c r="E13" s="311" t="s">
        <v>66</v>
      </c>
      <c r="F13" s="461">
        <v>0</v>
      </c>
      <c r="G13" s="461">
        <v>0</v>
      </c>
    </row>
    <row r="14" spans="1:7" s="24" customFormat="1" ht="15.75" thickBot="1" x14ac:dyDescent="0.3">
      <c r="A14" s="10" t="s">
        <v>1011</v>
      </c>
      <c r="B14" s="474">
        <v>155238.90299999999</v>
      </c>
      <c r="C14" s="475">
        <v>431140.967</v>
      </c>
      <c r="E14" s="23" t="s">
        <v>18</v>
      </c>
      <c r="F14" s="476">
        <f>SUM(F8:F13)</f>
        <v>0</v>
      </c>
      <c r="G14" s="477">
        <f>SUM(G8:G13)</f>
        <v>0</v>
      </c>
    </row>
    <row r="15" spans="1:7" s="24" customFormat="1" ht="15.75" thickTop="1" x14ac:dyDescent="0.25">
      <c r="A15" s="10" t="s">
        <v>1012</v>
      </c>
      <c r="B15" s="474">
        <v>22018.57</v>
      </c>
      <c r="C15" s="475">
        <v>90597.756999999998</v>
      </c>
    </row>
    <row r="16" spans="1:7" x14ac:dyDescent="0.25">
      <c r="A16" s="10" t="s">
        <v>1013</v>
      </c>
      <c r="B16" s="474">
        <v>3983</v>
      </c>
      <c r="C16" s="475">
        <v>79041.432000000001</v>
      </c>
      <c r="E16" s="23"/>
      <c r="F16" s="10"/>
      <c r="G16" s="16"/>
    </row>
    <row r="17" spans="1:3" x14ac:dyDescent="0.25">
      <c r="A17" s="10" t="s">
        <v>1003</v>
      </c>
      <c r="B17" s="474">
        <v>110108.13499999999</v>
      </c>
      <c r="C17" s="475">
        <v>0</v>
      </c>
    </row>
    <row r="18" spans="1:3" x14ac:dyDescent="0.25">
      <c r="A18" s="10" t="s">
        <v>1018</v>
      </c>
      <c r="B18" s="474">
        <v>126568.192</v>
      </c>
      <c r="C18" s="475">
        <v>6683.799</v>
      </c>
    </row>
    <row r="19" spans="1:3" x14ac:dyDescent="0.25">
      <c r="A19" s="10" t="s">
        <v>1019</v>
      </c>
      <c r="B19" s="474">
        <v>48085.601999999999</v>
      </c>
      <c r="C19" s="475">
        <v>0</v>
      </c>
    </row>
    <row r="20" spans="1:3" x14ac:dyDescent="0.25">
      <c r="A20" s="10" t="s">
        <v>1005</v>
      </c>
      <c r="B20" s="474">
        <v>0</v>
      </c>
      <c r="C20" s="475">
        <v>0</v>
      </c>
    </row>
    <row r="21" spans="1:3" x14ac:dyDescent="0.25">
      <c r="A21" s="10" t="s">
        <v>1020</v>
      </c>
      <c r="B21" s="474">
        <v>61086.226999999999</v>
      </c>
      <c r="C21" s="475">
        <v>0</v>
      </c>
    </row>
    <row r="22" spans="1:3" x14ac:dyDescent="0.25">
      <c r="A22" s="10" t="s">
        <v>1021</v>
      </c>
      <c r="B22" s="474">
        <v>163852.82699999999</v>
      </c>
      <c r="C22" s="475">
        <v>0</v>
      </c>
    </row>
    <row r="23" spans="1:3" x14ac:dyDescent="0.25">
      <c r="A23" s="10" t="s">
        <v>1008</v>
      </c>
      <c r="B23" s="474">
        <v>138290.58300000001</v>
      </c>
      <c r="C23" s="475">
        <v>0</v>
      </c>
    </row>
    <row r="24" spans="1:3" x14ac:dyDescent="0.25">
      <c r="A24" s="10" t="s">
        <v>1006</v>
      </c>
      <c r="B24" s="474">
        <v>32037.951000000001</v>
      </c>
      <c r="C24" s="475">
        <v>0</v>
      </c>
    </row>
    <row r="25" spans="1:3" x14ac:dyDescent="0.25">
      <c r="A25" s="10" t="s">
        <v>1022</v>
      </c>
      <c r="B25" s="474">
        <v>26863.793000000001</v>
      </c>
      <c r="C25" s="475">
        <v>15603.793</v>
      </c>
    </row>
    <row r="26" spans="1:3" x14ac:dyDescent="0.25">
      <c r="A26" s="10" t="s">
        <v>1023</v>
      </c>
      <c r="B26" s="474">
        <v>21889.4</v>
      </c>
      <c r="C26" s="475">
        <v>21353.9</v>
      </c>
    </row>
    <row r="27" spans="1:3" x14ac:dyDescent="0.25">
      <c r="A27" s="10" t="s">
        <v>1024</v>
      </c>
      <c r="B27" s="474">
        <v>4606.5</v>
      </c>
      <c r="C27" s="475">
        <v>3714</v>
      </c>
    </row>
    <row r="28" spans="1:3" s="452" customFormat="1" x14ac:dyDescent="0.25">
      <c r="A28" s="10" t="s">
        <v>1025</v>
      </c>
      <c r="B28" s="474">
        <v>3735</v>
      </c>
      <c r="C28" s="475">
        <v>3735</v>
      </c>
    </row>
    <row r="29" spans="1:3" s="452" customFormat="1" x14ac:dyDescent="0.25">
      <c r="A29" s="10" t="s">
        <v>1036</v>
      </c>
      <c r="B29" s="474">
        <v>357</v>
      </c>
      <c r="C29" s="475">
        <v>357</v>
      </c>
    </row>
    <row r="30" spans="1:3" s="452" customFormat="1" x14ac:dyDescent="0.25">
      <c r="A30" s="10" t="s">
        <v>1026</v>
      </c>
      <c r="B30" s="474">
        <v>14343.258</v>
      </c>
      <c r="C30" s="475">
        <v>178.5</v>
      </c>
    </row>
    <row r="31" spans="1:3" s="452" customFormat="1" x14ac:dyDescent="0.25">
      <c r="A31" s="10" t="s">
        <v>1027</v>
      </c>
      <c r="B31" s="474">
        <v>7782.5</v>
      </c>
      <c r="C31" s="475">
        <v>5892.5</v>
      </c>
    </row>
    <row r="32" spans="1:3" s="452" customFormat="1" x14ac:dyDescent="0.25">
      <c r="A32" s="10" t="s">
        <v>1028</v>
      </c>
      <c r="B32" s="474">
        <v>535.5</v>
      </c>
      <c r="C32" s="475">
        <v>1428</v>
      </c>
    </row>
    <row r="33" spans="1:3" s="452" customFormat="1" x14ac:dyDescent="0.25">
      <c r="A33" s="10" t="s">
        <v>1007</v>
      </c>
      <c r="B33" s="474">
        <v>164789.20600000001</v>
      </c>
      <c r="C33" s="475">
        <v>100826.75199999999</v>
      </c>
    </row>
    <row r="34" spans="1:3" s="452" customFormat="1" x14ac:dyDescent="0.25">
      <c r="A34" s="10" t="s">
        <v>1029</v>
      </c>
      <c r="B34" s="474">
        <v>98261.274999999994</v>
      </c>
      <c r="C34" s="475">
        <v>91373.896999999997</v>
      </c>
    </row>
    <row r="35" spans="1:3" s="452" customFormat="1" x14ac:dyDescent="0.25">
      <c r="A35" s="10" t="s">
        <v>1030</v>
      </c>
      <c r="B35" s="474">
        <v>0</v>
      </c>
      <c r="C35" s="475">
        <v>0</v>
      </c>
    </row>
    <row r="36" spans="1:3" s="452" customFormat="1" x14ac:dyDescent="0.25">
      <c r="A36" s="10" t="s">
        <v>1031</v>
      </c>
      <c r="B36" s="474">
        <v>44866</v>
      </c>
      <c r="C36" s="475">
        <v>9195.9699999999993</v>
      </c>
    </row>
    <row r="37" spans="1:3" s="698" customFormat="1" x14ac:dyDescent="0.25">
      <c r="A37" s="10" t="s">
        <v>1286</v>
      </c>
      <c r="B37" s="474">
        <v>4053.9119999999998</v>
      </c>
      <c r="C37" s="475">
        <v>0</v>
      </c>
    </row>
    <row r="38" spans="1:3" s="452" customFormat="1" x14ac:dyDescent="0.25">
      <c r="A38" s="10" t="s">
        <v>1032</v>
      </c>
      <c r="B38" s="474">
        <v>0</v>
      </c>
      <c r="C38" s="475">
        <v>14090.695</v>
      </c>
    </row>
    <row r="39" spans="1:3" s="452" customFormat="1" x14ac:dyDescent="0.25">
      <c r="A39" s="10" t="s">
        <v>1033</v>
      </c>
      <c r="B39" s="474">
        <v>0</v>
      </c>
      <c r="C39" s="475">
        <v>1030</v>
      </c>
    </row>
    <row r="40" spans="1:3" s="452" customFormat="1" x14ac:dyDescent="0.25">
      <c r="A40" s="10" t="s">
        <v>1037</v>
      </c>
      <c r="B40" s="474">
        <v>0</v>
      </c>
      <c r="C40" s="475">
        <v>0</v>
      </c>
    </row>
    <row r="41" spans="1:3" s="452" customFormat="1" x14ac:dyDescent="0.25">
      <c r="A41" s="10" t="s">
        <v>1038</v>
      </c>
      <c r="B41" s="474">
        <v>0</v>
      </c>
      <c r="C41" s="475">
        <v>0</v>
      </c>
    </row>
    <row r="42" spans="1:3" s="452" customFormat="1" x14ac:dyDescent="0.25">
      <c r="A42" s="10" t="s">
        <v>1034</v>
      </c>
      <c r="B42" s="474">
        <v>1785</v>
      </c>
      <c r="C42" s="475">
        <v>0</v>
      </c>
    </row>
    <row r="43" spans="1:3" s="452" customFormat="1" x14ac:dyDescent="0.25">
      <c r="A43" s="10" t="s">
        <v>1035</v>
      </c>
      <c r="B43" s="474">
        <v>1228.0719999999999</v>
      </c>
      <c r="C43" s="475">
        <v>34.462000000000003</v>
      </c>
    </row>
    <row r="44" spans="1:3" x14ac:dyDescent="0.25">
      <c r="A44" s="10" t="s">
        <v>145</v>
      </c>
      <c r="B44" s="474">
        <v>0</v>
      </c>
      <c r="C44" s="475">
        <v>0</v>
      </c>
    </row>
    <row r="45" spans="1:3" x14ac:dyDescent="0.25">
      <c r="A45" s="311" t="s">
        <v>66</v>
      </c>
      <c r="B45" s="474"/>
      <c r="C45" s="475"/>
    </row>
    <row r="46" spans="1:3" ht="15.75" thickBot="1" x14ac:dyDescent="0.3">
      <c r="A46" s="23" t="s">
        <v>18</v>
      </c>
      <c r="B46" s="476">
        <f>SUM(B7:B45)</f>
        <v>1371590.8589999997</v>
      </c>
      <c r="C46" s="477">
        <f>SUM(C8:C45)</f>
        <v>972030.39799999993</v>
      </c>
    </row>
    <row r="47" spans="1:3" ht="15.75" thickTop="1" x14ac:dyDescent="0.25">
      <c r="A47" s="23"/>
      <c r="B47" s="74"/>
      <c r="C47" s="75"/>
    </row>
    <row r="48" spans="1:3" x14ac:dyDescent="0.25">
      <c r="B48" s="455"/>
      <c r="C48" s="700"/>
    </row>
  </sheetData>
  <mergeCells count="1">
    <mergeCell ref="A4:B4"/>
  </mergeCells>
  <hyperlinks>
    <hyperlink ref="D1" location="BG!A1" display="BG"/>
  </hyperlinks>
  <printOptions horizontalCentered="1"/>
  <pageMargins left="0.70866141732283472" right="0.70866141732283472" top="0.74803149606299213" bottom="0.74803149606299213" header="0.31496062992125984" footer="0.31496062992125984"/>
  <pageSetup paperSize="5" scale="80" orientation="portrait" horizontalDpi="0"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L12"/>
  <sheetViews>
    <sheetView showGridLines="0" workbookViewId="0">
      <selection activeCell="B13" sqref="B13"/>
    </sheetView>
  </sheetViews>
  <sheetFormatPr baseColWidth="10" defaultRowHeight="15" x14ac:dyDescent="0.25"/>
  <cols>
    <col min="1" max="1" width="38.28515625" customWidth="1"/>
    <col min="2" max="2" width="19.5703125" customWidth="1"/>
    <col min="3" max="3" width="17.85546875" customWidth="1"/>
    <col min="4" max="4" width="15.42578125"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x14ac:dyDescent="0.25">
      <c r="A1" t="str">
        <f>Indice!C1</f>
        <v>NEGOFIN S.A.E.C.A.</v>
      </c>
      <c r="D1" s="143" t="s">
        <v>132</v>
      </c>
    </row>
    <row r="4" spans="1:12" x14ac:dyDescent="0.25">
      <c r="A4" s="871" t="s">
        <v>338</v>
      </c>
      <c r="B4" s="871"/>
      <c r="C4" s="871"/>
      <c r="D4" s="871"/>
      <c r="E4" s="251"/>
      <c r="F4" s="251"/>
      <c r="G4" s="251"/>
      <c r="H4" s="251"/>
      <c r="I4" s="251"/>
      <c r="J4" s="251"/>
      <c r="K4" s="251"/>
      <c r="L4" s="251"/>
    </row>
    <row r="5" spans="1:12" x14ac:dyDescent="0.25">
      <c r="E5" s="49"/>
      <c r="F5" s="49"/>
      <c r="G5" s="49"/>
      <c r="H5" s="49"/>
      <c r="I5" s="49"/>
      <c r="J5" s="49"/>
      <c r="K5" s="49"/>
      <c r="L5" s="49"/>
    </row>
    <row r="6" spans="1:12" s="295" customFormat="1" x14ac:dyDescent="0.25">
      <c r="A6" s="295" t="s">
        <v>852</v>
      </c>
      <c r="B6" s="396">
        <f>IFERROR(IF(Indice!B6="","2XX2",YEAR(Indice!B6)),"2XX2")</f>
        <v>2021</v>
      </c>
      <c r="C6" s="396">
        <f>IFERROR(YEAR(Indice!B6-365),"2XX1")</f>
        <v>2020</v>
      </c>
      <c r="E6" s="49"/>
      <c r="F6" s="49"/>
      <c r="G6" s="49"/>
      <c r="H6" s="49"/>
      <c r="I6" s="49"/>
      <c r="J6" s="49"/>
      <c r="K6" s="49"/>
      <c r="L6" s="49"/>
    </row>
    <row r="7" spans="1:12" s="295" customFormat="1" x14ac:dyDescent="0.25">
      <c r="A7" s="295" t="s">
        <v>853</v>
      </c>
      <c r="B7" s="460">
        <v>150000000</v>
      </c>
      <c r="C7" s="460">
        <v>150000000</v>
      </c>
      <c r="E7" s="49"/>
      <c r="F7" s="49"/>
      <c r="G7" s="49"/>
      <c r="H7" s="49"/>
      <c r="I7" s="49"/>
      <c r="J7" s="49"/>
      <c r="K7" s="49"/>
      <c r="L7" s="49"/>
    </row>
    <row r="8" spans="1:12" s="295" customFormat="1" x14ac:dyDescent="0.25">
      <c r="A8" s="295" t="s">
        <v>856</v>
      </c>
      <c r="B8" s="460">
        <v>120000000</v>
      </c>
      <c r="C8" s="460">
        <v>120000000</v>
      </c>
      <c r="E8" s="49"/>
      <c r="F8" s="49"/>
      <c r="G8" s="49"/>
      <c r="H8" s="49"/>
      <c r="I8" s="49"/>
      <c r="J8" s="49"/>
      <c r="K8" s="49"/>
      <c r="L8" s="49"/>
    </row>
    <row r="9" spans="1:12" s="452" customFormat="1" x14ac:dyDescent="0.25">
      <c r="A9" s="452" t="s">
        <v>1039</v>
      </c>
      <c r="B9" s="460">
        <v>884126</v>
      </c>
      <c r="C9" s="460">
        <v>884126</v>
      </c>
      <c r="E9" s="49"/>
      <c r="F9" s="49"/>
      <c r="G9" s="49"/>
      <c r="H9" s="49"/>
      <c r="I9" s="49"/>
      <c r="J9" s="49"/>
      <c r="K9" s="49"/>
      <c r="L9" s="49"/>
    </row>
    <row r="10" spans="1:12" s="295" customFormat="1" x14ac:dyDescent="0.25">
      <c r="A10" s="295" t="s">
        <v>855</v>
      </c>
      <c r="B10" s="460">
        <v>120000</v>
      </c>
      <c r="C10" s="460">
        <v>120000</v>
      </c>
      <c r="E10" s="49"/>
      <c r="F10" s="49"/>
      <c r="G10" s="49"/>
      <c r="H10" s="49"/>
      <c r="I10" s="49"/>
      <c r="J10" s="49"/>
      <c r="K10" s="49"/>
      <c r="L10" s="49"/>
    </row>
    <row r="11" spans="1:12" s="295" customFormat="1" x14ac:dyDescent="0.25">
      <c r="A11" s="329" t="s">
        <v>854</v>
      </c>
      <c r="B11" s="516">
        <v>1000</v>
      </c>
      <c r="C11" s="516">
        <v>1000</v>
      </c>
      <c r="E11" s="49"/>
      <c r="F11" s="49"/>
      <c r="G11" s="49"/>
      <c r="H11" s="49"/>
      <c r="I11" s="49"/>
      <c r="J11" s="49"/>
      <c r="K11" s="49"/>
      <c r="L11" s="49"/>
    </row>
    <row r="12" spans="1:12" x14ac:dyDescent="0.25">
      <c r="A12" t="s">
        <v>3</v>
      </c>
      <c r="B12" s="460">
        <f>+B8+B9</f>
        <v>120884126</v>
      </c>
      <c r="C12" s="460">
        <f>+C8+C9</f>
        <v>120884126</v>
      </c>
    </row>
  </sheetData>
  <mergeCells count="1">
    <mergeCell ref="A4:D4"/>
  </mergeCells>
  <hyperlinks>
    <hyperlink ref="D1" location="BG!A1" display="BG"/>
  </hyperlinks>
  <pageMargins left="0.70866141732283472" right="0.70866141732283472" top="0.74803149606299213" bottom="0.74803149606299213" header="0.31496062992125984" footer="0.31496062992125984"/>
  <pageSetup paperSize="9" scale="80" orientation="portrait" horizontalDpi="0"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Y8"/>
  <sheetViews>
    <sheetView workbookViewId="0">
      <selection activeCell="D2" sqref="D2"/>
    </sheetView>
  </sheetViews>
  <sheetFormatPr baseColWidth="10" defaultRowHeight="15" x14ac:dyDescent="0.25"/>
  <cols>
    <col min="1" max="1" width="34.42578125" style="24" customWidth="1"/>
    <col min="2" max="3" width="19" style="24" customWidth="1"/>
    <col min="4" max="25" width="11.42578125" style="24" customWidth="1"/>
  </cols>
  <sheetData>
    <row r="1" spans="1:6" x14ac:dyDescent="0.25">
      <c r="A1" s="24" t="str">
        <f>Indice!C1</f>
        <v>NEGOFIN S.A.E.C.A.</v>
      </c>
      <c r="F1" s="148" t="s">
        <v>132</v>
      </c>
    </row>
    <row r="4" spans="1:6" x14ac:dyDescent="0.25">
      <c r="A4" s="308" t="s">
        <v>339</v>
      </c>
      <c r="B4" s="308"/>
      <c r="C4" s="308"/>
      <c r="D4" s="308"/>
      <c r="E4" s="251"/>
      <c r="F4" s="252"/>
    </row>
    <row r="6" spans="1:6" x14ac:dyDescent="0.25">
      <c r="B6" s="860" t="s">
        <v>313</v>
      </c>
      <c r="C6" s="860"/>
    </row>
    <row r="7" spans="1:6" x14ac:dyDescent="0.25">
      <c r="B7" s="396">
        <f>IFERROR(IF(Indice!B6="","2XX2",YEAR(Indice!B6)),"2XX2")</f>
        <v>2021</v>
      </c>
      <c r="C7" s="396">
        <f>+IFERROR(YEAR(Indice!B6-365),"2XX1")</f>
        <v>2020</v>
      </c>
    </row>
    <row r="8" spans="1:6" x14ac:dyDescent="0.25">
      <c r="A8" s="149" t="s">
        <v>70</v>
      </c>
    </row>
  </sheetData>
  <mergeCells count="1">
    <mergeCell ref="B6:C6"/>
  </mergeCells>
  <hyperlinks>
    <hyperlink ref="F1" location="BG!A1" display="BG"/>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O22"/>
  <sheetViews>
    <sheetView topLeftCell="A10" workbookViewId="0">
      <selection activeCell="C20" sqref="B20:C20"/>
    </sheetView>
  </sheetViews>
  <sheetFormatPr baseColWidth="10" defaultRowHeight="15" x14ac:dyDescent="0.25"/>
  <cols>
    <col min="1" max="1" width="24.85546875" style="123" customWidth="1"/>
    <col min="2" max="2" width="18.5703125" style="123" customWidth="1"/>
    <col min="3" max="3" width="16.7109375" style="123" customWidth="1"/>
    <col min="4" max="15" width="11.42578125" style="123" customWidth="1"/>
  </cols>
  <sheetData>
    <row r="1" spans="1:15" x14ac:dyDescent="0.25">
      <c r="A1" s="123" t="str">
        <f>Indice!C1</f>
        <v>NEGOFIN S.A.E.C.A.</v>
      </c>
      <c r="F1" s="144" t="s">
        <v>132</v>
      </c>
    </row>
    <row r="3" spans="1:15" x14ac:dyDescent="0.25">
      <c r="J3" s="24"/>
      <c r="K3" s="24"/>
    </row>
    <row r="4" spans="1:15" x14ac:dyDescent="0.25">
      <c r="A4" s="864" t="s">
        <v>340</v>
      </c>
      <c r="B4" s="864"/>
      <c r="C4" s="864"/>
      <c r="D4" s="864"/>
      <c r="E4" s="864"/>
      <c r="F4" s="864"/>
      <c r="G4" s="147"/>
      <c r="H4" s="147"/>
      <c r="I4" s="147"/>
      <c r="J4" s="24"/>
      <c r="K4" s="24"/>
      <c r="L4" s="147"/>
      <c r="M4" s="147"/>
    </row>
    <row r="5" spans="1:15" x14ac:dyDescent="0.25">
      <c r="J5" s="24"/>
      <c r="K5" s="24"/>
    </row>
    <row r="6" spans="1:15" x14ac:dyDescent="0.25">
      <c r="B6" s="860" t="s">
        <v>313</v>
      </c>
      <c r="C6" s="860"/>
    </row>
    <row r="7" spans="1:15" x14ac:dyDescent="0.25">
      <c r="B7" s="396">
        <f>IFERROR(IF(Indice!B6="","2XX2",YEAR(Indice!B6)),"2XX2")</f>
        <v>2021</v>
      </c>
      <c r="C7" s="396">
        <f>IFERROR(YEAR(Indice!B6-365),"2XX1")</f>
        <v>2020</v>
      </c>
    </row>
    <row r="8" spans="1:15" x14ac:dyDescent="0.25">
      <c r="A8" s="333" t="s">
        <v>149</v>
      </c>
      <c r="B8" s="714">
        <v>1334216.8</v>
      </c>
      <c r="C8" s="714">
        <v>1334216.8</v>
      </c>
    </row>
    <row r="9" spans="1:15" s="295" customFormat="1" x14ac:dyDescent="0.25">
      <c r="A9" s="128"/>
      <c r="B9" s="123"/>
      <c r="C9" s="123"/>
      <c r="D9" s="123"/>
      <c r="E9" s="123"/>
      <c r="F9" s="123"/>
      <c r="G9" s="123"/>
      <c r="H9" s="123"/>
      <c r="I9" s="123"/>
      <c r="J9" s="123"/>
      <c r="K9" s="123"/>
      <c r="L9" s="123"/>
      <c r="M9" s="123"/>
      <c r="N9" s="123"/>
      <c r="O9" s="123"/>
    </row>
    <row r="10" spans="1:15" s="295" customFormat="1" x14ac:dyDescent="0.25">
      <c r="A10" s="128"/>
      <c r="B10" s="123"/>
      <c r="C10" s="123"/>
      <c r="D10" s="123"/>
      <c r="E10" s="123"/>
      <c r="F10" s="123"/>
      <c r="G10" s="123"/>
      <c r="H10" s="123"/>
      <c r="I10" s="123"/>
      <c r="J10" s="123"/>
      <c r="K10" s="123"/>
      <c r="L10" s="123"/>
      <c r="M10" s="123"/>
      <c r="N10" s="123"/>
      <c r="O10" s="123"/>
    </row>
    <row r="11" spans="1:15" s="295" customFormat="1" x14ac:dyDescent="0.25">
      <c r="A11" s="128"/>
      <c r="B11" s="123"/>
      <c r="C11" s="123"/>
      <c r="D11" s="123"/>
      <c r="E11" s="123"/>
      <c r="F11" s="123"/>
      <c r="G11" s="123"/>
      <c r="H11" s="123"/>
      <c r="I11" s="123"/>
      <c r="J11" s="123"/>
      <c r="K11" s="123"/>
      <c r="L11" s="123"/>
      <c r="M11" s="123"/>
      <c r="N11" s="123"/>
      <c r="O11" s="123"/>
    </row>
    <row r="12" spans="1:15" x14ac:dyDescent="0.25">
      <c r="A12" s="333" t="s">
        <v>150</v>
      </c>
      <c r="B12" s="714">
        <v>14286409.379000001</v>
      </c>
      <c r="C12" s="714">
        <v>11145066.199999999</v>
      </c>
    </row>
    <row r="13" spans="1:15" s="295" customFormat="1" x14ac:dyDescent="0.25">
      <c r="A13" s="128"/>
      <c r="B13" s="123"/>
      <c r="C13" s="123"/>
      <c r="D13" s="123"/>
      <c r="E13" s="123"/>
      <c r="F13" s="123"/>
      <c r="G13" s="123"/>
      <c r="H13" s="123"/>
      <c r="I13" s="123"/>
      <c r="J13" s="123"/>
      <c r="K13" s="123"/>
      <c r="L13" s="123"/>
      <c r="M13" s="123"/>
      <c r="N13" s="123"/>
      <c r="O13" s="123"/>
    </row>
    <row r="14" spans="1:15" s="295" customFormat="1" x14ac:dyDescent="0.25">
      <c r="A14" s="128"/>
      <c r="B14" s="123"/>
      <c r="C14" s="123"/>
      <c r="D14" s="123"/>
      <c r="E14" s="123"/>
      <c r="F14" s="123"/>
      <c r="G14" s="123"/>
      <c r="H14" s="123"/>
      <c r="I14" s="123"/>
      <c r="J14" s="123"/>
      <c r="K14" s="123"/>
      <c r="L14" s="123"/>
      <c r="M14" s="123"/>
      <c r="N14" s="123"/>
      <c r="O14" s="123"/>
    </row>
    <row r="15" spans="1:15" s="295" customFormat="1" x14ac:dyDescent="0.25">
      <c r="A15" s="128"/>
      <c r="B15" s="123"/>
      <c r="C15" s="123"/>
      <c r="D15" s="123"/>
      <c r="E15" s="123"/>
      <c r="F15" s="123"/>
      <c r="G15" s="123"/>
      <c r="H15" s="123"/>
      <c r="I15" s="123"/>
      <c r="J15" s="123"/>
      <c r="K15" s="123"/>
      <c r="L15" s="123"/>
      <c r="M15" s="123"/>
      <c r="N15" s="123"/>
      <c r="O15" s="123"/>
    </row>
    <row r="16" spans="1:15" x14ac:dyDescent="0.25">
      <c r="A16" s="333" t="s">
        <v>151</v>
      </c>
      <c r="B16" s="714"/>
      <c r="C16" s="714"/>
    </row>
    <row r="17" spans="1:15" s="295" customFormat="1" x14ac:dyDescent="0.25">
      <c r="A17" s="128"/>
      <c r="B17" s="123"/>
      <c r="C17" s="123"/>
      <c r="D17" s="123"/>
      <c r="E17" s="123"/>
      <c r="F17" s="123"/>
      <c r="G17" s="123"/>
      <c r="H17" s="123"/>
      <c r="I17" s="123"/>
      <c r="J17" s="123"/>
      <c r="K17" s="123"/>
      <c r="L17" s="123"/>
      <c r="M17" s="123"/>
      <c r="N17" s="123"/>
      <c r="O17" s="123"/>
    </row>
    <row r="18" spans="1:15" s="295" customFormat="1" x14ac:dyDescent="0.25">
      <c r="A18" s="128"/>
      <c r="B18" s="123"/>
      <c r="C18" s="123"/>
      <c r="D18" s="123"/>
      <c r="E18" s="123"/>
      <c r="F18" s="123"/>
      <c r="G18" s="123"/>
      <c r="H18" s="123"/>
      <c r="I18" s="123"/>
      <c r="J18" s="123"/>
      <c r="K18" s="123"/>
      <c r="L18" s="123"/>
      <c r="M18" s="123"/>
      <c r="N18" s="123"/>
      <c r="O18" s="123"/>
    </row>
    <row r="19" spans="1:15" s="295" customFormat="1" x14ac:dyDescent="0.25">
      <c r="A19" s="128"/>
      <c r="B19" s="517"/>
      <c r="C19" s="517"/>
      <c r="D19" s="123"/>
      <c r="E19" s="123"/>
      <c r="F19" s="123"/>
      <c r="G19" s="123"/>
      <c r="H19" s="123"/>
      <c r="I19" s="123"/>
      <c r="J19" s="123"/>
      <c r="K19" s="123"/>
      <c r="L19" s="123"/>
      <c r="M19" s="123"/>
      <c r="N19" s="123"/>
      <c r="O19" s="123"/>
    </row>
    <row r="20" spans="1:15" x14ac:dyDescent="0.25">
      <c r="A20" s="333" t="s">
        <v>152</v>
      </c>
      <c r="B20" s="714">
        <f>13221480+30059427.422</f>
        <v>43280907.421999998</v>
      </c>
      <c r="C20" s="714">
        <f>+SUM($C$21:C26)</f>
        <v>0</v>
      </c>
    </row>
    <row r="21" spans="1:15" x14ac:dyDescent="0.25">
      <c r="A21" s="332" t="s">
        <v>857</v>
      </c>
    </row>
    <row r="22" spans="1:15" x14ac:dyDescent="0.25">
      <c r="A22" s="123" t="s">
        <v>858</v>
      </c>
    </row>
  </sheetData>
  <mergeCells count="2">
    <mergeCell ref="A4:F4"/>
    <mergeCell ref="B6:C6"/>
  </mergeCells>
  <hyperlinks>
    <hyperlink ref="F1" location="BG!A1" display="BG"/>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AF18"/>
  <sheetViews>
    <sheetView topLeftCell="A4" workbookViewId="0">
      <selection activeCell="B14" sqref="B14:C20"/>
    </sheetView>
  </sheetViews>
  <sheetFormatPr baseColWidth="10" defaultRowHeight="15" x14ac:dyDescent="0.25"/>
  <cols>
    <col min="1" max="1" width="40.7109375" style="24" customWidth="1"/>
    <col min="2" max="3" width="19" style="24" customWidth="1"/>
    <col min="4" max="32" width="11.42578125" style="24" customWidth="1"/>
  </cols>
  <sheetData>
    <row r="1" spans="1:6" x14ac:dyDescent="0.25">
      <c r="A1" s="24" t="str">
        <f>Indice!C1</f>
        <v>NEGOFIN S.A.E.C.A.</v>
      </c>
      <c r="F1" s="148" t="s">
        <v>132</v>
      </c>
    </row>
    <row r="4" spans="1:6" x14ac:dyDescent="0.25">
      <c r="A4" s="308" t="s">
        <v>341</v>
      </c>
      <c r="B4" s="308"/>
      <c r="C4" s="308"/>
      <c r="D4" s="308"/>
      <c r="E4" s="308"/>
      <c r="F4" s="308"/>
    </row>
    <row r="6" spans="1:6" x14ac:dyDescent="0.25">
      <c r="B6" s="860" t="s">
        <v>313</v>
      </c>
      <c r="C6" s="860"/>
    </row>
    <row r="7" spans="1:6" x14ac:dyDescent="0.25">
      <c r="A7" s="149"/>
      <c r="B7" s="396">
        <f>IFERROR(IF(Indice!B6="","2XX2",YEAR(Indice!B6)),"2XX2")</f>
        <v>2021</v>
      </c>
      <c r="C7" s="396">
        <f>+IFERROR(YEAR(Indice!B6-365),"2XX1")</f>
        <v>2020</v>
      </c>
    </row>
    <row r="8" spans="1:6" x14ac:dyDescent="0.25">
      <c r="A8" s="24" t="s">
        <v>153</v>
      </c>
      <c r="B8" s="519">
        <v>0</v>
      </c>
      <c r="C8" s="519">
        <v>13221480</v>
      </c>
    </row>
    <row r="9" spans="1:6" x14ac:dyDescent="0.25">
      <c r="A9" s="24" t="s">
        <v>155</v>
      </c>
      <c r="B9" s="519">
        <v>24566367.884</v>
      </c>
      <c r="C9" s="519">
        <v>8352637.199</v>
      </c>
    </row>
    <row r="10" spans="1:6" x14ac:dyDescent="0.25">
      <c r="A10" s="24" t="s">
        <v>317</v>
      </c>
      <c r="B10" s="520">
        <f>SUM($B$8:B9)</f>
        <v>24566367.884</v>
      </c>
      <c r="C10" s="520">
        <f>SUM($C$8:C9)</f>
        <v>21574117.199000001</v>
      </c>
    </row>
    <row r="14" spans="1:6" x14ac:dyDescent="0.25">
      <c r="B14" s="518"/>
      <c r="C14" s="518"/>
    </row>
    <row r="18" spans="2:3" x14ac:dyDescent="0.25">
      <c r="B18" s="518"/>
      <c r="C18" s="518"/>
    </row>
  </sheetData>
  <mergeCells count="1">
    <mergeCell ref="B6:C6"/>
  </mergeCells>
  <hyperlinks>
    <hyperlink ref="F1" location="BG!A1" display="BG"/>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AH8"/>
  <sheetViews>
    <sheetView workbookViewId="0">
      <selection activeCell="B8" sqref="B8:C8"/>
    </sheetView>
  </sheetViews>
  <sheetFormatPr baseColWidth="10" defaultRowHeight="15" x14ac:dyDescent="0.25"/>
  <cols>
    <col min="1" max="1" width="40.7109375" style="24" customWidth="1"/>
    <col min="2" max="3" width="19" style="24" customWidth="1"/>
    <col min="4" max="6" width="11.42578125" style="24" customWidth="1"/>
    <col min="7" max="34" width="11.42578125" style="123" customWidth="1"/>
  </cols>
  <sheetData>
    <row r="1" spans="1:6" x14ac:dyDescent="0.25">
      <c r="A1" s="24" t="str">
        <f>Indice!C1</f>
        <v>NEGOFIN S.A.E.C.A.</v>
      </c>
      <c r="F1" s="148" t="s">
        <v>132</v>
      </c>
    </row>
    <row r="4" spans="1:6" x14ac:dyDescent="0.25">
      <c r="A4" s="308" t="s">
        <v>342</v>
      </c>
      <c r="B4" s="308"/>
      <c r="C4" s="308"/>
      <c r="D4" s="308"/>
      <c r="E4" s="251"/>
      <c r="F4" s="252"/>
    </row>
    <row r="6" spans="1:6" x14ac:dyDescent="0.25">
      <c r="B6" s="860" t="s">
        <v>313</v>
      </c>
      <c r="C6" s="860"/>
    </row>
    <row r="7" spans="1:6" x14ac:dyDescent="0.25">
      <c r="A7" s="149"/>
      <c r="B7" s="396">
        <f>IFERROR(IF(Indice!B6="","2XX2",YEAR(Indice!B6)),"2XX2")</f>
        <v>2021</v>
      </c>
      <c r="C7" s="396">
        <f>+IFERROR(YEAR(Indice!B6-365),"2XX1")</f>
        <v>2020</v>
      </c>
    </row>
    <row r="8" spans="1:6" x14ac:dyDescent="0.25">
      <c r="A8" s="24" t="s">
        <v>83</v>
      </c>
      <c r="B8" s="743">
        <v>0</v>
      </c>
      <c r="C8" s="743">
        <v>0</v>
      </c>
    </row>
  </sheetData>
  <mergeCells count="1">
    <mergeCell ref="B6:C6"/>
  </mergeCells>
  <hyperlinks>
    <hyperlink ref="F1" location="BG!A1" display="BG"/>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47"/>
  <sheetViews>
    <sheetView showGridLines="0" topLeftCell="A25" zoomScaleNormal="100" zoomScaleSheetLayoutView="70" workbookViewId="0">
      <selection activeCell="B32" sqref="B32"/>
    </sheetView>
  </sheetViews>
  <sheetFormatPr baseColWidth="10" defaultColWidth="11.42578125" defaultRowHeight="12.75" x14ac:dyDescent="0.2"/>
  <cols>
    <col min="1" max="1" width="66" style="33" customWidth="1"/>
    <col min="2" max="2" width="12.7109375" style="199" customWidth="1"/>
    <col min="3" max="3" width="25.42578125" style="349" customWidth="1"/>
    <col min="4" max="4" width="24.7109375" style="349" customWidth="1"/>
    <col min="5" max="5" width="11.42578125" style="2"/>
    <col min="6" max="6" width="12" style="2" bestFit="1" customWidth="1"/>
    <col min="7" max="16384" width="11.42578125" style="2"/>
  </cols>
  <sheetData>
    <row r="1" spans="1:6" ht="15" x14ac:dyDescent="0.2">
      <c r="A1" s="33" t="str">
        <f>Indice!C1</f>
        <v>NEGOFIN S.A.E.C.A.</v>
      </c>
      <c r="B1" s="200" t="s">
        <v>388</v>
      </c>
      <c r="D1" s="349" t="str">
        <f>ER!A4</f>
        <v xml:space="preserve"> </v>
      </c>
    </row>
    <row r="4" spans="1:6" x14ac:dyDescent="0.2">
      <c r="A4" s="33" t="s">
        <v>45</v>
      </c>
    </row>
    <row r="6" spans="1:6" x14ac:dyDescent="0.2">
      <c r="A6" s="69"/>
      <c r="B6" s="207"/>
      <c r="C6" s="350"/>
    </row>
    <row r="7" spans="1:6" x14ac:dyDescent="0.2">
      <c r="A7" s="779" t="s">
        <v>301</v>
      </c>
      <c r="B7" s="779"/>
      <c r="C7" s="779"/>
      <c r="D7" s="779"/>
    </row>
    <row r="8" spans="1:6" x14ac:dyDescent="0.2">
      <c r="A8" s="779" t="str">
        <f>IFERROR(IF(Indice!B6="","Al dia... de mes… de año 2XX2…","Al "&amp;DAY(Indice!B6)&amp;" de "&amp;VLOOKUP(MONTH(Indice!B6),Indice!S:T,2,0)&amp;" de "&amp;YEAR(Indice!B6)),"Al dia... de mes… de año 2XX2…")</f>
        <v>Al 30 de Junio de 2021</v>
      </c>
      <c r="B8" s="779"/>
      <c r="C8" s="779"/>
      <c r="D8" s="779"/>
    </row>
    <row r="9" spans="1:6" x14ac:dyDescent="0.2">
      <c r="A9" s="793" t="s">
        <v>302</v>
      </c>
      <c r="B9" s="793"/>
      <c r="C9" s="793"/>
      <c r="D9" s="793"/>
    </row>
    <row r="10" spans="1:6" x14ac:dyDescent="0.2">
      <c r="A10" s="793" t="s">
        <v>259</v>
      </c>
      <c r="B10" s="793"/>
      <c r="C10" s="793"/>
      <c r="D10" s="793"/>
    </row>
    <row r="11" spans="1:6" x14ac:dyDescent="0.2">
      <c r="A11" s="100"/>
      <c r="B11" s="218"/>
      <c r="C11" s="348"/>
    </row>
    <row r="12" spans="1:6" ht="15" x14ac:dyDescent="0.3">
      <c r="A12" s="104"/>
      <c r="B12" s="202" t="s">
        <v>220</v>
      </c>
      <c r="C12" s="324">
        <f>IFERROR(IF(Indice!B6="","2XX2",YEAR(Indice!B6)),"2XX2")</f>
        <v>2021</v>
      </c>
      <c r="D12" s="324">
        <f>IFERROR(YEAR(Indice!B6-365),"2XX1")</f>
        <v>2020</v>
      </c>
    </row>
    <row r="13" spans="1:6" ht="15" x14ac:dyDescent="0.25">
      <c r="A13" t="s">
        <v>63</v>
      </c>
      <c r="B13" s="217">
        <v>25</v>
      </c>
      <c r="C13" s="715">
        <f>'Nota 25'!B26</f>
        <v>126226145.536</v>
      </c>
      <c r="D13" s="347">
        <f>'Nota 25'!C26</f>
        <v>88959945.252000004</v>
      </c>
    </row>
    <row r="14" spans="1:6" ht="15" x14ac:dyDescent="0.25">
      <c r="A14" t="s">
        <v>156</v>
      </c>
      <c r="B14" s="217">
        <v>26</v>
      </c>
      <c r="C14" s="347">
        <f>'Nota 26'!B21</f>
        <v>47926540.226999998</v>
      </c>
      <c r="D14" s="347">
        <f>'Nota 26'!C21</f>
        <v>45342802.034000002</v>
      </c>
      <c r="F14" s="17"/>
    </row>
    <row r="15" spans="1:6" x14ac:dyDescent="0.2">
      <c r="A15" s="69" t="s">
        <v>72</v>
      </c>
      <c r="B15" s="207"/>
      <c r="C15" s="348">
        <f>C13-C14</f>
        <v>78299605.309</v>
      </c>
      <c r="D15" s="348">
        <f>D13-D14</f>
        <v>43617143.218000002</v>
      </c>
    </row>
    <row r="16" spans="1:6" ht="15" x14ac:dyDescent="0.25">
      <c r="A16" t="s">
        <v>260</v>
      </c>
      <c r="B16" s="217">
        <v>27</v>
      </c>
      <c r="C16" s="347">
        <f>'Nota 27'!B35</f>
        <v>70695.631000000008</v>
      </c>
      <c r="D16" s="347">
        <f>'Nota 27'!E35</f>
        <v>84322.725000000006</v>
      </c>
    </row>
    <row r="17" spans="1:7" ht="15" x14ac:dyDescent="0.25">
      <c r="A17" s="201" t="s">
        <v>262</v>
      </c>
      <c r="B17" s="217">
        <v>27</v>
      </c>
      <c r="C17" s="347">
        <f>'Nota 27'!C35</f>
        <v>58603761.864000008</v>
      </c>
      <c r="D17" s="347">
        <f>'Nota 27'!F35</f>
        <v>39895141.487999998</v>
      </c>
    </row>
    <row r="18" spans="1:7" ht="15" x14ac:dyDescent="0.25">
      <c r="A18" s="201" t="s">
        <v>264</v>
      </c>
      <c r="B18" s="217">
        <v>28</v>
      </c>
      <c r="C18" s="348">
        <f>'Nota 28'!B17</f>
        <v>8287030.71</v>
      </c>
      <c r="D18" s="348">
        <f>+'Nota 28'!C17</f>
        <v>8877945.1999999993</v>
      </c>
    </row>
    <row r="19" spans="1:7" x14ac:dyDescent="0.2">
      <c r="A19" s="69" t="s">
        <v>158</v>
      </c>
      <c r="B19" s="207"/>
      <c r="C19" s="348">
        <f>+C15-C16-C17+C18</f>
        <v>27912178.523999996</v>
      </c>
      <c r="D19" s="348">
        <f>+D15-D16-D17+D18</f>
        <v>12515624.205000002</v>
      </c>
      <c r="E19" s="532"/>
      <c r="F19" s="532"/>
      <c r="G19" s="532"/>
    </row>
    <row r="20" spans="1:7" ht="15" x14ac:dyDescent="0.25">
      <c r="A20" s="201" t="s">
        <v>419</v>
      </c>
      <c r="B20" s="217">
        <v>29</v>
      </c>
      <c r="C20" s="348">
        <f>'Nota 29'!B17</f>
        <v>10128138.080000002</v>
      </c>
      <c r="D20" s="348">
        <f>'Nota 29'!C17</f>
        <v>7995226.2560000001</v>
      </c>
      <c r="E20" s="532"/>
      <c r="F20" s="532"/>
      <c r="G20" s="532"/>
    </row>
    <row r="21" spans="1:7" ht="15" x14ac:dyDescent="0.25">
      <c r="A21" s="201" t="s">
        <v>418</v>
      </c>
      <c r="B21" s="217">
        <v>29</v>
      </c>
      <c r="C21" s="348">
        <f>'Nota 29'!F16</f>
        <v>9932719.6910000015</v>
      </c>
      <c r="D21" s="348">
        <f>'Nota 29'!G16</f>
        <v>11164536.93</v>
      </c>
      <c r="E21" s="532"/>
      <c r="F21" s="532"/>
      <c r="G21" s="532"/>
    </row>
    <row r="22" spans="1:7" x14ac:dyDescent="0.2">
      <c r="A22" s="116" t="s">
        <v>62</v>
      </c>
      <c r="C22" s="348">
        <f>+C19+C20-C21</f>
        <v>28107596.913000003</v>
      </c>
      <c r="D22" s="348">
        <f>+D19+D20-D21</f>
        <v>9346313.5310000032</v>
      </c>
      <c r="F22" s="532"/>
    </row>
    <row r="23" spans="1:7" ht="15" x14ac:dyDescent="0.25">
      <c r="A23" s="201" t="s">
        <v>162</v>
      </c>
      <c r="B23" s="217">
        <v>30</v>
      </c>
      <c r="C23" s="348">
        <f>'Nota 30'!B16</f>
        <v>0</v>
      </c>
      <c r="D23" s="348">
        <f>'Nota 30'!C16</f>
        <v>0</v>
      </c>
      <c r="F23" s="532"/>
      <c r="G23" s="532"/>
    </row>
    <row r="24" spans="1:7" ht="25.5" x14ac:dyDescent="0.2">
      <c r="A24" s="117" t="s">
        <v>420</v>
      </c>
      <c r="B24" s="207"/>
      <c r="C24" s="351">
        <f>C22+C23</f>
        <v>28107596.913000003</v>
      </c>
      <c r="D24" s="351">
        <f>D22+D23</f>
        <v>9346313.5310000032</v>
      </c>
      <c r="F24" s="532"/>
    </row>
    <row r="25" spans="1:7" ht="15" x14ac:dyDescent="0.25">
      <c r="A25" s="201" t="s">
        <v>163</v>
      </c>
      <c r="B25" s="217">
        <v>31</v>
      </c>
      <c r="C25" s="348">
        <f>'Nota 31'!B16</f>
        <v>0</v>
      </c>
      <c r="D25" s="348">
        <f>'Nota 31'!C16</f>
        <v>0</v>
      </c>
      <c r="F25" s="532"/>
      <c r="G25" s="532"/>
    </row>
    <row r="26" spans="1:7" x14ac:dyDescent="0.2">
      <c r="A26" s="117" t="s">
        <v>76</v>
      </c>
      <c r="B26" s="207"/>
      <c r="C26" s="351"/>
      <c r="D26" s="351"/>
    </row>
    <row r="27" spans="1:7" ht="15" x14ac:dyDescent="0.2">
      <c r="A27" s="33" t="s">
        <v>46</v>
      </c>
      <c r="B27" s="200">
        <v>32</v>
      </c>
      <c r="C27" s="348">
        <f>'Nota 32'!B9</f>
        <v>3541229.9649999999</v>
      </c>
      <c r="D27" s="348">
        <f>'Nota 32'!C9</f>
        <v>993676.33200000005</v>
      </c>
    </row>
    <row r="28" spans="1:7" x14ac:dyDescent="0.2">
      <c r="A28" s="69" t="s">
        <v>421</v>
      </c>
      <c r="B28" s="207"/>
      <c r="C28" s="351">
        <f>C26+C27</f>
        <v>3541229.9649999999</v>
      </c>
      <c r="D28" s="351">
        <f>D26+D27</f>
        <v>993676.33200000005</v>
      </c>
    </row>
    <row r="29" spans="1:7" ht="15" x14ac:dyDescent="0.25">
      <c r="A29" s="201" t="s">
        <v>73</v>
      </c>
      <c r="B29" s="217">
        <v>33</v>
      </c>
      <c r="C29" s="351">
        <f>'Nota 32'!B9</f>
        <v>3541229.9649999999</v>
      </c>
      <c r="D29" s="351">
        <f>'Nota 32'!C9</f>
        <v>993676.33200000005</v>
      </c>
    </row>
    <row r="30" spans="1:7" ht="15" x14ac:dyDescent="0.25">
      <c r="A30" s="201" t="s">
        <v>74</v>
      </c>
      <c r="B30" s="217">
        <v>34</v>
      </c>
      <c r="C30" s="348">
        <f>'Nota 34'!B12</f>
        <v>0</v>
      </c>
      <c r="D30" s="348">
        <f>'Nota 34'!C12</f>
        <v>0</v>
      </c>
    </row>
    <row r="31" spans="1:7" ht="15" x14ac:dyDescent="0.25">
      <c r="A31" s="99" t="s">
        <v>273</v>
      </c>
      <c r="B31" s="334"/>
      <c r="C31" s="351">
        <f>+C24-C27</f>
        <v>24566366.948000003</v>
      </c>
      <c r="D31" s="351">
        <f>+D24-D27</f>
        <v>8352637.1990000028</v>
      </c>
    </row>
    <row r="32" spans="1:7" ht="15" x14ac:dyDescent="0.25">
      <c r="A32" s="99" t="s">
        <v>75</v>
      </c>
      <c r="B32" s="217">
        <v>35</v>
      </c>
      <c r="C32" s="348">
        <f>'Nota 35'!B10</f>
        <v>491.32733896000008</v>
      </c>
      <c r="D32" s="348">
        <f>'Nota 35'!C10</f>
        <v>167.05274398000006</v>
      </c>
    </row>
    <row r="34" spans="1:4" x14ac:dyDescent="0.2">
      <c r="A34" s="69"/>
      <c r="B34" s="207"/>
      <c r="C34" s="349">
        <f>144641314.235-120074947.351</f>
        <v>24566366.884000018</v>
      </c>
      <c r="D34" s="349">
        <f>105833116.708-97480479.509</f>
        <v>8352637.199000001</v>
      </c>
    </row>
    <row r="35" spans="1:4" x14ac:dyDescent="0.2">
      <c r="A35" s="33" t="s">
        <v>413</v>
      </c>
      <c r="C35" s="349">
        <f>+C31-C34</f>
        <v>6.3999984413385391E-2</v>
      </c>
      <c r="D35" s="349">
        <f>+D31-D34</f>
        <v>0</v>
      </c>
    </row>
    <row r="41" spans="1:4" x14ac:dyDescent="0.2">
      <c r="A41" s="102"/>
      <c r="B41" s="219"/>
      <c r="C41" s="792"/>
      <c r="D41" s="792"/>
    </row>
    <row r="42" spans="1:4" x14ac:dyDescent="0.2">
      <c r="A42" s="101"/>
      <c r="B42" s="220"/>
      <c r="D42" s="352"/>
    </row>
    <row r="47" spans="1:4" x14ac:dyDescent="0.2">
      <c r="A47" s="428"/>
      <c r="C47" s="792"/>
      <c r="D47" s="792"/>
    </row>
  </sheetData>
  <mergeCells count="6">
    <mergeCell ref="C47:D47"/>
    <mergeCell ref="A7:D7"/>
    <mergeCell ref="A8:D8"/>
    <mergeCell ref="A9:D9"/>
    <mergeCell ref="A10:D10"/>
    <mergeCell ref="C41:D41"/>
  </mergeCells>
  <hyperlinks>
    <hyperlink ref="B13" location="'Nota 25'!A1" display="'Nota 25'!A1"/>
    <hyperlink ref="B14" location="'Nota 26'!A1" display="'Nota 26'!A1"/>
    <hyperlink ref="B16" location="'Nota 27'!A1" display="'Nota 27'!A1"/>
    <hyperlink ref="B17" location="'Nota 27'!A1" display="'Nota 27'!A1"/>
    <hyperlink ref="B18" location="'Nota 28'!A1" display="'Nota 28'!A1"/>
    <hyperlink ref="B21" location="'Nota 29'!A1" display="'Nota 29'!A1"/>
    <hyperlink ref="B20" location="'Nota 29'!A1" display="'Nota 29'!A1"/>
    <hyperlink ref="B23" location="'Nota 30'!A1" display="'Nota 30'!A1"/>
    <hyperlink ref="B25" location="'Nota 31'!A1" display="'Nota 31'!A1"/>
    <hyperlink ref="B27" location="'Nota 32'!A1" display="'Nota 32'!A1"/>
    <hyperlink ref="B29" location="'Nota 33'!A1" display="'Nota 33'!A1"/>
    <hyperlink ref="B30" location="'Nota 34'!A1" display="'Nota 34'!A1"/>
    <hyperlink ref="B32" location="'Nota 35'!A1" display="'Nota 35'!A1"/>
    <hyperlink ref="B1" location="Indice!A1" display="Indice"/>
  </hyperlinks>
  <printOptions horizontalCentered="1"/>
  <pageMargins left="0.31496062992125984" right="0.70866141732283472" top="0.74803149606299213" bottom="0.74803149606299213" header="0.31496062992125984" footer="0.31496062992125984"/>
  <pageSetup paperSize="9" scale="7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AG27"/>
  <sheetViews>
    <sheetView showGridLines="0" topLeftCell="A4" workbookViewId="0">
      <selection activeCell="C23" sqref="C23"/>
    </sheetView>
  </sheetViews>
  <sheetFormatPr baseColWidth="10" defaultRowHeight="15" x14ac:dyDescent="0.25"/>
  <cols>
    <col min="1" max="1" width="45.5703125" style="123" customWidth="1"/>
    <col min="2" max="2" width="18.140625" style="123" customWidth="1"/>
    <col min="3" max="3" width="17.140625" style="123" customWidth="1"/>
    <col min="4" max="33" width="11.42578125" style="123" customWidth="1"/>
  </cols>
  <sheetData>
    <row r="1" spans="1:33" x14ac:dyDescent="0.25">
      <c r="A1" s="123" t="str">
        <f>Indice!C1</f>
        <v>NEGOFIN S.A.E.C.A.</v>
      </c>
      <c r="E1" s="144" t="s">
        <v>148</v>
      </c>
    </row>
    <row r="5" spans="1:33" x14ac:dyDescent="0.25">
      <c r="A5" s="308" t="s">
        <v>343</v>
      </c>
      <c r="B5" s="308"/>
      <c r="C5" s="308"/>
      <c r="D5" s="308"/>
      <c r="E5" s="308"/>
      <c r="F5" s="308"/>
      <c r="G5" s="24"/>
      <c r="H5" s="24"/>
      <c r="I5" s="24"/>
      <c r="J5" s="24"/>
      <c r="K5" s="24"/>
      <c r="L5" s="24"/>
      <c r="M5" s="24"/>
      <c r="N5" s="24"/>
      <c r="O5" s="24"/>
      <c r="P5" s="24"/>
      <c r="Q5" s="24"/>
      <c r="R5" s="24"/>
      <c r="S5" s="24"/>
      <c r="T5" s="24"/>
      <c r="U5" s="24"/>
      <c r="V5" s="24"/>
      <c r="W5" s="24"/>
      <c r="X5" s="24"/>
      <c r="Y5" s="24"/>
      <c r="Z5" s="24"/>
      <c r="AA5" s="24"/>
      <c r="AB5" s="24"/>
      <c r="AC5" s="24"/>
      <c r="AD5" s="24"/>
      <c r="AE5" s="24"/>
      <c r="AF5" s="24"/>
      <c r="AG5"/>
    </row>
    <row r="8" spans="1:33" x14ac:dyDescent="0.25">
      <c r="B8" s="860" t="s">
        <v>313</v>
      </c>
      <c r="C8" s="860"/>
    </row>
    <row r="9" spans="1:33" x14ac:dyDescent="0.25">
      <c r="B9" s="396">
        <f>IFERROR(IF(Indice!B6="","2XX2",YEAR(Indice!B6)),"2XX2")</f>
        <v>2021</v>
      </c>
      <c r="C9" s="396">
        <f>+IFERROR(YEAR(Indice!B6-365),"2XX1")</f>
        <v>2020</v>
      </c>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row>
    <row r="10" spans="1:33" s="334" customFormat="1" x14ac:dyDescent="0.25">
      <c r="A10" s="149" t="s">
        <v>63</v>
      </c>
      <c r="B10" s="258"/>
      <c r="C10" s="258"/>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row>
    <row r="11" spans="1:33" x14ac:dyDescent="0.25">
      <c r="A11" s="149" t="s">
        <v>862</v>
      </c>
      <c r="B11" s="49"/>
      <c r="C11" s="49"/>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row>
    <row r="12" spans="1:33" s="334" customFormat="1" x14ac:dyDescent="0.25">
      <c r="A12" s="345" t="s">
        <v>864</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row>
    <row r="13" spans="1:33" s="334" customFormat="1" x14ac:dyDescent="0.25">
      <c r="A13" s="24" t="s">
        <v>265</v>
      </c>
      <c r="B13" s="519">
        <v>126226145.536</v>
      </c>
      <c r="C13" s="519">
        <v>88959945.252000004</v>
      </c>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row>
    <row r="14" spans="1:33" s="334" customFormat="1" x14ac:dyDescent="0.25">
      <c r="A14" s="334" t="s">
        <v>266</v>
      </c>
      <c r="B14" s="519">
        <v>0</v>
      </c>
      <c r="C14" s="519">
        <v>0</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row>
    <row r="15" spans="1:33" s="334" customFormat="1" x14ac:dyDescent="0.25">
      <c r="A15" s="345" t="s">
        <v>865</v>
      </c>
      <c r="B15" s="519">
        <v>0</v>
      </c>
      <c r="C15" s="519">
        <v>0</v>
      </c>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row>
    <row r="16" spans="1:33" s="334" customFormat="1" x14ac:dyDescent="0.25">
      <c r="A16" s="24" t="s">
        <v>265</v>
      </c>
      <c r="B16" s="519">
        <v>0</v>
      </c>
      <c r="C16" s="519">
        <v>0</v>
      </c>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row>
    <row r="17" spans="1:33" s="334" customFormat="1" x14ac:dyDescent="0.25">
      <c r="A17" s="334" t="s">
        <v>266</v>
      </c>
      <c r="B17" s="519">
        <v>0</v>
      </c>
      <c r="C17" s="519">
        <v>0</v>
      </c>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row>
    <row r="18" spans="1:33" s="334" customFormat="1" x14ac:dyDescent="0.25">
      <c r="A18" s="149" t="s">
        <v>863</v>
      </c>
      <c r="B18" s="519"/>
      <c r="C18" s="519"/>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row>
    <row r="19" spans="1:33" s="334" customFormat="1" x14ac:dyDescent="0.25">
      <c r="A19" s="345" t="s">
        <v>864</v>
      </c>
      <c r="B19" s="519">
        <v>0</v>
      </c>
      <c r="C19" s="519">
        <v>0</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row>
    <row r="20" spans="1:33" s="334" customFormat="1" x14ac:dyDescent="0.25">
      <c r="A20" s="24" t="s">
        <v>265</v>
      </c>
      <c r="B20" s="519">
        <v>0</v>
      </c>
      <c r="C20" s="519">
        <v>0</v>
      </c>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row>
    <row r="21" spans="1:33" s="334" customFormat="1" x14ac:dyDescent="0.25">
      <c r="A21" s="334" t="s">
        <v>266</v>
      </c>
      <c r="B21" s="519">
        <v>0</v>
      </c>
      <c r="C21" s="519">
        <v>0</v>
      </c>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row>
    <row r="22" spans="1:33" s="334" customFormat="1" x14ac:dyDescent="0.25">
      <c r="A22" s="345" t="s">
        <v>865</v>
      </c>
      <c r="B22" s="519">
        <v>0</v>
      </c>
      <c r="C22" s="519">
        <v>0</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row>
    <row r="23" spans="1:33" s="334" customFormat="1" x14ac:dyDescent="0.25">
      <c r="A23" s="24" t="s">
        <v>265</v>
      </c>
      <c r="B23" s="519">
        <v>0</v>
      </c>
      <c r="C23" s="519">
        <v>0</v>
      </c>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row>
    <row r="24" spans="1:33" s="334" customFormat="1" x14ac:dyDescent="0.25">
      <c r="A24" s="334" t="s">
        <v>266</v>
      </c>
      <c r="B24" s="519">
        <v>0</v>
      </c>
      <c r="C24" s="519">
        <v>0</v>
      </c>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row>
    <row r="25" spans="1:33" s="334" customFormat="1" x14ac:dyDescent="0.25">
      <c r="A25" s="346" t="s">
        <v>866</v>
      </c>
      <c r="B25" s="519"/>
      <c r="C25" s="519"/>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row>
    <row r="26" spans="1:33" x14ac:dyDescent="0.25">
      <c r="A26" s="149" t="s">
        <v>3</v>
      </c>
      <c r="B26" s="520">
        <f>SUM($B$11:B24)</f>
        <v>126226145.536</v>
      </c>
      <c r="C26" s="520">
        <f>SUM($C$11:C24)</f>
        <v>88959945.252000004</v>
      </c>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row>
    <row r="27" spans="1:33"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row>
  </sheetData>
  <mergeCells count="1">
    <mergeCell ref="B8:C8"/>
  </mergeCells>
  <hyperlinks>
    <hyperlink ref="E1" location="ER!A1" display="ER"/>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AE22"/>
  <sheetViews>
    <sheetView showGridLines="0" topLeftCell="A4" workbookViewId="0">
      <selection activeCell="B20" sqref="B20"/>
    </sheetView>
  </sheetViews>
  <sheetFormatPr baseColWidth="10" defaultRowHeight="15" x14ac:dyDescent="0.25"/>
  <cols>
    <col min="1" max="1" width="38" style="123" customWidth="1"/>
    <col min="2" max="2" width="18.140625" style="123" customWidth="1"/>
    <col min="3" max="3" width="17.140625" style="123" customWidth="1"/>
    <col min="4" max="6" width="11.42578125" style="123" customWidth="1"/>
    <col min="7" max="7" width="12.7109375" style="123" bestFit="1" customWidth="1"/>
    <col min="8" max="31" width="11.42578125" style="123" customWidth="1"/>
  </cols>
  <sheetData>
    <row r="1" spans="1:31" x14ac:dyDescent="0.25">
      <c r="A1" s="123" t="str">
        <f>Indice!C1</f>
        <v>NEGOFIN S.A.E.C.A.</v>
      </c>
      <c r="E1" s="144" t="s">
        <v>148</v>
      </c>
    </row>
    <row r="5" spans="1:31" x14ac:dyDescent="0.25">
      <c r="A5" s="864" t="s">
        <v>344</v>
      </c>
      <c r="B5" s="864"/>
      <c r="C5" s="864"/>
      <c r="D5" s="864"/>
      <c r="E5" s="864"/>
      <c r="F5" s="864"/>
      <c r="G5" s="24"/>
      <c r="H5" s="24"/>
      <c r="I5" s="24"/>
      <c r="J5" s="24"/>
      <c r="K5" s="24"/>
      <c r="L5" s="24"/>
      <c r="M5" s="24"/>
      <c r="N5" s="24"/>
      <c r="O5" s="24"/>
      <c r="P5" s="24"/>
      <c r="Q5" s="24"/>
      <c r="R5" s="24"/>
      <c r="S5" s="24"/>
      <c r="T5" s="24"/>
      <c r="U5" s="24"/>
      <c r="V5" s="24"/>
      <c r="W5" s="24"/>
      <c r="X5" s="24"/>
      <c r="Y5" s="24"/>
      <c r="Z5" s="24"/>
      <c r="AA5" s="24"/>
      <c r="AB5" s="24"/>
      <c r="AC5" s="24"/>
      <c r="AD5" s="24"/>
      <c r="AE5" s="24"/>
    </row>
    <row r="7" spans="1:31" x14ac:dyDescent="0.25">
      <c r="B7" s="872"/>
      <c r="C7" s="872"/>
    </row>
    <row r="8" spans="1:31" s="201" customFormat="1" x14ac:dyDescent="0.25">
      <c r="A8" s="123"/>
      <c r="B8" s="873" t="s">
        <v>261</v>
      </c>
      <c r="C8" s="87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row>
    <row r="9" spans="1:31" x14ac:dyDescent="0.25">
      <c r="A9" s="149" t="s">
        <v>156</v>
      </c>
      <c r="B9" s="396">
        <f>IFERROR(IF(Indice!B6="","2XX2",YEAR(Indice!B6)),"2XX2")</f>
        <v>2021</v>
      </c>
      <c r="C9" s="396">
        <f>+IFERROR(YEAR(Indice!B6-365),"2XX1")</f>
        <v>2020</v>
      </c>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row>
    <row r="10" spans="1:31" s="334" customFormat="1" x14ac:dyDescent="0.25">
      <c r="A10" s="149" t="s">
        <v>867</v>
      </c>
      <c r="B10" s="526"/>
      <c r="C10" s="526"/>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row>
    <row r="11" spans="1:31" x14ac:dyDescent="0.25">
      <c r="A11" s="24" t="s">
        <v>267</v>
      </c>
      <c r="B11" s="519"/>
      <c r="C11" s="519"/>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row>
    <row r="12" spans="1:31" x14ac:dyDescent="0.25">
      <c r="A12" s="225" t="s">
        <v>268</v>
      </c>
      <c r="B12" s="508">
        <f>4550897.636+43375642.591</f>
        <v>47926540.226999998</v>
      </c>
      <c r="C12" s="508">
        <f>3677878.045+41664923.989</f>
        <v>45342802.034000002</v>
      </c>
      <c r="D12" s="24"/>
      <c r="E12" s="508"/>
      <c r="F12" s="24"/>
      <c r="G12" s="519"/>
      <c r="H12" s="519"/>
      <c r="I12" s="24"/>
      <c r="J12" s="24"/>
      <c r="K12" s="24"/>
      <c r="L12" s="24"/>
      <c r="M12" s="24"/>
      <c r="N12" s="24"/>
      <c r="O12" s="24"/>
      <c r="P12" s="24"/>
      <c r="Q12" s="24"/>
      <c r="R12" s="24"/>
      <c r="S12" s="24"/>
      <c r="T12" s="24"/>
      <c r="U12" s="24"/>
      <c r="V12" s="24"/>
      <c r="W12" s="24"/>
      <c r="X12" s="24"/>
      <c r="Y12" s="24"/>
      <c r="Z12" s="24"/>
      <c r="AA12" s="24"/>
      <c r="AB12" s="24"/>
      <c r="AC12" s="24"/>
      <c r="AD12" s="24"/>
      <c r="AE12" s="24"/>
    </row>
    <row r="13" spans="1:31" s="201" customFormat="1" x14ac:dyDescent="0.25">
      <c r="A13" s="225" t="s">
        <v>269</v>
      </c>
      <c r="B13" s="519">
        <v>0</v>
      </c>
      <c r="C13" s="519">
        <v>0</v>
      </c>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row>
    <row r="14" spans="1:31" s="201" customFormat="1" x14ac:dyDescent="0.25">
      <c r="A14" s="225" t="s">
        <v>270</v>
      </c>
      <c r="B14" s="519">
        <v>0</v>
      </c>
      <c r="C14" s="519">
        <v>0</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row>
    <row r="15" spans="1:31" s="334" customFormat="1" x14ac:dyDescent="0.25">
      <c r="A15" s="149" t="s">
        <v>868</v>
      </c>
      <c r="B15" s="526"/>
      <c r="C15" s="526"/>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row>
    <row r="16" spans="1:31" s="334" customFormat="1" x14ac:dyDescent="0.25">
      <c r="A16" s="24" t="s">
        <v>267</v>
      </c>
      <c r="B16" s="519">
        <v>0</v>
      </c>
      <c r="C16" s="519">
        <v>0</v>
      </c>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row>
    <row r="17" spans="1:31" s="334" customFormat="1" x14ac:dyDescent="0.25">
      <c r="A17" s="525" t="s">
        <v>268</v>
      </c>
      <c r="B17" s="519">
        <v>0</v>
      </c>
      <c r="C17" s="519">
        <v>0</v>
      </c>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row>
    <row r="18" spans="1:31" s="334" customFormat="1" x14ac:dyDescent="0.25">
      <c r="A18" s="225" t="s">
        <v>269</v>
      </c>
      <c r="B18" s="519">
        <v>0</v>
      </c>
      <c r="C18" s="519">
        <v>0</v>
      </c>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row>
    <row r="19" spans="1:31" s="334" customFormat="1" x14ac:dyDescent="0.25">
      <c r="A19" s="225" t="s">
        <v>270</v>
      </c>
      <c r="B19" s="519">
        <v>0</v>
      </c>
      <c r="C19" s="519">
        <v>0</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row>
    <row r="20" spans="1:31" s="334" customFormat="1" x14ac:dyDescent="0.25">
      <c r="A20" s="346" t="s">
        <v>866</v>
      </c>
      <c r="B20" s="519"/>
      <c r="C20" s="519"/>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row>
    <row r="21" spans="1:31" x14ac:dyDescent="0.25">
      <c r="A21" s="24" t="s">
        <v>271</v>
      </c>
      <c r="B21" s="527">
        <f>SUM($B$10:B20)</f>
        <v>47926540.226999998</v>
      </c>
      <c r="C21" s="527">
        <f>SUM($C$10:C20)</f>
        <v>45342802.034000002</v>
      </c>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row>
    <row r="22" spans="1:31" x14ac:dyDescent="0.2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row>
  </sheetData>
  <mergeCells count="3">
    <mergeCell ref="A5:F5"/>
    <mergeCell ref="B7:C7"/>
    <mergeCell ref="B8:C8"/>
  </mergeCells>
  <hyperlinks>
    <hyperlink ref="E1" location="ER!A1" display="ER"/>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AG56"/>
  <sheetViews>
    <sheetView showGridLines="0" topLeftCell="A18" zoomScaleNormal="100" workbookViewId="0">
      <selection activeCell="B35" sqref="B35:G35"/>
    </sheetView>
  </sheetViews>
  <sheetFormatPr baseColWidth="10" defaultRowHeight="15" x14ac:dyDescent="0.25"/>
  <cols>
    <col min="1" max="1" width="38" style="123" customWidth="1"/>
    <col min="2" max="7" width="23" style="123" customWidth="1"/>
    <col min="8" max="33" width="11.42578125" style="123" customWidth="1"/>
  </cols>
  <sheetData>
    <row r="1" spans="1:33" x14ac:dyDescent="0.25">
      <c r="A1" s="123" t="str">
        <f>Indice!C1</f>
        <v>NEGOFIN S.A.E.C.A.</v>
      </c>
      <c r="G1" s="144" t="s">
        <v>148</v>
      </c>
    </row>
    <row r="5" spans="1:33" x14ac:dyDescent="0.25">
      <c r="A5" s="308" t="s">
        <v>345</v>
      </c>
      <c r="B5" s="308"/>
      <c r="C5" s="308"/>
      <c r="D5" s="308"/>
      <c r="E5" s="308"/>
      <c r="F5" s="308"/>
      <c r="G5" s="308"/>
      <c r="H5" s="308"/>
      <c r="I5" s="24"/>
      <c r="J5" s="24"/>
      <c r="K5" s="24"/>
      <c r="L5" s="24"/>
      <c r="M5" s="24"/>
      <c r="N5" s="24"/>
      <c r="O5" s="24"/>
      <c r="P5" s="24"/>
      <c r="Q5" s="24"/>
      <c r="R5" s="24"/>
      <c r="S5" s="24"/>
      <c r="T5" s="24"/>
      <c r="U5" s="24"/>
      <c r="V5" s="24"/>
      <c r="W5" s="24"/>
      <c r="X5" s="24"/>
      <c r="Y5" s="24"/>
      <c r="Z5" s="24"/>
      <c r="AA5" s="24"/>
      <c r="AB5" s="24"/>
      <c r="AC5" s="24"/>
      <c r="AD5" s="24"/>
      <c r="AE5" s="24"/>
      <c r="AF5" s="24"/>
      <c r="AG5" s="24"/>
    </row>
    <row r="6" spans="1:33" x14ac:dyDescent="0.25">
      <c r="A6" s="874" t="s">
        <v>195</v>
      </c>
      <c r="B6" s="874"/>
      <c r="C6" s="874"/>
      <c r="D6" s="874"/>
      <c r="E6" s="874"/>
      <c r="F6" s="874"/>
      <c r="G6" s="874"/>
      <c r="H6" s="874"/>
    </row>
    <row r="7" spans="1:33" s="177" customFormat="1" x14ac:dyDescent="0.25">
      <c r="A7" s="176"/>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row>
    <row r="8" spans="1:33" s="177" customFormat="1" x14ac:dyDescent="0.25">
      <c r="A8" s="176" t="s">
        <v>196</v>
      </c>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row>
    <row r="9" spans="1:33" s="177" customFormat="1" x14ac:dyDescent="0.25">
      <c r="A9" s="176"/>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row>
    <row r="10" spans="1:33" s="177" customFormat="1" ht="15.75" thickBot="1" x14ac:dyDescent="0.3">
      <c r="A10" s="354" t="s">
        <v>261</v>
      </c>
      <c r="B10" s="353"/>
      <c r="D10" s="354"/>
      <c r="E10" s="354"/>
      <c r="F10" s="355"/>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row>
    <row r="11" spans="1:33" s="177" customFormat="1" ht="15.75" thickBot="1" x14ac:dyDescent="0.3">
      <c r="A11" s="875"/>
      <c r="B11" s="416"/>
      <c r="C11" s="417">
        <f>IFERROR(IF(Indice!B6="","2XX2",YEAR(Indice!B6)),"2XX2")</f>
        <v>2021</v>
      </c>
      <c r="D11" s="419"/>
      <c r="E11" s="420"/>
      <c r="F11" s="417">
        <f>+IFERROR(YEAR(Indice!B6-365),"2XX1")</f>
        <v>2020</v>
      </c>
      <c r="G11" s="418"/>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row>
    <row r="12" spans="1:33" s="177" customFormat="1" ht="15.75" thickBot="1" x14ac:dyDescent="0.3">
      <c r="A12" s="876"/>
      <c r="B12" s="415" t="s">
        <v>197</v>
      </c>
      <c r="C12" s="415" t="s">
        <v>198</v>
      </c>
      <c r="D12" s="415" t="s">
        <v>3</v>
      </c>
      <c r="E12" s="415" t="s">
        <v>197</v>
      </c>
      <c r="F12" s="415" t="s">
        <v>198</v>
      </c>
      <c r="G12" s="415" t="s">
        <v>3</v>
      </c>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row>
    <row r="13" spans="1:33" s="177" customFormat="1" x14ac:dyDescent="0.25">
      <c r="A13" s="222" t="s">
        <v>199</v>
      </c>
      <c r="B13" s="522">
        <f>4590.2+270.6+65834.831</f>
        <v>70695.631000000008</v>
      </c>
      <c r="C13" s="522">
        <v>11051.554</v>
      </c>
      <c r="D13" s="522">
        <f t="shared" ref="D13:D26" si="0">+C13+B13</f>
        <v>81747.185000000012</v>
      </c>
      <c r="E13" s="522">
        <f>5681.365+78641.36</f>
        <v>84322.725000000006</v>
      </c>
      <c r="F13" s="522">
        <v>4435.3370000000004</v>
      </c>
      <c r="G13" s="522">
        <f>+F13+E13</f>
        <v>88758.062000000005</v>
      </c>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row>
    <row r="14" spans="1:33" s="177" customFormat="1" x14ac:dyDescent="0.25">
      <c r="A14" s="223" t="s">
        <v>200</v>
      </c>
      <c r="B14" s="523">
        <v>0</v>
      </c>
      <c r="C14" s="523">
        <v>114294.29</v>
      </c>
      <c r="D14" s="523">
        <f t="shared" si="0"/>
        <v>114294.29</v>
      </c>
      <c r="E14" s="523">
        <v>0</v>
      </c>
      <c r="F14" s="523">
        <v>113656.031</v>
      </c>
      <c r="G14" s="523">
        <f>+F14+E14</f>
        <v>113656.031</v>
      </c>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row>
    <row r="15" spans="1:33" s="177" customFormat="1" x14ac:dyDescent="0.25">
      <c r="A15" s="223" t="s">
        <v>201</v>
      </c>
      <c r="B15" s="523">
        <v>0</v>
      </c>
      <c r="C15" s="523">
        <v>48801.341999999997</v>
      </c>
      <c r="D15" s="523">
        <f t="shared" si="0"/>
        <v>48801.341999999997</v>
      </c>
      <c r="E15" s="523">
        <v>0</v>
      </c>
      <c r="F15" s="523">
        <v>49148.697999999997</v>
      </c>
      <c r="G15" s="523">
        <f t="shared" ref="G15:G34" si="1">+F15+E15</f>
        <v>49148.697999999997</v>
      </c>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row>
    <row r="16" spans="1:33" s="177" customFormat="1" x14ac:dyDescent="0.25">
      <c r="A16" s="740" t="s">
        <v>202</v>
      </c>
      <c r="B16" s="523">
        <v>0</v>
      </c>
      <c r="C16" s="523">
        <v>0</v>
      </c>
      <c r="D16" s="523">
        <f t="shared" si="0"/>
        <v>0</v>
      </c>
      <c r="E16" s="523">
        <v>0</v>
      </c>
      <c r="F16" s="523">
        <v>0</v>
      </c>
      <c r="G16" s="523">
        <f t="shared" si="1"/>
        <v>0</v>
      </c>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row>
    <row r="17" spans="1:33" s="177" customFormat="1" x14ac:dyDescent="0.25">
      <c r="A17" s="223" t="s">
        <v>203</v>
      </c>
      <c r="B17" s="523">
        <v>0</v>
      </c>
      <c r="C17" s="523">
        <v>7387252.8959999997</v>
      </c>
      <c r="D17" s="523">
        <f t="shared" si="0"/>
        <v>7387252.8959999997</v>
      </c>
      <c r="E17" s="523">
        <v>0</v>
      </c>
      <c r="F17" s="523">
        <f>4140094.268+295137.578+1612918.732</f>
        <v>6048150.5779999997</v>
      </c>
      <c r="G17" s="523">
        <f t="shared" si="1"/>
        <v>6048150.5779999997</v>
      </c>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row>
    <row r="18" spans="1:33" s="177" customFormat="1" x14ac:dyDescent="0.25">
      <c r="A18" s="223" t="s">
        <v>204</v>
      </c>
      <c r="B18" s="523">
        <v>0</v>
      </c>
      <c r="C18" s="523">
        <v>0</v>
      </c>
      <c r="D18" s="523">
        <f>+C18+B18</f>
        <v>0</v>
      </c>
      <c r="E18" s="523">
        <v>0</v>
      </c>
      <c r="F18" s="523">
        <v>0</v>
      </c>
      <c r="G18" s="523">
        <f t="shared" si="1"/>
        <v>0</v>
      </c>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row>
    <row r="19" spans="1:33" s="177" customFormat="1" x14ac:dyDescent="0.25">
      <c r="A19" s="223" t="s">
        <v>205</v>
      </c>
      <c r="B19" s="523">
        <v>0</v>
      </c>
      <c r="C19" s="523">
        <f>112748.781+207554.149</f>
        <v>320302.93</v>
      </c>
      <c r="D19" s="523">
        <f t="shared" si="0"/>
        <v>320302.93</v>
      </c>
      <c r="E19" s="523">
        <v>0</v>
      </c>
      <c r="F19" s="523">
        <f>2108.492+183879.893</f>
        <v>185988.38500000001</v>
      </c>
      <c r="G19" s="523">
        <f t="shared" si="1"/>
        <v>185988.38500000001</v>
      </c>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row>
    <row r="20" spans="1:33" s="177" customFormat="1" x14ac:dyDescent="0.25">
      <c r="A20" s="223" t="s">
        <v>206</v>
      </c>
      <c r="B20" s="523">
        <v>0</v>
      </c>
      <c r="C20" s="523">
        <v>248653.13500000001</v>
      </c>
      <c r="D20" s="523">
        <f t="shared" si="0"/>
        <v>248653.13500000001</v>
      </c>
      <c r="E20" s="523">
        <v>0</v>
      </c>
      <c r="F20" s="523">
        <v>196549.22399999999</v>
      </c>
      <c r="G20" s="523">
        <f t="shared" si="1"/>
        <v>196549.22399999999</v>
      </c>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row>
    <row r="21" spans="1:33" s="177" customFormat="1" x14ac:dyDescent="0.25">
      <c r="A21" s="223" t="s">
        <v>207</v>
      </c>
      <c r="B21" s="523">
        <v>0</v>
      </c>
      <c r="C21" s="523">
        <v>3437484.2140000002</v>
      </c>
      <c r="D21" s="523">
        <f t="shared" si="0"/>
        <v>3437484.2140000002</v>
      </c>
      <c r="E21" s="523">
        <v>0</v>
      </c>
      <c r="F21" s="741">
        <f>653172.472+10115.909+24228.434+46235.083+2400+57661.345+19352.604+54444.743+990215.856+47100+70500+36127.507+4709.768+50250+76337.79+22227.273</f>
        <v>2165078.784</v>
      </c>
      <c r="G21" s="523">
        <f t="shared" si="1"/>
        <v>2165078.784</v>
      </c>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row>
    <row r="22" spans="1:33" s="177" customFormat="1" x14ac:dyDescent="0.25">
      <c r="A22" s="223" t="s">
        <v>208</v>
      </c>
      <c r="B22" s="523">
        <v>0</v>
      </c>
      <c r="C22" s="523">
        <v>34737.716999999997</v>
      </c>
      <c r="D22" s="523">
        <f t="shared" si="0"/>
        <v>34737.716999999997</v>
      </c>
      <c r="E22" s="523">
        <v>0</v>
      </c>
      <c r="F22" s="523">
        <v>28683.268</v>
      </c>
      <c r="G22" s="523">
        <f t="shared" si="1"/>
        <v>28683.268</v>
      </c>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row>
    <row r="23" spans="1:33" s="177" customFormat="1" x14ac:dyDescent="0.25">
      <c r="A23" s="740" t="s">
        <v>209</v>
      </c>
      <c r="B23" s="523">
        <v>0</v>
      </c>
      <c r="C23" s="741">
        <v>3205118.9060000004</v>
      </c>
      <c r="D23" s="523">
        <f t="shared" si="0"/>
        <v>3205118.9060000004</v>
      </c>
      <c r="E23" s="523">
        <v>0</v>
      </c>
      <c r="F23" s="741">
        <v>2202135.5120000001</v>
      </c>
      <c r="G23" s="523">
        <f t="shared" si="1"/>
        <v>2202135.5120000001</v>
      </c>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row>
    <row r="24" spans="1:33" s="177" customFormat="1" ht="24" x14ac:dyDescent="0.25">
      <c r="A24" s="223" t="s">
        <v>210</v>
      </c>
      <c r="B24" s="523">
        <v>0</v>
      </c>
      <c r="C24" s="716">
        <v>10847081.419</v>
      </c>
      <c r="D24" s="523">
        <f t="shared" si="0"/>
        <v>10847081.419</v>
      </c>
      <c r="E24" s="523">
        <v>0</v>
      </c>
      <c r="F24" s="523">
        <v>5388660.4929999998</v>
      </c>
      <c r="G24" s="523">
        <f t="shared" si="1"/>
        <v>5388660.4929999998</v>
      </c>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row>
    <row r="25" spans="1:33" s="177" customFormat="1" x14ac:dyDescent="0.25">
      <c r="A25" s="223" t="s">
        <v>211</v>
      </c>
      <c r="B25" s="523">
        <v>0</v>
      </c>
      <c r="C25" s="716">
        <v>7955348.7889999999</v>
      </c>
      <c r="D25" s="523">
        <f t="shared" si="0"/>
        <v>7955348.7889999999</v>
      </c>
      <c r="E25" s="523">
        <v>0</v>
      </c>
      <c r="F25" s="523">
        <v>7841065.6399999997</v>
      </c>
      <c r="G25" s="523">
        <f t="shared" si="1"/>
        <v>7841065.6399999997</v>
      </c>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row>
    <row r="26" spans="1:33" s="177" customFormat="1" x14ac:dyDescent="0.25">
      <c r="A26" s="223" t="s">
        <v>212</v>
      </c>
      <c r="B26" s="523">
        <v>0</v>
      </c>
      <c r="C26" s="716">
        <v>1391607.1669999999</v>
      </c>
      <c r="D26" s="523">
        <f t="shared" si="0"/>
        <v>1391607.1669999999</v>
      </c>
      <c r="E26" s="523">
        <v>0</v>
      </c>
      <c r="F26" s="523">
        <v>1315116.246</v>
      </c>
      <c r="G26" s="523">
        <f t="shared" si="1"/>
        <v>1315116.246</v>
      </c>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row>
    <row r="27" spans="1:33" s="177" customFormat="1" x14ac:dyDescent="0.25">
      <c r="A27" s="223" t="s">
        <v>213</v>
      </c>
      <c r="B27" s="523">
        <v>0</v>
      </c>
      <c r="C27" s="523">
        <v>0</v>
      </c>
      <c r="D27" s="523">
        <f t="shared" ref="D27:D34" si="2">+C27+B27</f>
        <v>0</v>
      </c>
      <c r="E27" s="523">
        <v>0</v>
      </c>
      <c r="F27" s="523">
        <v>0</v>
      </c>
      <c r="G27" s="523">
        <f t="shared" si="1"/>
        <v>0</v>
      </c>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row>
    <row r="28" spans="1:33" s="177" customFormat="1" x14ac:dyDescent="0.25">
      <c r="A28" s="223" t="s">
        <v>214</v>
      </c>
      <c r="B28" s="523">
        <v>0</v>
      </c>
      <c r="C28" s="716">
        <v>8684.0930000000008</v>
      </c>
      <c r="D28" s="523">
        <f t="shared" si="2"/>
        <v>8684.0930000000008</v>
      </c>
      <c r="E28" s="523">
        <v>0</v>
      </c>
      <c r="F28" s="523">
        <v>1239.1369999999999</v>
      </c>
      <c r="G28" s="523">
        <f t="shared" si="1"/>
        <v>1239.1369999999999</v>
      </c>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row>
    <row r="29" spans="1:33" s="177" customFormat="1" x14ac:dyDescent="0.25">
      <c r="A29" s="223" t="s">
        <v>215</v>
      </c>
      <c r="B29" s="523">
        <v>0</v>
      </c>
      <c r="C29" s="716">
        <v>454987.64399999997</v>
      </c>
      <c r="D29" s="523">
        <f t="shared" si="2"/>
        <v>454987.64399999997</v>
      </c>
      <c r="E29" s="523">
        <v>0</v>
      </c>
      <c r="F29" s="523">
        <v>0</v>
      </c>
      <c r="G29" s="523">
        <f t="shared" si="1"/>
        <v>0</v>
      </c>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row>
    <row r="30" spans="1:33" s="177" customFormat="1" x14ac:dyDescent="0.25">
      <c r="A30" s="223" t="s">
        <v>216</v>
      </c>
      <c r="B30" s="523">
        <v>0</v>
      </c>
      <c r="C30" s="523">
        <v>0</v>
      </c>
      <c r="D30" s="523">
        <f t="shared" si="2"/>
        <v>0</v>
      </c>
      <c r="E30" s="523">
        <v>0</v>
      </c>
      <c r="F30" s="523">
        <v>0</v>
      </c>
      <c r="G30" s="523">
        <f t="shared" si="1"/>
        <v>0</v>
      </c>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row>
    <row r="31" spans="1:33" s="177" customFormat="1" x14ac:dyDescent="0.25">
      <c r="A31" s="223" t="s">
        <v>875</v>
      </c>
      <c r="B31" s="523">
        <v>0</v>
      </c>
      <c r="C31" s="716">
        <v>308067.81599999999</v>
      </c>
      <c r="D31" s="523">
        <f t="shared" si="2"/>
        <v>308067.81599999999</v>
      </c>
      <c r="E31" s="523">
        <v>0</v>
      </c>
      <c r="F31" s="523">
        <v>915947.53200000001</v>
      </c>
      <c r="G31" s="523">
        <f t="shared" si="1"/>
        <v>915947.53200000001</v>
      </c>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row>
    <row r="32" spans="1:33" s="177" customFormat="1" x14ac:dyDescent="0.25">
      <c r="A32" s="223" t="s">
        <v>217</v>
      </c>
      <c r="B32" s="523">
        <v>0</v>
      </c>
      <c r="C32" s="716">
        <v>46009.722000000002</v>
      </c>
      <c r="D32" s="523">
        <f t="shared" si="2"/>
        <v>46009.722000000002</v>
      </c>
      <c r="E32" s="523">
        <v>0</v>
      </c>
      <c r="F32" s="523">
        <v>176892.46799999999</v>
      </c>
      <c r="G32" s="523">
        <f t="shared" si="1"/>
        <v>176892.46799999999</v>
      </c>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row>
    <row r="33" spans="1:33" s="177" customFormat="1" x14ac:dyDescent="0.25">
      <c r="A33" s="223" t="s">
        <v>7</v>
      </c>
      <c r="B33" s="523">
        <v>0</v>
      </c>
      <c r="C33" s="716">
        <v>22784278.23</v>
      </c>
      <c r="D33" s="523">
        <f t="shared" si="2"/>
        <v>22784278.23</v>
      </c>
      <c r="E33" s="523">
        <v>0</v>
      </c>
      <c r="F33" s="523">
        <v>13262394.154999999</v>
      </c>
      <c r="G33" s="523">
        <f>+F33+E33</f>
        <v>13262394.154999999</v>
      </c>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row>
    <row r="34" spans="1:33" s="177" customFormat="1" x14ac:dyDescent="0.25">
      <c r="A34" s="356" t="s">
        <v>66</v>
      </c>
      <c r="B34" s="524"/>
      <c r="C34" s="524"/>
      <c r="D34" s="523">
        <f t="shared" si="2"/>
        <v>0</v>
      </c>
      <c r="E34" s="524"/>
      <c r="F34" s="524"/>
      <c r="G34" s="523">
        <f t="shared" si="1"/>
        <v>0</v>
      </c>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row>
    <row r="35" spans="1:33" s="177" customFormat="1" ht="15.75" thickBot="1" x14ac:dyDescent="0.3">
      <c r="A35" s="224" t="s">
        <v>3</v>
      </c>
      <c r="B35" s="772">
        <f>+SUM($B$13:B34)</f>
        <v>70695.631000000008</v>
      </c>
      <c r="C35" s="772">
        <f>+SUM($C$13:C34)</f>
        <v>58603761.864000008</v>
      </c>
      <c r="D35" s="772">
        <f>+SUM($D$13:D34)</f>
        <v>58674457.495000005</v>
      </c>
      <c r="E35" s="772">
        <f>+SUM($E$13:E34)</f>
        <v>84322.725000000006</v>
      </c>
      <c r="F35" s="772">
        <f>+SUM($F$13:F34)</f>
        <v>39895141.487999998</v>
      </c>
      <c r="G35" s="772">
        <f>+SUM($G$13:G34)</f>
        <v>39979464.213</v>
      </c>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row>
    <row r="36" spans="1:33" s="177" customFormat="1" x14ac:dyDescent="0.25">
      <c r="A36" s="176"/>
      <c r="B36" s="176"/>
      <c r="C36" s="364"/>
      <c r="D36" s="176"/>
      <c r="E36" s="176"/>
      <c r="F36" s="364"/>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row>
    <row r="37" spans="1:33" s="177" customFormat="1" x14ac:dyDescent="0.25">
      <c r="A37" s="176"/>
      <c r="B37" s="176"/>
      <c r="C37" s="364"/>
      <c r="D37" s="364"/>
      <c r="E37" s="176"/>
      <c r="F37" s="460"/>
      <c r="G37" s="364"/>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row>
    <row r="38" spans="1:33" s="177" customFormat="1" x14ac:dyDescent="0.25">
      <c r="A38" s="176"/>
      <c r="B38" s="176"/>
      <c r="C38" s="718"/>
      <c r="D38" s="176"/>
      <c r="E38" s="176"/>
      <c r="F38" s="364"/>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row>
    <row r="39" spans="1:33" s="177" customFormat="1" x14ac:dyDescent="0.25">
      <c r="A39" s="176"/>
      <c r="B39" s="176"/>
      <c r="D39" s="176"/>
      <c r="E39" s="176"/>
      <c r="F39" s="701"/>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row>
    <row r="40" spans="1:33" s="177" customFormat="1" x14ac:dyDescent="0.25">
      <c r="A40" s="176"/>
      <c r="B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row>
    <row r="41" spans="1:33" s="177" customFormat="1" x14ac:dyDescent="0.25">
      <c r="A41" s="176"/>
      <c r="B41" s="176"/>
      <c r="D41" s="508"/>
      <c r="E41" s="508"/>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row>
    <row r="42" spans="1:33" s="146" customFormat="1" x14ac:dyDescent="0.25">
      <c r="A42" s="131"/>
      <c r="B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row>
    <row r="43" spans="1:33" s="146" customFormat="1" x14ac:dyDescent="0.25">
      <c r="A43" s="131"/>
      <c r="B43" s="131"/>
      <c r="C43" s="717"/>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row>
    <row r="44" spans="1:33" x14ac:dyDescent="0.25">
      <c r="C44" s="455"/>
    </row>
    <row r="45" spans="1:33" x14ac:dyDescent="0.25">
      <c r="C45" s="703"/>
      <c r="D45" s="455"/>
    </row>
    <row r="46" spans="1:33" x14ac:dyDescent="0.25">
      <c r="C46" s="703"/>
    </row>
    <row r="47" spans="1:33" x14ac:dyDescent="0.25">
      <c r="D47" s="473"/>
    </row>
    <row r="50" spans="3:4" x14ac:dyDescent="0.25">
      <c r="C50" s="460"/>
      <c r="D50" s="460"/>
    </row>
    <row r="51" spans="3:4" x14ac:dyDescent="0.25">
      <c r="C51" s="460"/>
      <c r="D51" s="460"/>
    </row>
    <row r="52" spans="3:4" x14ac:dyDescent="0.25">
      <c r="C52" s="460"/>
      <c r="D52" s="460"/>
    </row>
    <row r="53" spans="3:4" x14ac:dyDescent="0.25">
      <c r="C53" s="460"/>
      <c r="D53" s="460"/>
    </row>
    <row r="54" spans="3:4" x14ac:dyDescent="0.25">
      <c r="C54" s="460"/>
      <c r="D54" s="460"/>
    </row>
    <row r="55" spans="3:4" x14ac:dyDescent="0.25">
      <c r="C55" s="460"/>
      <c r="D55" s="460"/>
    </row>
    <row r="56" spans="3:4" x14ac:dyDescent="0.25">
      <c r="C56" s="460"/>
      <c r="D56" s="460"/>
    </row>
  </sheetData>
  <mergeCells count="2">
    <mergeCell ref="A6:H6"/>
    <mergeCell ref="A11:A12"/>
  </mergeCells>
  <hyperlinks>
    <hyperlink ref="G1" location="ER!A1" display="ER"/>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X26"/>
  <sheetViews>
    <sheetView showGridLines="0" topLeftCell="A4" workbookViewId="0">
      <selection activeCell="B19" sqref="B19"/>
    </sheetView>
  </sheetViews>
  <sheetFormatPr baseColWidth="10" defaultRowHeight="15" x14ac:dyDescent="0.25"/>
  <cols>
    <col min="1" max="1" width="38" style="123" customWidth="1"/>
    <col min="2" max="2" width="14.7109375" style="123" customWidth="1"/>
    <col min="3" max="3" width="15.7109375" style="123" customWidth="1"/>
    <col min="4" max="4" width="4.85546875" style="123" customWidth="1"/>
    <col min="5" max="5" width="14.5703125" style="123" bestFit="1" customWidth="1"/>
    <col min="6" max="6" width="13.28515625" style="123" customWidth="1"/>
    <col min="7" max="7" width="14.5703125" style="123" customWidth="1"/>
    <col min="8" max="20" width="11.42578125" style="123" customWidth="1"/>
  </cols>
  <sheetData>
    <row r="1" spans="1:24" x14ac:dyDescent="0.25">
      <c r="A1" s="123" t="str">
        <f>Indice!C1</f>
        <v>NEGOFIN S.A.E.C.A.</v>
      </c>
      <c r="E1" s="144" t="s">
        <v>148</v>
      </c>
    </row>
    <row r="4" spans="1:24" x14ac:dyDescent="0.25">
      <c r="A4" s="877" t="s">
        <v>346</v>
      </c>
      <c r="B4" s="877"/>
      <c r="C4" s="877"/>
      <c r="D4" s="877"/>
      <c r="E4" s="877"/>
      <c r="F4" s="153"/>
      <c r="U4" s="123"/>
      <c r="V4" s="123"/>
      <c r="W4" s="123"/>
      <c r="X4" s="123"/>
    </row>
    <row r="5" spans="1:24" x14ac:dyDescent="0.25">
      <c r="A5" s="150"/>
      <c r="B5" s="152"/>
      <c r="C5" s="151"/>
      <c r="D5" s="151"/>
      <c r="E5" s="151"/>
      <c r="F5" s="153"/>
      <c r="U5" s="123"/>
      <c r="V5" s="123"/>
      <c r="W5" s="123"/>
      <c r="X5" s="123"/>
    </row>
    <row r="6" spans="1:24" s="201" customFormat="1" x14ac:dyDescent="0.25">
      <c r="A6" s="357" t="s">
        <v>261</v>
      </c>
      <c r="B6" s="878"/>
      <c r="C6" s="878"/>
      <c r="D6" s="151"/>
      <c r="E6" s="151"/>
      <c r="F6" s="153"/>
      <c r="G6" s="123"/>
      <c r="H6" s="123"/>
      <c r="I6" s="123"/>
      <c r="J6" s="123"/>
      <c r="K6" s="123"/>
      <c r="L6" s="123"/>
      <c r="M6" s="123"/>
      <c r="N6" s="123"/>
      <c r="O6" s="123"/>
      <c r="P6" s="123"/>
      <c r="Q6" s="123"/>
      <c r="R6" s="123"/>
      <c r="S6" s="123"/>
      <c r="T6" s="123"/>
      <c r="U6" s="123"/>
      <c r="V6" s="123"/>
      <c r="W6" s="123"/>
      <c r="X6" s="123"/>
    </row>
    <row r="7" spans="1:24" x14ac:dyDescent="0.25">
      <c r="A7" s="150"/>
      <c r="D7" s="151"/>
      <c r="E7" s="151"/>
      <c r="F7" s="153"/>
      <c r="U7" s="123"/>
      <c r="V7" s="123"/>
      <c r="W7" s="123"/>
      <c r="X7" s="123"/>
    </row>
    <row r="8" spans="1:24" x14ac:dyDescent="0.25">
      <c r="A8" s="154" t="s">
        <v>157</v>
      </c>
      <c r="B8" s="396">
        <f>IFERROR(IF(Indice!B6="","2XX2",YEAR(Indice!B6)),"2XX2")</f>
        <v>2021</v>
      </c>
      <c r="C8" s="396">
        <f>+IFERROR(YEAR(Indice!B6-365),"2XX1")</f>
        <v>2020</v>
      </c>
      <c r="D8" s="151"/>
      <c r="E8" s="154" t="s">
        <v>263</v>
      </c>
      <c r="F8" s="396">
        <f>IFERROR(IF(Indice!B6="","2XX2",YEAR(Indice!B6)),"2XX2")</f>
        <v>2021</v>
      </c>
      <c r="G8" s="396">
        <f>+IFERROR(YEAR(Indice!B6-365),"2XX1")</f>
        <v>2020</v>
      </c>
      <c r="U8" s="123"/>
      <c r="V8" s="123"/>
      <c r="W8" s="123"/>
      <c r="X8" s="123"/>
    </row>
    <row r="9" spans="1:24" x14ac:dyDescent="0.25">
      <c r="A9" s="150" t="s">
        <v>154</v>
      </c>
      <c r="B9" s="150"/>
      <c r="C9" s="150"/>
      <c r="D9" s="151"/>
      <c r="E9" s="150" t="s">
        <v>154</v>
      </c>
      <c r="F9" s="150"/>
      <c r="G9" s="150"/>
      <c r="U9" s="123"/>
      <c r="V9" s="123"/>
      <c r="W9" s="123"/>
      <c r="X9" s="123"/>
    </row>
    <row r="10" spans="1:24" x14ac:dyDescent="0.25">
      <c r="A10" s="150" t="s">
        <v>1049</v>
      </c>
      <c r="B10" s="529">
        <v>154096.533</v>
      </c>
      <c r="C10" s="529">
        <v>18895.065999999999</v>
      </c>
      <c r="D10" s="151"/>
      <c r="E10" s="150"/>
      <c r="F10" s="529">
        <v>0</v>
      </c>
      <c r="G10" s="529">
        <v>0</v>
      </c>
      <c r="U10" s="123"/>
      <c r="V10" s="123"/>
      <c r="W10" s="123"/>
      <c r="X10" s="123"/>
    </row>
    <row r="11" spans="1:24" x14ac:dyDescent="0.25">
      <c r="A11" s="150" t="s">
        <v>1050</v>
      </c>
      <c r="B11" s="529">
        <v>112645.723</v>
      </c>
      <c r="C11" s="529">
        <v>138931.40599999999</v>
      </c>
      <c r="D11" s="151"/>
      <c r="E11" s="150"/>
      <c r="F11" s="529">
        <v>0</v>
      </c>
      <c r="G11" s="529">
        <v>0</v>
      </c>
      <c r="U11" s="123"/>
      <c r="V11" s="123"/>
      <c r="W11" s="123"/>
      <c r="X11" s="123"/>
    </row>
    <row r="12" spans="1:24" x14ac:dyDescent="0.25">
      <c r="A12" s="150" t="s">
        <v>1051</v>
      </c>
      <c r="B12" s="529">
        <v>88018.191000000006</v>
      </c>
      <c r="C12" s="529">
        <v>103502.068</v>
      </c>
      <c r="D12" s="151"/>
      <c r="E12" s="150"/>
      <c r="F12" s="529">
        <v>0</v>
      </c>
      <c r="G12" s="529">
        <v>0</v>
      </c>
      <c r="U12" s="123"/>
      <c r="V12" s="123"/>
      <c r="W12" s="123"/>
      <c r="X12" s="123"/>
    </row>
    <row r="13" spans="1:24" x14ac:dyDescent="0.25">
      <c r="A13" s="150" t="s">
        <v>1052</v>
      </c>
      <c r="B13" s="529">
        <v>5116.1790000000001</v>
      </c>
      <c r="C13" s="529">
        <v>1520.924</v>
      </c>
      <c r="D13" s="151"/>
      <c r="E13" s="150"/>
      <c r="F13" s="529">
        <v>0</v>
      </c>
      <c r="G13" s="529">
        <v>0</v>
      </c>
      <c r="U13" s="123"/>
      <c r="V13" s="123"/>
      <c r="W13" s="123"/>
      <c r="X13" s="123"/>
    </row>
    <row r="14" spans="1:24" x14ac:dyDescent="0.25">
      <c r="A14" s="150" t="s">
        <v>1053</v>
      </c>
      <c r="B14" s="530">
        <v>17004.809000000001</v>
      </c>
      <c r="C14" s="529">
        <v>19391.402999999998</v>
      </c>
      <c r="D14" s="151"/>
      <c r="E14" s="150"/>
      <c r="F14" s="529">
        <v>0</v>
      </c>
      <c r="G14" s="529">
        <v>0</v>
      </c>
      <c r="U14" s="123"/>
      <c r="V14" s="123"/>
      <c r="W14" s="123"/>
      <c r="X14" s="123"/>
    </row>
    <row r="15" spans="1:24" x14ac:dyDescent="0.25">
      <c r="A15" s="150" t="s">
        <v>1054</v>
      </c>
      <c r="B15" s="530">
        <v>1337420.973</v>
      </c>
      <c r="C15" s="529">
        <v>975681.63399999996</v>
      </c>
      <c r="D15" s="151"/>
      <c r="E15" s="150"/>
      <c r="F15" s="529">
        <v>0</v>
      </c>
      <c r="G15" s="529">
        <v>0</v>
      </c>
      <c r="U15" s="123"/>
      <c r="V15" s="123"/>
      <c r="W15" s="123"/>
      <c r="X15" s="123"/>
    </row>
    <row r="16" spans="1:24" s="702" customFormat="1" x14ac:dyDescent="0.25">
      <c r="A16" s="150" t="s">
        <v>1291</v>
      </c>
      <c r="B16" s="530">
        <v>6572728.3020000001</v>
      </c>
      <c r="C16" s="529">
        <v>7620022.699</v>
      </c>
      <c r="D16" s="151"/>
      <c r="E16" s="150"/>
      <c r="F16" s="529"/>
      <c r="G16" s="529"/>
      <c r="H16" s="123"/>
      <c r="I16" s="123"/>
      <c r="J16" s="123"/>
      <c r="K16" s="123"/>
      <c r="L16" s="123"/>
      <c r="M16" s="123"/>
      <c r="N16" s="123"/>
      <c r="O16" s="123"/>
      <c r="P16" s="123"/>
      <c r="Q16" s="123"/>
      <c r="R16" s="123"/>
      <c r="S16" s="123"/>
      <c r="T16" s="123"/>
      <c r="U16" s="123"/>
      <c r="V16" s="123"/>
      <c r="W16" s="123"/>
      <c r="X16" s="123"/>
    </row>
    <row r="17" spans="1:24" x14ac:dyDescent="0.25">
      <c r="A17" s="154" t="s">
        <v>3</v>
      </c>
      <c r="B17" s="528">
        <f>SUM($B$9:B16)</f>
        <v>8287030.71</v>
      </c>
      <c r="C17" s="528">
        <f>SUM($C$9:C16)</f>
        <v>8877945.1999999993</v>
      </c>
      <c r="D17" s="358"/>
      <c r="E17" s="421" t="s">
        <v>3</v>
      </c>
      <c r="F17" s="528">
        <f>SUM($F$9:F15)</f>
        <v>0</v>
      </c>
      <c r="G17" s="528">
        <f>SUM($G$9:G15)</f>
        <v>0</v>
      </c>
      <c r="U17" s="123"/>
      <c r="V17" s="123"/>
      <c r="W17" s="123"/>
      <c r="X17" s="123"/>
    </row>
    <row r="18" spans="1:24" s="201" customFormat="1" x14ac:dyDescent="0.25">
      <c r="D18" s="151"/>
      <c r="E18" s="151"/>
      <c r="F18" s="153"/>
      <c r="G18" s="123"/>
      <c r="H18" s="123"/>
      <c r="I18" s="123"/>
      <c r="J18" s="123"/>
      <c r="K18" s="123"/>
      <c r="L18" s="123"/>
      <c r="M18" s="123"/>
      <c r="N18" s="123"/>
      <c r="O18" s="123"/>
      <c r="P18" s="123"/>
      <c r="Q18" s="123"/>
      <c r="R18" s="123"/>
      <c r="S18" s="123"/>
      <c r="T18" s="123"/>
      <c r="U18" s="123"/>
      <c r="V18" s="123"/>
      <c r="W18" s="123"/>
      <c r="X18" s="123"/>
    </row>
    <row r="19" spans="1:24" s="201" customFormat="1" x14ac:dyDescent="0.25">
      <c r="B19" s="531"/>
      <c r="C19" s="531"/>
      <c r="D19" s="151"/>
      <c r="E19" s="151"/>
      <c r="F19" s="153"/>
      <c r="G19" s="123"/>
      <c r="H19" s="123"/>
      <c r="I19" s="123"/>
      <c r="J19" s="123"/>
      <c r="K19" s="123"/>
      <c r="L19" s="123"/>
      <c r="M19" s="123"/>
      <c r="N19" s="123"/>
      <c r="O19" s="123"/>
      <c r="P19" s="123"/>
      <c r="Q19" s="123"/>
      <c r="R19" s="123"/>
      <c r="S19" s="123"/>
      <c r="T19" s="123"/>
      <c r="U19" s="123"/>
      <c r="V19" s="123"/>
      <c r="W19" s="123"/>
      <c r="X19" s="123"/>
    </row>
    <row r="20" spans="1:24" s="201" customFormat="1" x14ac:dyDescent="0.25">
      <c r="B20" s="455"/>
      <c r="C20" s="455"/>
      <c r="D20" s="151"/>
      <c r="E20" s="151"/>
      <c r="F20" s="153"/>
      <c r="G20" s="123"/>
      <c r="H20" s="123"/>
      <c r="I20" s="123"/>
      <c r="J20" s="123"/>
      <c r="K20" s="123"/>
      <c r="L20" s="123"/>
      <c r="M20" s="123"/>
      <c r="N20" s="123"/>
      <c r="O20" s="123"/>
      <c r="P20" s="123"/>
      <c r="Q20" s="123"/>
      <c r="R20" s="123"/>
      <c r="S20" s="123"/>
      <c r="T20" s="123"/>
      <c r="U20" s="123"/>
      <c r="V20" s="123"/>
      <c r="W20" s="123"/>
      <c r="X20" s="123"/>
    </row>
    <row r="21" spans="1:24" s="201" customFormat="1" x14ac:dyDescent="0.25">
      <c r="D21" s="151"/>
      <c r="E21" s="151"/>
      <c r="F21" s="153"/>
      <c r="G21" s="123"/>
      <c r="H21" s="123"/>
      <c r="I21" s="123"/>
      <c r="J21" s="123"/>
      <c r="K21" s="123"/>
      <c r="L21" s="123"/>
      <c r="M21" s="123"/>
      <c r="N21" s="123"/>
      <c r="O21" s="123"/>
      <c r="P21" s="123"/>
      <c r="Q21" s="123"/>
      <c r="R21" s="123"/>
      <c r="S21" s="123"/>
      <c r="T21" s="123"/>
      <c r="U21" s="123"/>
      <c r="V21" s="123"/>
      <c r="W21" s="123"/>
      <c r="X21" s="123"/>
    </row>
    <row r="22" spans="1:24" s="201" customFormat="1" x14ac:dyDescent="0.25">
      <c r="D22" s="151"/>
      <c r="E22" s="151"/>
      <c r="F22" s="153"/>
      <c r="G22" s="123"/>
      <c r="H22" s="123"/>
      <c r="I22" s="123"/>
      <c r="J22" s="123"/>
      <c r="K22" s="123"/>
      <c r="L22" s="123"/>
      <c r="M22" s="123"/>
      <c r="N22" s="123"/>
      <c r="O22" s="123"/>
      <c r="P22" s="123"/>
      <c r="Q22" s="123"/>
      <c r="R22" s="123"/>
      <c r="S22" s="123"/>
      <c r="T22" s="123"/>
      <c r="U22" s="123"/>
      <c r="V22" s="123"/>
      <c r="W22" s="123"/>
      <c r="X22" s="123"/>
    </row>
    <row r="23" spans="1:24" s="201" customFormat="1" x14ac:dyDescent="0.25">
      <c r="D23" s="151"/>
      <c r="E23" s="151"/>
      <c r="F23" s="153"/>
      <c r="G23" s="123"/>
      <c r="H23" s="123"/>
      <c r="I23" s="123"/>
      <c r="J23" s="123"/>
      <c r="K23" s="123"/>
      <c r="L23" s="123"/>
      <c r="M23" s="123"/>
      <c r="N23" s="123"/>
      <c r="O23" s="123"/>
      <c r="P23" s="123"/>
      <c r="Q23" s="123"/>
      <c r="R23" s="123"/>
      <c r="S23" s="123"/>
      <c r="T23" s="123"/>
      <c r="U23" s="123"/>
      <c r="V23" s="123"/>
      <c r="W23" s="123"/>
      <c r="X23" s="123"/>
    </row>
    <row r="24" spans="1:24" s="201" customFormat="1" x14ac:dyDescent="0.25">
      <c r="D24" s="151"/>
      <c r="E24" s="151"/>
      <c r="F24" s="153"/>
      <c r="G24" s="123"/>
      <c r="H24" s="123"/>
      <c r="I24" s="123"/>
      <c r="J24" s="123"/>
      <c r="K24" s="123"/>
      <c r="L24" s="123"/>
      <c r="M24" s="123"/>
      <c r="N24" s="123"/>
      <c r="O24" s="123"/>
      <c r="P24" s="123"/>
      <c r="Q24" s="123"/>
      <c r="R24" s="123"/>
      <c r="S24" s="123"/>
      <c r="T24" s="123"/>
      <c r="U24" s="123"/>
      <c r="V24" s="123"/>
      <c r="W24" s="123"/>
      <c r="X24" s="123"/>
    </row>
    <row r="25" spans="1:24" s="201" customFormat="1" x14ac:dyDescent="0.25">
      <c r="D25" s="151"/>
      <c r="E25" s="151"/>
      <c r="F25" s="153"/>
      <c r="G25" s="123"/>
      <c r="H25" s="123"/>
      <c r="I25" s="123"/>
      <c r="J25" s="123"/>
      <c r="K25" s="123"/>
      <c r="L25" s="123"/>
      <c r="M25" s="123"/>
      <c r="N25" s="123"/>
      <c r="O25" s="123"/>
      <c r="P25" s="123"/>
      <c r="Q25" s="123"/>
      <c r="R25" s="123"/>
      <c r="S25" s="123"/>
      <c r="T25" s="123"/>
      <c r="U25" s="123"/>
      <c r="V25" s="123"/>
      <c r="W25" s="123"/>
      <c r="X25" s="123"/>
    </row>
    <row r="26" spans="1:24" s="201" customFormat="1" x14ac:dyDescent="0.25">
      <c r="D26" s="151"/>
      <c r="E26" s="151"/>
      <c r="F26" s="153"/>
      <c r="G26" s="123"/>
      <c r="H26" s="123"/>
      <c r="I26" s="123"/>
      <c r="J26" s="123"/>
      <c r="K26" s="123"/>
      <c r="L26" s="123"/>
      <c r="M26" s="123"/>
      <c r="N26" s="123"/>
      <c r="O26" s="123"/>
      <c r="P26" s="123"/>
      <c r="Q26" s="123"/>
      <c r="R26" s="123"/>
      <c r="S26" s="123"/>
      <c r="T26" s="123"/>
      <c r="U26" s="123"/>
      <c r="V26" s="123"/>
      <c r="W26" s="123"/>
      <c r="X26" s="123"/>
    </row>
  </sheetData>
  <mergeCells count="2">
    <mergeCell ref="A4:E4"/>
    <mergeCell ref="B6:C6"/>
  </mergeCells>
  <hyperlinks>
    <hyperlink ref="E1" location="ER!A1" display="ER"/>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AE20"/>
  <sheetViews>
    <sheetView showGridLines="0" topLeftCell="A7" workbookViewId="0">
      <selection activeCell="F20" sqref="F20"/>
    </sheetView>
  </sheetViews>
  <sheetFormatPr baseColWidth="10" defaultRowHeight="15" x14ac:dyDescent="0.25"/>
  <cols>
    <col min="1" max="1" width="35.85546875" style="123" customWidth="1"/>
    <col min="2" max="2" width="18.42578125" style="123" customWidth="1"/>
    <col min="3" max="3" width="16.7109375" style="123" customWidth="1"/>
    <col min="4" max="4" width="11.42578125" style="123" customWidth="1"/>
    <col min="5" max="5" width="30.42578125" style="123" bestFit="1" customWidth="1"/>
    <col min="6" max="6" width="17.28515625" style="123" customWidth="1"/>
    <col min="7" max="7" width="16" style="123" customWidth="1"/>
    <col min="8" max="15" width="11.42578125" style="123" customWidth="1"/>
  </cols>
  <sheetData>
    <row r="1" spans="1:31" x14ac:dyDescent="0.25">
      <c r="A1" s="123" t="str">
        <f>Indice!C1</f>
        <v>NEGOFIN S.A.E.C.A.</v>
      </c>
      <c r="E1" s="144" t="s">
        <v>148</v>
      </c>
    </row>
    <row r="5" spans="1:31" x14ac:dyDescent="0.25">
      <c r="A5" s="308" t="s">
        <v>347</v>
      </c>
      <c r="B5" s="308"/>
      <c r="C5" s="308"/>
      <c r="D5" s="308"/>
      <c r="E5" s="308"/>
      <c r="F5" s="308"/>
      <c r="G5" s="308"/>
      <c r="H5" s="24"/>
      <c r="I5" s="24"/>
      <c r="J5" s="24"/>
      <c r="K5" s="24"/>
      <c r="L5" s="24"/>
      <c r="M5" s="24"/>
      <c r="N5" s="24"/>
      <c r="O5" s="24"/>
      <c r="P5" s="24"/>
      <c r="Q5" s="24"/>
      <c r="R5" s="24"/>
      <c r="S5" s="24"/>
      <c r="T5" s="24"/>
      <c r="U5" s="24"/>
      <c r="V5" s="24"/>
      <c r="W5" s="24"/>
      <c r="X5" s="24"/>
      <c r="Y5" s="24"/>
      <c r="Z5" s="24"/>
      <c r="AA5" s="24"/>
      <c r="AB5" s="24"/>
      <c r="AC5" s="24"/>
      <c r="AD5" s="24"/>
    </row>
    <row r="6" spans="1:31" x14ac:dyDescent="0.25">
      <c r="A6" s="335" t="s">
        <v>261</v>
      </c>
    </row>
    <row r="7" spans="1:31" x14ac:dyDescent="0.25">
      <c r="C7" s="335"/>
    </row>
    <row r="8" spans="1:31" x14ac:dyDescent="0.25">
      <c r="A8" s="149" t="s">
        <v>159</v>
      </c>
      <c r="B8" s="396">
        <f>IFERROR(IF(Indice!B6="","2XX2",YEAR(Indice!B6)),"2XX2")</f>
        <v>2021</v>
      </c>
      <c r="C8" s="396">
        <f>+IFERROR(YEAR(Indice!B6-365),"2XX1")</f>
        <v>2020</v>
      </c>
      <c r="D8" s="24"/>
      <c r="E8" s="149" t="s">
        <v>161</v>
      </c>
      <c r="F8" s="396">
        <f>IFERROR(IF(Indice!B6="","2XX2",YEAR(Indice!B6)),"2XX2")</f>
        <v>2021</v>
      </c>
      <c r="G8" s="396">
        <f>+IFERROR(YEAR(Indice!B6-365),"2XX1")</f>
        <v>2020</v>
      </c>
      <c r="H8" s="24"/>
      <c r="I8" s="24"/>
      <c r="J8" s="24"/>
      <c r="K8" s="24"/>
      <c r="L8" s="24"/>
      <c r="M8" s="24"/>
      <c r="N8" s="24"/>
      <c r="O8" s="24"/>
      <c r="P8" s="24"/>
      <c r="Q8" s="24"/>
      <c r="R8" s="24"/>
      <c r="S8" s="24"/>
      <c r="T8" s="24"/>
      <c r="U8" s="24"/>
      <c r="V8" s="24"/>
      <c r="W8" s="24"/>
      <c r="X8" s="24"/>
      <c r="Y8" s="24"/>
      <c r="Z8" s="24"/>
      <c r="AA8" s="24"/>
      <c r="AB8" s="24"/>
      <c r="AC8" s="24"/>
      <c r="AD8" s="24"/>
      <c r="AE8" s="24"/>
    </row>
    <row r="9" spans="1:31" x14ac:dyDescent="0.25">
      <c r="A9" s="24" t="s">
        <v>869</v>
      </c>
      <c r="B9" s="24"/>
      <c r="C9" s="24"/>
      <c r="D9" s="24"/>
      <c r="E9" s="24" t="s">
        <v>869</v>
      </c>
      <c r="F9" s="24"/>
      <c r="G9" s="24"/>
      <c r="H9" s="24"/>
      <c r="I9" s="24"/>
      <c r="J9" s="24"/>
      <c r="K9" s="24"/>
      <c r="L9" s="24"/>
      <c r="M9" s="24"/>
      <c r="N9" s="24"/>
      <c r="O9" s="24"/>
      <c r="P9" s="24"/>
      <c r="Q9" s="24"/>
      <c r="R9" s="24"/>
      <c r="S9" s="24"/>
      <c r="T9" s="24"/>
      <c r="U9" s="24"/>
      <c r="V9" s="24"/>
      <c r="W9" s="24"/>
      <c r="X9" s="24"/>
      <c r="Y9" s="24"/>
      <c r="Z9" s="24"/>
      <c r="AA9" s="24"/>
      <c r="AB9" s="24"/>
      <c r="AC9" s="24"/>
      <c r="AD9" s="24"/>
      <c r="AE9" s="24"/>
    </row>
    <row r="10" spans="1:31" s="201" customFormat="1" x14ac:dyDescent="0.25">
      <c r="A10" s="201" t="s">
        <v>1048</v>
      </c>
      <c r="B10" s="519">
        <v>5869157.676</v>
      </c>
      <c r="C10" s="519">
        <v>5220034.01</v>
      </c>
      <c r="D10" s="24"/>
      <c r="E10" s="24" t="s">
        <v>1045</v>
      </c>
      <c r="F10" s="519">
        <v>3420720.2549999999</v>
      </c>
      <c r="G10" s="519">
        <v>6300164.233</v>
      </c>
      <c r="H10" s="24"/>
      <c r="I10" s="24"/>
      <c r="J10" s="24"/>
      <c r="K10" s="24"/>
      <c r="L10" s="24"/>
      <c r="M10" s="24"/>
      <c r="N10" s="24"/>
      <c r="O10" s="24"/>
      <c r="P10" s="24"/>
      <c r="Q10" s="24"/>
      <c r="R10" s="24"/>
      <c r="S10" s="24"/>
      <c r="T10" s="24"/>
      <c r="U10" s="24"/>
      <c r="V10" s="24"/>
      <c r="W10" s="24"/>
      <c r="X10" s="24"/>
      <c r="Y10" s="24"/>
      <c r="Z10" s="24"/>
      <c r="AA10" s="24"/>
      <c r="AB10" s="24"/>
      <c r="AC10" s="24"/>
      <c r="AD10" s="24"/>
      <c r="AE10" s="24"/>
    </row>
    <row r="11" spans="1:31" s="452" customFormat="1" x14ac:dyDescent="0.25">
      <c r="A11" s="452" t="s">
        <v>1055</v>
      </c>
      <c r="B11" s="519">
        <v>3939132.7820000001</v>
      </c>
      <c r="C11" s="519">
        <v>2532780.7209999999</v>
      </c>
      <c r="D11" s="24"/>
      <c r="E11" s="24" t="s">
        <v>1046</v>
      </c>
      <c r="F11" s="519">
        <v>6141610.676</v>
      </c>
      <c r="G11" s="519">
        <v>3953274.9169999999</v>
      </c>
      <c r="H11" s="24"/>
      <c r="I11" s="24"/>
      <c r="J11" s="24"/>
      <c r="K11" s="24"/>
      <c r="L11" s="24"/>
      <c r="M11" s="24"/>
      <c r="N11" s="24"/>
      <c r="O11" s="24"/>
      <c r="P11" s="24"/>
      <c r="Q11" s="24"/>
      <c r="R11" s="24"/>
      <c r="S11" s="24"/>
      <c r="T11" s="24"/>
      <c r="U11" s="24"/>
      <c r="V11" s="24"/>
      <c r="W11" s="24"/>
      <c r="X11" s="24"/>
      <c r="Y11" s="24"/>
      <c r="Z11" s="24"/>
      <c r="AA11" s="24"/>
      <c r="AB11" s="24"/>
      <c r="AC11" s="24"/>
      <c r="AD11" s="24"/>
      <c r="AE11" s="24"/>
    </row>
    <row r="12" spans="1:31" s="201" customFormat="1" x14ac:dyDescent="0.25">
      <c r="A12" s="452" t="s">
        <v>1056</v>
      </c>
      <c r="B12" s="519">
        <v>30559.345000000001</v>
      </c>
      <c r="C12" s="519">
        <v>2047.5</v>
      </c>
      <c r="D12" s="24"/>
      <c r="E12" s="123" t="s">
        <v>1047</v>
      </c>
      <c r="F12" s="519">
        <v>52891.254999999997</v>
      </c>
      <c r="G12" s="519">
        <v>289386.19400000002</v>
      </c>
      <c r="H12" s="24"/>
      <c r="I12" s="24"/>
      <c r="J12" s="24"/>
      <c r="K12" s="24"/>
      <c r="L12" s="24"/>
      <c r="M12" s="24"/>
      <c r="N12" s="24"/>
      <c r="O12" s="24"/>
      <c r="P12" s="24"/>
      <c r="Q12" s="24"/>
      <c r="R12" s="24"/>
      <c r="S12" s="24"/>
      <c r="T12" s="24"/>
      <c r="U12" s="24"/>
      <c r="V12" s="24"/>
      <c r="W12" s="24"/>
      <c r="X12" s="24"/>
      <c r="Y12" s="24"/>
      <c r="Z12" s="24"/>
      <c r="AA12" s="24"/>
      <c r="AB12" s="24"/>
      <c r="AC12" s="24"/>
      <c r="AD12" s="24"/>
      <c r="AE12" s="24"/>
    </row>
    <row r="13" spans="1:31" x14ac:dyDescent="0.25">
      <c r="A13" s="24" t="s">
        <v>1042</v>
      </c>
      <c r="B13" s="519">
        <v>237928.481</v>
      </c>
      <c r="C13" s="519">
        <v>81867.334000000003</v>
      </c>
      <c r="D13" s="24"/>
      <c r="E13" s="123" t="s">
        <v>1292</v>
      </c>
      <c r="F13" s="519">
        <v>317497.505</v>
      </c>
      <c r="G13" s="519">
        <v>621711.58600000001</v>
      </c>
      <c r="H13" s="24"/>
      <c r="I13" s="24"/>
      <c r="J13" s="24"/>
      <c r="K13" s="24"/>
      <c r="L13" s="24"/>
      <c r="M13" s="24"/>
      <c r="N13" s="24"/>
      <c r="O13" s="24"/>
      <c r="P13" s="24"/>
      <c r="Q13" s="24"/>
      <c r="R13" s="24"/>
      <c r="S13" s="24"/>
      <c r="T13" s="24"/>
      <c r="U13" s="24"/>
      <c r="V13" s="24"/>
      <c r="W13" s="24"/>
      <c r="X13" s="24"/>
      <c r="Y13" s="24"/>
      <c r="Z13" s="24"/>
      <c r="AA13" s="24"/>
      <c r="AB13" s="24"/>
      <c r="AC13" s="24"/>
      <c r="AD13" s="24"/>
      <c r="AE13" s="24"/>
    </row>
    <row r="14" spans="1:31" s="702" customFormat="1" x14ac:dyDescent="0.25">
      <c r="A14" s="24" t="s">
        <v>1290</v>
      </c>
      <c r="B14" s="519">
        <v>9091</v>
      </c>
      <c r="C14" s="519">
        <v>0</v>
      </c>
      <c r="D14" s="24"/>
      <c r="E14" s="123"/>
      <c r="F14" s="123"/>
      <c r="G14" s="123"/>
      <c r="H14" s="24"/>
      <c r="I14" s="24"/>
      <c r="J14" s="24"/>
      <c r="K14" s="24"/>
      <c r="L14" s="24"/>
      <c r="M14" s="24"/>
      <c r="N14" s="24"/>
      <c r="O14" s="24"/>
      <c r="P14" s="24"/>
      <c r="Q14" s="24"/>
      <c r="R14" s="24"/>
      <c r="S14" s="24"/>
      <c r="T14" s="24"/>
      <c r="U14" s="24"/>
      <c r="V14" s="24"/>
      <c r="W14" s="24"/>
      <c r="X14" s="24"/>
      <c r="Y14" s="24"/>
      <c r="Z14" s="24"/>
      <c r="AA14" s="24"/>
      <c r="AB14" s="24"/>
      <c r="AC14" s="24"/>
      <c r="AD14" s="24"/>
      <c r="AE14" s="24"/>
    </row>
    <row r="15" spans="1:31" x14ac:dyDescent="0.25">
      <c r="A15" s="24" t="s">
        <v>1043</v>
      </c>
      <c r="B15" s="519">
        <v>8035.9120000000003</v>
      </c>
      <c r="C15" s="519">
        <v>64688.427000000003</v>
      </c>
      <c r="D15" s="24"/>
      <c r="E15" s="24"/>
      <c r="F15" s="519"/>
      <c r="G15" s="519"/>
      <c r="H15" s="24"/>
      <c r="I15" s="24"/>
      <c r="J15" s="24"/>
      <c r="K15" s="24"/>
      <c r="L15" s="24"/>
      <c r="M15" s="24"/>
      <c r="N15" s="24"/>
      <c r="O15" s="24"/>
      <c r="P15" s="24"/>
      <c r="Q15" s="24"/>
      <c r="R15" s="24"/>
      <c r="S15" s="24"/>
      <c r="T15" s="24"/>
      <c r="U15" s="24"/>
      <c r="V15" s="24"/>
      <c r="W15" s="24"/>
      <c r="X15" s="24"/>
      <c r="Y15" s="24"/>
      <c r="Z15" s="24"/>
      <c r="AA15" s="24"/>
      <c r="AB15" s="24"/>
      <c r="AC15" s="24"/>
      <c r="AD15" s="24"/>
      <c r="AE15" s="24"/>
    </row>
    <row r="16" spans="1:31" x14ac:dyDescent="0.25">
      <c r="A16" s="123" t="s">
        <v>1044</v>
      </c>
      <c r="B16" s="519">
        <v>34232.883999999998</v>
      </c>
      <c r="C16" s="519">
        <v>93808.263999999996</v>
      </c>
      <c r="D16" s="24"/>
      <c r="E16" s="149" t="s">
        <v>272</v>
      </c>
      <c r="F16" s="528">
        <f>SUM($F9:F15)</f>
        <v>9932719.6910000015</v>
      </c>
      <c r="G16" s="528">
        <f>SUM($G9:G15)</f>
        <v>11164536.93</v>
      </c>
      <c r="H16" s="24"/>
      <c r="I16" s="24"/>
      <c r="J16" s="24"/>
      <c r="K16" s="24"/>
      <c r="L16" s="24"/>
      <c r="M16" s="24"/>
      <c r="N16" s="24"/>
      <c r="O16" s="24"/>
      <c r="P16" s="24"/>
      <c r="Q16" s="24"/>
      <c r="R16" s="24"/>
      <c r="S16" s="24"/>
      <c r="T16" s="24"/>
      <c r="U16" s="24"/>
      <c r="V16" s="24"/>
      <c r="W16" s="24"/>
      <c r="X16" s="24"/>
      <c r="Y16" s="24"/>
      <c r="Z16" s="24"/>
      <c r="AA16" s="24"/>
      <c r="AB16" s="24"/>
      <c r="AC16" s="24"/>
      <c r="AD16" s="24"/>
      <c r="AE16" s="24"/>
    </row>
    <row r="17" spans="1:31" x14ac:dyDescent="0.25">
      <c r="A17" s="149" t="s">
        <v>160</v>
      </c>
      <c r="B17" s="528">
        <f>SUM($B9:B16)</f>
        <v>10128138.080000002</v>
      </c>
      <c r="C17" s="528">
        <f>SUM($C9:C16)</f>
        <v>7995226.2560000001</v>
      </c>
      <c r="D17" s="24"/>
      <c r="H17" s="24"/>
      <c r="I17" s="24"/>
      <c r="J17" s="24"/>
      <c r="K17" s="24"/>
      <c r="L17" s="24"/>
      <c r="M17" s="24"/>
      <c r="N17" s="24"/>
      <c r="O17" s="24"/>
      <c r="P17" s="24"/>
      <c r="Q17" s="24"/>
      <c r="R17" s="24"/>
      <c r="S17" s="24"/>
      <c r="T17" s="24"/>
      <c r="U17" s="24"/>
      <c r="V17" s="24"/>
      <c r="W17" s="24"/>
      <c r="X17" s="24"/>
      <c r="Y17" s="24"/>
      <c r="Z17" s="24"/>
      <c r="AA17" s="24"/>
      <c r="AB17" s="24"/>
      <c r="AC17" s="24"/>
      <c r="AD17" s="24"/>
      <c r="AE17" s="24"/>
    </row>
    <row r="18" spans="1:31" x14ac:dyDescent="0.25">
      <c r="A18" s="24"/>
      <c r="B18" s="156"/>
      <c r="C18" s="156"/>
    </row>
    <row r="19" spans="1:31" x14ac:dyDescent="0.25">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row>
    <row r="20" spans="1:31" x14ac:dyDescent="0.25">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row>
  </sheetData>
  <hyperlinks>
    <hyperlink ref="E1" location="ER!A1" display="ER"/>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AB17"/>
  <sheetViews>
    <sheetView workbookViewId="0">
      <selection activeCell="A7" sqref="A7"/>
    </sheetView>
  </sheetViews>
  <sheetFormatPr baseColWidth="10" defaultRowHeight="15" x14ac:dyDescent="0.25"/>
  <cols>
    <col min="1" max="1" width="38" style="123" customWidth="1"/>
    <col min="2" max="2" width="16.5703125" style="123" customWidth="1"/>
    <col min="3" max="3" width="18.42578125" style="123" customWidth="1"/>
    <col min="4" max="25" width="11.42578125" style="123" customWidth="1"/>
  </cols>
  <sheetData>
    <row r="1" spans="1:28" x14ac:dyDescent="0.25">
      <c r="A1" s="123" t="str">
        <f>Indice!C1</f>
        <v>NEGOFIN S.A.E.C.A.</v>
      </c>
      <c r="E1" s="144" t="s">
        <v>148</v>
      </c>
    </row>
    <row r="4" spans="1:28" s="334" customFormat="1" ht="15.75" customHeight="1" x14ac:dyDescent="0.25">
      <c r="A4" s="339" t="s">
        <v>218</v>
      </c>
      <c r="B4" s="422"/>
      <c r="C4" s="422"/>
      <c r="D4" s="422"/>
      <c r="E4" s="422"/>
      <c r="F4" s="150"/>
      <c r="G4" s="153"/>
      <c r="H4" s="151"/>
      <c r="I4" s="123"/>
      <c r="J4" s="123"/>
      <c r="K4" s="123"/>
      <c r="L4" s="123"/>
      <c r="M4" s="123"/>
      <c r="N4" s="123"/>
      <c r="O4" s="123"/>
      <c r="P4" s="123"/>
      <c r="Q4" s="123"/>
      <c r="R4" s="123"/>
      <c r="S4" s="123"/>
      <c r="T4" s="123"/>
      <c r="U4" s="123"/>
      <c r="V4" s="123"/>
      <c r="W4" s="123"/>
      <c r="X4" s="123"/>
      <c r="Y4" s="123"/>
      <c r="Z4" s="123"/>
      <c r="AA4" s="123"/>
      <c r="AB4" s="123"/>
    </row>
    <row r="5" spans="1:28" s="201" customFormat="1" ht="15.75" customHeight="1" x14ac:dyDescent="0.25">
      <c r="A5" s="423" t="s">
        <v>261</v>
      </c>
      <c r="B5" s="423"/>
      <c r="C5" s="226"/>
      <c r="D5" s="226"/>
      <c r="E5" s="226"/>
      <c r="F5" s="150"/>
      <c r="G5" s="153"/>
      <c r="H5" s="151"/>
      <c r="I5" s="123"/>
      <c r="J5" s="123"/>
      <c r="K5" s="123"/>
      <c r="L5" s="123"/>
      <c r="M5" s="123"/>
      <c r="N5" s="123"/>
      <c r="O5" s="123"/>
      <c r="P5" s="123"/>
      <c r="Q5" s="123"/>
      <c r="R5" s="123"/>
      <c r="S5" s="123"/>
      <c r="T5" s="123"/>
      <c r="U5" s="123"/>
      <c r="V5" s="123"/>
      <c r="W5" s="123"/>
      <c r="X5" s="123"/>
      <c r="Y5" s="123"/>
      <c r="Z5" s="123"/>
      <c r="AA5" s="123"/>
      <c r="AB5" s="123"/>
    </row>
    <row r="6" spans="1:28" x14ac:dyDescent="0.25">
      <c r="A6" s="150" t="s">
        <v>1231</v>
      </c>
      <c r="B6" s="878"/>
      <c r="C6" s="878"/>
      <c r="D6" s="151"/>
      <c r="E6" s="151"/>
      <c r="F6" s="150"/>
      <c r="G6" s="153"/>
      <c r="H6" s="151"/>
      <c r="Z6" s="123"/>
      <c r="AA6" s="123"/>
      <c r="AB6" s="123"/>
    </row>
    <row r="7" spans="1:28" x14ac:dyDescent="0.25">
      <c r="A7" s="150"/>
      <c r="D7" s="151"/>
      <c r="E7" s="151"/>
      <c r="F7" s="150"/>
      <c r="G7" s="153"/>
      <c r="H7" s="151"/>
      <c r="Z7" s="123"/>
      <c r="AA7" s="123"/>
      <c r="AB7" s="123"/>
    </row>
    <row r="8" spans="1:28" x14ac:dyDescent="0.25">
      <c r="A8" s="154" t="s">
        <v>162</v>
      </c>
      <c r="B8" s="396">
        <f>IFERROR(IF(Indice!B6="","2XX2",YEAR(Indice!B6)),"2XX2")</f>
        <v>2021</v>
      </c>
      <c r="C8" s="396">
        <f>+IFERROR(YEAR(Indice!B6-365),"2XX1")</f>
        <v>2020</v>
      </c>
      <c r="D8" s="151"/>
      <c r="E8" s="151"/>
      <c r="F8" s="150"/>
      <c r="G8" s="153"/>
      <c r="H8" s="151"/>
      <c r="Z8" s="123"/>
      <c r="AA8" s="123"/>
      <c r="AB8" s="123"/>
    </row>
    <row r="9" spans="1:28" x14ac:dyDescent="0.25">
      <c r="A9" s="150" t="s">
        <v>154</v>
      </c>
      <c r="B9" s="150"/>
      <c r="C9" s="150"/>
      <c r="D9" s="151"/>
      <c r="E9" s="151"/>
      <c r="F9" s="150"/>
      <c r="G9" s="153"/>
      <c r="H9" s="151"/>
      <c r="Z9" s="123"/>
      <c r="AA9" s="123"/>
      <c r="AB9" s="123"/>
    </row>
    <row r="10" spans="1:28" x14ac:dyDescent="0.25">
      <c r="A10" s="150"/>
      <c r="B10" s="150"/>
      <c r="C10" s="150"/>
      <c r="D10" s="151"/>
      <c r="E10" s="151"/>
      <c r="F10" s="150"/>
      <c r="G10" s="153"/>
      <c r="H10" s="151"/>
      <c r="Z10" s="123"/>
      <c r="AA10" s="123"/>
      <c r="AB10" s="123"/>
    </row>
    <row r="11" spans="1:28" x14ac:dyDescent="0.25">
      <c r="A11" s="150"/>
      <c r="B11" s="150"/>
      <c r="C11" s="150"/>
      <c r="D11" s="151"/>
      <c r="E11" s="151"/>
      <c r="F11" s="150"/>
      <c r="G11" s="153"/>
      <c r="H11" s="151"/>
      <c r="Z11" s="123"/>
      <c r="AA11" s="123"/>
      <c r="AB11" s="123"/>
    </row>
    <row r="12" spans="1:28" x14ac:dyDescent="0.25">
      <c r="A12" s="150"/>
      <c r="B12" s="150"/>
      <c r="C12" s="150"/>
      <c r="D12" s="151"/>
      <c r="E12" s="151"/>
      <c r="F12" s="150"/>
      <c r="G12" s="153"/>
      <c r="H12" s="151"/>
      <c r="Z12" s="123"/>
      <c r="AA12" s="123"/>
      <c r="AB12" s="123"/>
    </row>
    <row r="13" spans="1:28" x14ac:dyDescent="0.25">
      <c r="A13" s="150"/>
      <c r="B13" s="150"/>
      <c r="C13" s="150"/>
      <c r="D13" s="151"/>
      <c r="E13" s="151"/>
      <c r="F13" s="150"/>
      <c r="G13" s="153"/>
      <c r="H13" s="151"/>
      <c r="Z13" s="123"/>
      <c r="AA13" s="123"/>
      <c r="AB13" s="123"/>
    </row>
    <row r="14" spans="1:28" x14ac:dyDescent="0.25">
      <c r="A14" s="150"/>
      <c r="B14" s="152"/>
      <c r="C14" s="150"/>
      <c r="D14" s="151"/>
      <c r="E14" s="151"/>
      <c r="F14" s="150"/>
      <c r="G14" s="153"/>
      <c r="H14" s="151"/>
      <c r="Z14" s="123"/>
      <c r="AA14" s="123"/>
      <c r="AB14" s="123"/>
    </row>
    <row r="15" spans="1:28" x14ac:dyDescent="0.25">
      <c r="A15" s="150"/>
      <c r="B15" s="152"/>
      <c r="C15" s="150"/>
      <c r="D15" s="151"/>
      <c r="E15" s="151"/>
      <c r="F15" s="150"/>
      <c r="G15" s="153"/>
      <c r="H15" s="151"/>
      <c r="Z15" s="123"/>
      <c r="AA15" s="123"/>
      <c r="AB15" s="123"/>
    </row>
    <row r="16" spans="1:28" x14ac:dyDescent="0.25">
      <c r="A16" s="154" t="s">
        <v>3</v>
      </c>
      <c r="B16" s="155">
        <f>SUM($B9:B15)</f>
        <v>0</v>
      </c>
      <c r="C16" s="155">
        <f>SUM($C9:C15)</f>
        <v>0</v>
      </c>
      <c r="D16" s="151"/>
      <c r="E16" s="151"/>
      <c r="F16" s="150"/>
      <c r="G16" s="153"/>
      <c r="H16" s="151"/>
      <c r="Z16" s="123"/>
      <c r="AA16" s="123"/>
      <c r="AB16" s="123"/>
    </row>
    <row r="17" spans="1:28" x14ac:dyDescent="0.25">
      <c r="A17" s="150"/>
      <c r="B17" s="152"/>
      <c r="C17" s="151"/>
      <c r="D17" s="151"/>
      <c r="E17" s="151"/>
      <c r="F17" s="150"/>
      <c r="G17" s="153"/>
      <c r="H17" s="151"/>
      <c r="Z17" s="123"/>
      <c r="AA17" s="123"/>
      <c r="AB17" s="123"/>
    </row>
  </sheetData>
  <mergeCells count="1">
    <mergeCell ref="B6:C6"/>
  </mergeCells>
  <hyperlinks>
    <hyperlink ref="E1" location="ER!A1" display="ER"/>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V17"/>
  <sheetViews>
    <sheetView workbookViewId="0">
      <selection activeCell="F4" sqref="F4"/>
    </sheetView>
  </sheetViews>
  <sheetFormatPr baseColWidth="10" defaultRowHeight="15" x14ac:dyDescent="0.25"/>
  <cols>
    <col min="1" max="1" width="38" style="123" customWidth="1"/>
    <col min="2" max="2" width="18.42578125" style="123" customWidth="1"/>
    <col min="3" max="3" width="17.7109375" style="123" customWidth="1"/>
    <col min="4" max="22" width="11.42578125" style="123" customWidth="1"/>
  </cols>
  <sheetData>
    <row r="1" spans="1:22" x14ac:dyDescent="0.25">
      <c r="A1" s="123" t="str">
        <f>Indice!C1</f>
        <v>NEGOFIN S.A.E.C.A.</v>
      </c>
      <c r="E1" s="144" t="s">
        <v>148</v>
      </c>
    </row>
    <row r="4" spans="1:22" x14ac:dyDescent="0.25">
      <c r="A4" s="339" t="s">
        <v>349</v>
      </c>
      <c r="B4" s="339"/>
      <c r="C4" s="339"/>
      <c r="D4" s="339"/>
      <c r="E4" s="339"/>
      <c r="F4" s="150"/>
      <c r="G4" s="153"/>
      <c r="H4" s="151"/>
    </row>
    <row r="5" spans="1:22" x14ac:dyDescent="0.25">
      <c r="A5" s="879" t="s">
        <v>261</v>
      </c>
      <c r="B5" s="879"/>
      <c r="C5" s="151"/>
      <c r="D5" s="151"/>
      <c r="E5" s="151"/>
      <c r="F5" s="150"/>
      <c r="G5" s="153"/>
      <c r="H5" s="151"/>
    </row>
    <row r="6" spans="1:22" s="201" customFormat="1" x14ac:dyDescent="0.25">
      <c r="A6" s="150" t="s">
        <v>1231</v>
      </c>
      <c r="B6" s="878"/>
      <c r="C6" s="878"/>
      <c r="D6" s="151"/>
      <c r="E6" s="151"/>
      <c r="F6" s="150"/>
      <c r="G6" s="153"/>
      <c r="H6" s="151"/>
      <c r="I6" s="123"/>
      <c r="J6" s="123"/>
      <c r="K6" s="123"/>
      <c r="L6" s="123"/>
      <c r="M6" s="123"/>
      <c r="N6" s="123"/>
      <c r="O6" s="123"/>
      <c r="P6" s="123"/>
      <c r="Q6" s="123"/>
      <c r="R6" s="123"/>
      <c r="S6" s="123"/>
      <c r="T6" s="123"/>
      <c r="U6" s="123"/>
      <c r="V6" s="123"/>
    </row>
    <row r="7" spans="1:22" x14ac:dyDescent="0.25">
      <c r="A7" s="150"/>
      <c r="D7" s="151"/>
      <c r="E7" s="151"/>
      <c r="F7" s="150"/>
      <c r="G7" s="153"/>
      <c r="H7" s="151"/>
    </row>
    <row r="8" spans="1:22" x14ac:dyDescent="0.25">
      <c r="A8" s="154" t="s">
        <v>163</v>
      </c>
      <c r="B8" s="396">
        <f>IFERROR(IF(Indice!B6="","2XX2",YEAR(Indice!B6)),"2XX2")</f>
        <v>2021</v>
      </c>
      <c r="C8" s="396">
        <f>+IFERROR(YEAR(Indice!B6-365),"2XX1")</f>
        <v>2020</v>
      </c>
      <c r="D8" s="151"/>
      <c r="E8" s="151"/>
      <c r="F8" s="150"/>
      <c r="G8" s="153"/>
      <c r="H8" s="151"/>
    </row>
    <row r="9" spans="1:22" x14ac:dyDescent="0.25">
      <c r="A9" s="150" t="s">
        <v>154</v>
      </c>
      <c r="B9" s="150"/>
      <c r="C9" s="150"/>
      <c r="D9" s="151"/>
      <c r="E9" s="151"/>
      <c r="F9" s="150"/>
      <c r="G9" s="153"/>
      <c r="H9" s="151"/>
    </row>
    <row r="10" spans="1:22" x14ac:dyDescent="0.25">
      <c r="A10" s="150"/>
      <c r="B10" s="150"/>
      <c r="C10" s="150"/>
      <c r="D10" s="151"/>
      <c r="E10" s="151"/>
      <c r="F10" s="150"/>
      <c r="G10" s="153"/>
      <c r="H10" s="151"/>
    </row>
    <row r="11" spans="1:22" x14ac:dyDescent="0.25">
      <c r="A11" s="150"/>
      <c r="B11" s="150"/>
      <c r="C11" s="150"/>
      <c r="D11" s="151"/>
      <c r="E11" s="151"/>
      <c r="F11" s="150"/>
      <c r="G11" s="153"/>
      <c r="H11" s="151"/>
    </row>
    <row r="12" spans="1:22" x14ac:dyDescent="0.25">
      <c r="A12" s="150"/>
      <c r="B12" s="150"/>
      <c r="C12" s="150"/>
      <c r="D12" s="151"/>
      <c r="E12" s="151"/>
      <c r="F12" s="150"/>
      <c r="G12" s="153"/>
      <c r="H12" s="151"/>
    </row>
    <row r="13" spans="1:22" x14ac:dyDescent="0.25">
      <c r="A13" s="150"/>
      <c r="B13" s="150"/>
      <c r="C13" s="150"/>
      <c r="D13" s="151"/>
      <c r="E13" s="151"/>
      <c r="F13" s="150"/>
      <c r="G13" s="153"/>
      <c r="H13" s="151"/>
    </row>
    <row r="14" spans="1:22" x14ac:dyDescent="0.25">
      <c r="A14" s="150"/>
      <c r="B14" s="152"/>
      <c r="C14" s="150"/>
      <c r="D14" s="151"/>
      <c r="E14" s="151"/>
      <c r="F14" s="150"/>
      <c r="G14" s="153"/>
      <c r="H14" s="151"/>
    </row>
    <row r="15" spans="1:22" x14ac:dyDescent="0.25">
      <c r="A15" s="150"/>
      <c r="B15" s="152"/>
      <c r="C15" s="150"/>
      <c r="D15" s="151"/>
      <c r="E15" s="151"/>
      <c r="F15" s="150"/>
      <c r="G15" s="153"/>
      <c r="H15" s="151"/>
    </row>
    <row r="16" spans="1:22" x14ac:dyDescent="0.25">
      <c r="A16" s="154" t="s">
        <v>3</v>
      </c>
      <c r="B16" s="155">
        <f>SUM($B9:B15)</f>
        <v>0</v>
      </c>
      <c r="C16" s="155">
        <f>SUM($C9:C15)</f>
        <v>0</v>
      </c>
      <c r="D16" s="151"/>
      <c r="E16" s="151"/>
      <c r="F16" s="150"/>
      <c r="G16" s="153"/>
      <c r="H16" s="151"/>
    </row>
    <row r="17" spans="1:8" x14ac:dyDescent="0.25">
      <c r="A17" s="150"/>
      <c r="B17" s="152"/>
      <c r="C17" s="151"/>
      <c r="D17" s="151"/>
      <c r="E17" s="151"/>
      <c r="F17" s="150"/>
      <c r="G17" s="153"/>
      <c r="H17" s="151"/>
    </row>
  </sheetData>
  <mergeCells count="2">
    <mergeCell ref="A5:B5"/>
    <mergeCell ref="B6:C6"/>
  </mergeCells>
  <hyperlinks>
    <hyperlink ref="E1" location="ER!A1" display="ER"/>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Z10"/>
  <sheetViews>
    <sheetView workbookViewId="0">
      <selection activeCell="E14" sqref="E14"/>
    </sheetView>
  </sheetViews>
  <sheetFormatPr baseColWidth="10" defaultRowHeight="15" x14ac:dyDescent="0.25"/>
  <cols>
    <col min="1" max="1" width="37.42578125" style="123" customWidth="1"/>
    <col min="2" max="3" width="17.28515625" style="123" customWidth="1"/>
    <col min="4" max="26" width="11.42578125" style="123" customWidth="1"/>
  </cols>
  <sheetData>
    <row r="1" spans="1:7" x14ac:dyDescent="0.25">
      <c r="A1" s="123" t="str">
        <f>Indice!C1</f>
        <v>NEGOFIN S.A.E.C.A.</v>
      </c>
      <c r="E1" s="144" t="s">
        <v>148</v>
      </c>
    </row>
    <row r="4" spans="1:7" x14ac:dyDescent="0.25">
      <c r="A4" s="343" t="s">
        <v>351</v>
      </c>
      <c r="B4" s="343"/>
      <c r="C4" s="343"/>
      <c r="D4" s="343"/>
      <c r="E4" s="343"/>
      <c r="F4" s="150"/>
      <c r="G4" s="153"/>
    </row>
    <row r="5" spans="1:7" x14ac:dyDescent="0.25">
      <c r="A5" s="359" t="s">
        <v>243</v>
      </c>
      <c r="B5" s="152"/>
      <c r="C5" s="151"/>
      <c r="D5" s="151"/>
      <c r="E5" s="151"/>
      <c r="F5" s="150"/>
      <c r="G5" s="153"/>
    </row>
    <row r="6" spans="1:7" x14ac:dyDescent="0.25">
      <c r="A6" s="150"/>
      <c r="B6" s="878"/>
      <c r="C6" s="878"/>
      <c r="D6" s="151"/>
      <c r="E6" s="151"/>
      <c r="F6" s="150"/>
      <c r="G6" s="153"/>
    </row>
    <row r="7" spans="1:7" x14ac:dyDescent="0.25">
      <c r="B7" s="396">
        <f>IFERROR(IF(Indice!B6="","2XX2",YEAR(Indice!B6)),"2XX2")</f>
        <v>2021</v>
      </c>
      <c r="C7" s="396">
        <f>+IFERROR(YEAR(Indice!B6-365),"2XX1")</f>
        <v>2020</v>
      </c>
      <c r="D7" s="151"/>
      <c r="E7" s="151"/>
      <c r="F7" s="150"/>
      <c r="G7" s="153"/>
    </row>
    <row r="8" spans="1:7" x14ac:dyDescent="0.25">
      <c r="A8" s="154" t="s">
        <v>46</v>
      </c>
      <c r="B8" s="529">
        <v>3541229.9649999999</v>
      </c>
      <c r="C8" s="529">
        <v>993676.33200000005</v>
      </c>
      <c r="D8" s="151"/>
      <c r="E8" s="151"/>
      <c r="F8" s="150"/>
      <c r="G8" s="153"/>
    </row>
    <row r="9" spans="1:7" x14ac:dyDescent="0.25">
      <c r="A9" s="154" t="s">
        <v>3</v>
      </c>
      <c r="B9" s="528">
        <f>SUM($B8:B8)</f>
        <v>3541229.9649999999</v>
      </c>
      <c r="C9" s="528">
        <f>SUM($C8:C8)</f>
        <v>993676.33200000005</v>
      </c>
      <c r="D9" s="151"/>
      <c r="E9" s="151"/>
      <c r="F9" s="150"/>
      <c r="G9" s="153"/>
    </row>
    <row r="10" spans="1:7" x14ac:dyDescent="0.25">
      <c r="A10" s="150"/>
      <c r="B10" s="152"/>
      <c r="C10" s="151"/>
      <c r="D10" s="151"/>
      <c r="E10" s="151"/>
      <c r="F10" s="150"/>
      <c r="G10" s="153"/>
    </row>
  </sheetData>
  <mergeCells count="1">
    <mergeCell ref="B6:C6"/>
  </mergeCells>
  <hyperlinks>
    <hyperlink ref="E1" location="ER!A1" display="ER"/>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V16"/>
  <sheetViews>
    <sheetView workbookViewId="0">
      <selection activeCell="B13" sqref="B13"/>
    </sheetView>
  </sheetViews>
  <sheetFormatPr baseColWidth="10" defaultRowHeight="15" x14ac:dyDescent="0.25"/>
  <cols>
    <col min="1" max="1" width="27.140625" style="123" customWidth="1"/>
    <col min="2" max="2" width="18.42578125" style="123" customWidth="1"/>
    <col min="3" max="3" width="17.85546875" style="123" customWidth="1"/>
    <col min="4" max="22" width="11.42578125" style="123" customWidth="1"/>
  </cols>
  <sheetData>
    <row r="1" spans="1:8" x14ac:dyDescent="0.25">
      <c r="A1" s="123" t="str">
        <f>Indice!C1</f>
        <v>NEGOFIN S.A.E.C.A.</v>
      </c>
      <c r="E1" s="144" t="s">
        <v>148</v>
      </c>
    </row>
    <row r="4" spans="1:8" x14ac:dyDescent="0.25">
      <c r="A4" s="339" t="s">
        <v>350</v>
      </c>
      <c r="B4" s="339"/>
      <c r="C4" s="339"/>
      <c r="D4" s="339"/>
      <c r="E4" s="339"/>
      <c r="F4" s="150"/>
      <c r="G4" s="153"/>
      <c r="H4" s="151"/>
    </row>
    <row r="5" spans="1:8" x14ac:dyDescent="0.25">
      <c r="A5" s="880" t="s">
        <v>243</v>
      </c>
      <c r="B5" s="880"/>
      <c r="C5" s="151"/>
      <c r="D5" s="151"/>
      <c r="E5" s="151"/>
      <c r="F5" s="150"/>
      <c r="G5" s="153"/>
      <c r="H5" s="151"/>
    </row>
    <row r="6" spans="1:8" x14ac:dyDescent="0.25">
      <c r="A6" s="150" t="s">
        <v>1231</v>
      </c>
      <c r="D6" s="151"/>
      <c r="E6" s="151"/>
      <c r="F6" s="150"/>
      <c r="G6" s="153"/>
      <c r="H6" s="151"/>
    </row>
    <row r="7" spans="1:8" x14ac:dyDescent="0.25">
      <c r="B7" s="396">
        <f>IFERROR(IF(Indice!B6="","2XX2",YEAR(Indice!B6)),"2XX2")</f>
        <v>2021</v>
      </c>
      <c r="C7" s="396">
        <f>+IFERROR(YEAR(Indice!B6-365),"2XX1")</f>
        <v>2020</v>
      </c>
      <c r="D7" s="151"/>
      <c r="E7" s="151"/>
      <c r="F7" s="150"/>
      <c r="G7" s="153"/>
      <c r="H7" s="151"/>
    </row>
    <row r="8" spans="1:8" x14ac:dyDescent="0.25">
      <c r="A8" s="154" t="s">
        <v>870</v>
      </c>
      <c r="D8" s="151"/>
      <c r="E8" s="151"/>
      <c r="F8" s="150"/>
      <c r="G8" s="153"/>
      <c r="H8" s="151"/>
    </row>
    <row r="9" spans="1:8" x14ac:dyDescent="0.25">
      <c r="A9" s="360" t="s">
        <v>871</v>
      </c>
      <c r="B9" s="150"/>
      <c r="C9" s="150"/>
      <c r="D9" s="151"/>
      <c r="E9" s="151"/>
      <c r="F9" s="150"/>
      <c r="G9" s="153"/>
      <c r="H9" s="151"/>
    </row>
    <row r="10" spans="1:8" x14ac:dyDescent="0.25">
      <c r="A10" s="150"/>
      <c r="B10" s="150"/>
      <c r="C10" s="150"/>
      <c r="D10" s="151"/>
      <c r="E10" s="151"/>
      <c r="F10" s="150"/>
      <c r="G10" s="153"/>
      <c r="H10" s="151"/>
    </row>
    <row r="11" spans="1:8" x14ac:dyDescent="0.25">
      <c r="A11" s="150"/>
      <c r="B11" s="150"/>
      <c r="C11" s="150"/>
      <c r="D11" s="151"/>
      <c r="E11" s="151"/>
      <c r="F11" s="150"/>
      <c r="G11" s="153"/>
      <c r="H11" s="151"/>
    </row>
    <row r="12" spans="1:8" x14ac:dyDescent="0.25">
      <c r="A12" s="150"/>
      <c r="B12" s="150"/>
      <c r="C12" s="150"/>
      <c r="D12" s="151"/>
      <c r="E12" s="151"/>
      <c r="F12" s="150"/>
      <c r="G12" s="153"/>
      <c r="H12" s="151"/>
    </row>
    <row r="13" spans="1:8" x14ac:dyDescent="0.25">
      <c r="A13" s="150"/>
      <c r="B13" s="152"/>
      <c r="C13" s="150"/>
      <c r="D13" s="151"/>
      <c r="E13" s="151"/>
      <c r="F13" s="150"/>
      <c r="G13" s="153"/>
      <c r="H13" s="151"/>
    </row>
    <row r="14" spans="1:8" x14ac:dyDescent="0.25">
      <c r="A14" s="150"/>
      <c r="B14" s="152"/>
      <c r="C14" s="150"/>
      <c r="D14" s="151"/>
      <c r="E14" s="151"/>
      <c r="F14" s="150"/>
      <c r="G14" s="153"/>
      <c r="H14" s="151"/>
    </row>
    <row r="15" spans="1:8" x14ac:dyDescent="0.25">
      <c r="A15" s="150" t="s">
        <v>3</v>
      </c>
      <c r="B15" s="155">
        <f>SUM($B8:B14)</f>
        <v>0</v>
      </c>
      <c r="C15" s="155">
        <f>SUM($C8:C14)</f>
        <v>0</v>
      </c>
      <c r="D15" s="151"/>
      <c r="E15" s="151"/>
      <c r="F15" s="150"/>
      <c r="G15" s="153"/>
      <c r="H15" s="151"/>
    </row>
    <row r="16" spans="1:8" x14ac:dyDescent="0.25">
      <c r="A16" s="150"/>
      <c r="B16" s="152"/>
      <c r="C16" s="151"/>
      <c r="D16" s="151"/>
      <c r="E16" s="151"/>
      <c r="F16" s="150"/>
      <c r="G16" s="153"/>
      <c r="H16" s="151"/>
    </row>
  </sheetData>
  <mergeCells count="1">
    <mergeCell ref="A5:B5"/>
  </mergeCells>
  <hyperlinks>
    <hyperlink ref="E1" location="ER!A1" display="ER"/>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V13"/>
  <sheetViews>
    <sheetView workbookViewId="0">
      <selection activeCell="E2" sqref="E2"/>
    </sheetView>
  </sheetViews>
  <sheetFormatPr baseColWidth="10" defaultRowHeight="15" x14ac:dyDescent="0.25"/>
  <cols>
    <col min="1" max="1" width="51.28515625" style="123" customWidth="1"/>
    <col min="2" max="2" width="18.140625" style="123" customWidth="1"/>
    <col min="3" max="3" width="17.5703125" style="123" customWidth="1"/>
    <col min="4" max="22" width="11.42578125" style="123" customWidth="1"/>
  </cols>
  <sheetData>
    <row r="1" spans="1:8" x14ac:dyDescent="0.25">
      <c r="A1" s="123" t="str">
        <f>Indice!C1</f>
        <v>NEGOFIN S.A.E.C.A.</v>
      </c>
      <c r="E1" s="144" t="s">
        <v>148</v>
      </c>
    </row>
    <row r="4" spans="1:8" x14ac:dyDescent="0.25">
      <c r="A4" s="339" t="s">
        <v>352</v>
      </c>
      <c r="B4" s="339"/>
      <c r="C4" s="339"/>
      <c r="D4" s="339"/>
      <c r="E4" s="339"/>
      <c r="F4" s="150"/>
      <c r="G4" s="153"/>
      <c r="H4" s="151"/>
    </row>
    <row r="5" spans="1:8" x14ac:dyDescent="0.25">
      <c r="A5" s="880" t="s">
        <v>243</v>
      </c>
      <c r="B5" s="880"/>
      <c r="C5" s="151"/>
      <c r="D5" s="151"/>
      <c r="E5" s="151"/>
      <c r="F5" s="150"/>
      <c r="G5" s="153"/>
      <c r="H5" s="151"/>
    </row>
    <row r="6" spans="1:8" x14ac:dyDescent="0.25">
      <c r="A6" s="150" t="s">
        <v>1231</v>
      </c>
      <c r="D6" s="151"/>
      <c r="E6" s="151"/>
      <c r="F6" s="150"/>
      <c r="G6" s="153"/>
      <c r="H6" s="151"/>
    </row>
    <row r="7" spans="1:8" ht="25.5" x14ac:dyDescent="0.25">
      <c r="A7" s="157" t="s">
        <v>74</v>
      </c>
      <c r="B7" s="396">
        <f>IFERROR(IF(Indice!B6="","2XX2",YEAR(Indice!B6)),"2XX2")</f>
        <v>2021</v>
      </c>
      <c r="C7" s="396">
        <f>+IFERROR(YEAR(Indice!B6-365),"2XX1")</f>
        <v>2020</v>
      </c>
      <c r="D7" s="151"/>
      <c r="E7" s="151"/>
      <c r="F7" s="150"/>
      <c r="G7" s="153"/>
      <c r="H7" s="151"/>
    </row>
    <row r="8" spans="1:8" x14ac:dyDescent="0.25">
      <c r="D8" s="151"/>
      <c r="E8" s="151"/>
      <c r="F8" s="150"/>
      <c r="G8" s="153"/>
      <c r="H8" s="151"/>
    </row>
    <row r="9" spans="1:8" x14ac:dyDescent="0.25">
      <c r="A9" s="150" t="s">
        <v>876</v>
      </c>
      <c r="B9" s="150"/>
      <c r="C9" s="150"/>
      <c r="D9" s="151"/>
      <c r="E9" s="151"/>
      <c r="F9" s="150"/>
      <c r="G9" s="153"/>
      <c r="H9" s="151"/>
    </row>
    <row r="10" spans="1:8" x14ac:dyDescent="0.25">
      <c r="A10" s="150" t="s">
        <v>62</v>
      </c>
      <c r="B10" s="150"/>
      <c r="C10" s="150"/>
      <c r="D10" s="151"/>
      <c r="E10" s="151"/>
      <c r="F10" s="150"/>
      <c r="G10" s="153"/>
      <c r="H10" s="151"/>
    </row>
    <row r="11" spans="1:8" x14ac:dyDescent="0.25">
      <c r="A11" s="257" t="s">
        <v>353</v>
      </c>
      <c r="B11" s="150"/>
      <c r="C11" s="150"/>
      <c r="D11" s="151"/>
      <c r="E11" s="151"/>
      <c r="F11" s="150"/>
      <c r="G11" s="153"/>
      <c r="H11" s="151"/>
    </row>
    <row r="12" spans="1:8" x14ac:dyDescent="0.25">
      <c r="A12" s="150" t="s">
        <v>3</v>
      </c>
      <c r="B12" s="155">
        <f>SUM($B8:B11)</f>
        <v>0</v>
      </c>
      <c r="C12" s="155">
        <f>SUM($C8:C11)</f>
        <v>0</v>
      </c>
      <c r="D12" s="151"/>
      <c r="E12" s="151"/>
      <c r="F12" s="150"/>
      <c r="G12" s="153"/>
      <c r="H12" s="151"/>
    </row>
    <row r="13" spans="1:8" x14ac:dyDescent="0.25">
      <c r="A13" s="150"/>
      <c r="B13" s="152"/>
      <c r="C13" s="151"/>
      <c r="D13" s="151"/>
      <c r="E13" s="151"/>
      <c r="F13" s="150"/>
      <c r="G13" s="153"/>
      <c r="H13" s="151"/>
    </row>
  </sheetData>
  <mergeCells count="1">
    <mergeCell ref="A5:B5"/>
  </mergeCells>
  <hyperlinks>
    <hyperlink ref="E1" location="ER!A1" display="ER"/>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X40"/>
  <sheetViews>
    <sheetView showGridLines="0" topLeftCell="E16" zoomScale="90" zoomScaleNormal="90" workbookViewId="0">
      <selection activeCell="W33" sqref="W33"/>
    </sheetView>
  </sheetViews>
  <sheetFormatPr baseColWidth="10" defaultColWidth="11.42578125" defaultRowHeight="12.75" x14ac:dyDescent="0.2"/>
  <cols>
    <col min="1" max="1" width="40.7109375" style="2" customWidth="1"/>
    <col min="2" max="2" width="0.85546875" style="2" customWidth="1"/>
    <col min="3" max="3" width="19.5703125" style="64" customWidth="1"/>
    <col min="4" max="4" width="2.5703125" style="64" hidden="1" customWidth="1"/>
    <col min="5" max="5" width="1" style="86" customWidth="1"/>
    <col min="6" max="6" width="18.140625" style="64" customWidth="1"/>
    <col min="7" max="7" width="1.28515625" style="64" customWidth="1"/>
    <col min="8" max="8" width="18.140625" style="64" customWidth="1"/>
    <col min="9" max="9" width="0.85546875" style="86" customWidth="1"/>
    <col min="10" max="10" width="18.85546875" style="64" customWidth="1"/>
    <col min="11" max="11" width="1" style="86" customWidth="1"/>
    <col min="12" max="12" width="20" style="64" customWidth="1"/>
    <col min="13" max="13" width="0.7109375" style="86" customWidth="1"/>
    <col min="14" max="14" width="18.42578125" style="64" customWidth="1"/>
    <col min="15" max="15" width="0.7109375" style="86" customWidth="1"/>
    <col min="16" max="16" width="20.42578125" style="64" customWidth="1"/>
    <col min="17" max="17" width="1.140625" style="86" customWidth="1"/>
    <col min="18" max="18" width="19.7109375" style="64" customWidth="1"/>
    <col min="19" max="19" width="1.140625" style="55" customWidth="1"/>
    <col min="20" max="20" width="13.5703125" style="55" customWidth="1"/>
    <col min="21" max="21" width="17.42578125" style="2" bestFit="1" customWidth="1"/>
    <col min="22" max="22" width="1.140625" style="2" customWidth="1"/>
    <col min="23" max="23" width="16.42578125" style="2" customWidth="1"/>
    <col min="24" max="16384" width="11.42578125" style="2"/>
  </cols>
  <sheetData>
    <row r="1" spans="1:24" ht="15" x14ac:dyDescent="0.2">
      <c r="A1" s="2" t="str">
        <f>Indice!C1</f>
        <v>NEGOFIN S.A.E.C.A.</v>
      </c>
      <c r="J1" s="325" t="s">
        <v>388</v>
      </c>
    </row>
    <row r="3" spans="1:24" ht="15" x14ac:dyDescent="0.25">
      <c r="P3" s="367"/>
      <c r="U3" s="54"/>
    </row>
    <row r="4" spans="1:24" ht="15" x14ac:dyDescent="0.25">
      <c r="B4" s="367"/>
      <c r="C4" s="367"/>
      <c r="D4" s="367"/>
      <c r="E4" s="367"/>
      <c r="F4" s="367" t="s">
        <v>877</v>
      </c>
      <c r="G4" s="367"/>
      <c r="H4" s="367"/>
      <c r="I4" s="367"/>
      <c r="J4" s="367"/>
      <c r="K4" s="367"/>
      <c r="L4" s="367"/>
      <c r="M4" s="367"/>
      <c r="N4" s="367"/>
      <c r="O4" s="367"/>
      <c r="P4" s="367"/>
      <c r="Q4" s="367"/>
      <c r="R4" s="367"/>
      <c r="U4" s="54"/>
    </row>
    <row r="5" spans="1:24" ht="15" x14ac:dyDescent="0.25">
      <c r="A5" s="367"/>
      <c r="B5" s="367"/>
      <c r="C5" s="367"/>
      <c r="D5" s="367"/>
      <c r="E5" s="367"/>
      <c r="F5" s="367"/>
      <c r="G5" s="367"/>
      <c r="H5" s="367"/>
      <c r="I5" s="367"/>
      <c r="J5" s="367" t="str">
        <f>IFERROR(IF(Indice!B6="","Al dia... de mes… de año 2XX2…","Al "&amp;DAY(Indice!B6)&amp;" de "&amp;VLOOKUP(MONTH(Indice!B6),Indice!S:T,2,0)&amp;" de "&amp;YEAR(Indice!B6)),"Al dia... de mes… de año 2XX2…")</f>
        <v>Al 30 de Junio de 2021</v>
      </c>
      <c r="K5" s="367"/>
      <c r="L5" s="367"/>
      <c r="M5" s="367"/>
      <c r="N5" s="367"/>
      <c r="O5" s="367"/>
      <c r="P5" s="367"/>
      <c r="Q5" s="367"/>
      <c r="R5" s="367"/>
      <c r="U5" s="54"/>
    </row>
    <row r="6" spans="1:24" ht="14.25" x14ac:dyDescent="0.2">
      <c r="A6" s="797" t="s">
        <v>303</v>
      </c>
      <c r="B6" s="797"/>
      <c r="C6" s="797"/>
      <c r="D6" s="797"/>
      <c r="E6" s="797"/>
      <c r="F6" s="797"/>
      <c r="G6" s="797"/>
      <c r="H6" s="797"/>
      <c r="I6" s="797"/>
      <c r="J6" s="797"/>
      <c r="K6" s="797"/>
      <c r="L6" s="797"/>
      <c r="M6" s="797"/>
      <c r="N6" s="797"/>
      <c r="O6" s="797"/>
      <c r="P6" s="797"/>
      <c r="Q6" s="797"/>
      <c r="R6" s="797"/>
      <c r="U6" s="54"/>
    </row>
    <row r="7" spans="1:24" ht="14.25" x14ac:dyDescent="0.2">
      <c r="A7" s="797" t="s">
        <v>274</v>
      </c>
      <c r="B7" s="797"/>
      <c r="C7" s="797"/>
      <c r="D7" s="797"/>
      <c r="E7" s="797"/>
      <c r="F7" s="797"/>
      <c r="G7" s="797"/>
      <c r="H7" s="797"/>
      <c r="I7" s="797"/>
      <c r="J7" s="797"/>
      <c r="K7" s="797"/>
      <c r="L7" s="797"/>
      <c r="M7" s="797"/>
      <c r="N7" s="797"/>
      <c r="O7" s="797"/>
      <c r="P7" s="797"/>
      <c r="Q7" s="797"/>
      <c r="R7" s="797"/>
      <c r="U7" s="54"/>
    </row>
    <row r="8" spans="1:24" ht="14.25" x14ac:dyDescent="0.2">
      <c r="A8" s="221"/>
      <c r="B8" s="221"/>
      <c r="C8" s="221"/>
      <c r="D8" s="221"/>
      <c r="E8" s="221"/>
      <c r="F8" s="221"/>
      <c r="G8" s="534"/>
      <c r="H8" s="534"/>
      <c r="I8" s="221"/>
      <c r="J8" s="221"/>
      <c r="K8" s="221"/>
      <c r="L8" s="221"/>
      <c r="M8" s="221"/>
      <c r="N8" s="221"/>
      <c r="O8" s="221"/>
      <c r="P8" s="221"/>
      <c r="Q8" s="221"/>
      <c r="R8" s="221"/>
      <c r="U8" s="54"/>
    </row>
    <row r="9" spans="1:24" ht="14.25" x14ac:dyDescent="0.2">
      <c r="A9" s="221"/>
      <c r="B9" s="221"/>
      <c r="C9" s="221"/>
      <c r="D9" s="221"/>
      <c r="E9" s="221"/>
      <c r="F9" s="221"/>
      <c r="G9" s="534"/>
      <c r="H9" s="534"/>
      <c r="I9" s="221"/>
      <c r="J9" s="221"/>
      <c r="K9" s="221"/>
      <c r="L9" s="221"/>
      <c r="M9" s="221"/>
      <c r="N9" s="221"/>
      <c r="O9" s="221"/>
      <c r="P9" s="221"/>
      <c r="Q9" s="221"/>
      <c r="R9" s="221"/>
      <c r="U9" s="54"/>
    </row>
    <row r="10" spans="1:24" ht="25.5" customHeight="1" x14ac:dyDescent="0.2">
      <c r="A10" s="65"/>
      <c r="B10" s="76"/>
      <c r="C10" s="794" t="s">
        <v>283</v>
      </c>
      <c r="D10" s="794"/>
      <c r="E10" s="794"/>
      <c r="F10" s="794"/>
      <c r="G10" s="535"/>
      <c r="H10" s="535"/>
      <c r="I10" s="87"/>
      <c r="J10" s="65"/>
      <c r="K10" s="87"/>
      <c r="L10" s="65"/>
      <c r="M10" s="87"/>
      <c r="N10" s="794" t="s">
        <v>424</v>
      </c>
      <c r="O10" s="794"/>
      <c r="P10" s="794"/>
      <c r="Q10" s="794"/>
      <c r="R10" s="794"/>
      <c r="U10" s="54"/>
    </row>
    <row r="11" spans="1:24" ht="15" customHeight="1" x14ac:dyDescent="0.2">
      <c r="A11" s="798">
        <v>2020</v>
      </c>
      <c r="C11" s="795" t="s">
        <v>78</v>
      </c>
      <c r="D11" s="66" t="s">
        <v>47</v>
      </c>
      <c r="E11" s="88"/>
      <c r="F11" s="795" t="s">
        <v>79</v>
      </c>
      <c r="G11" s="549"/>
      <c r="H11" s="533" t="s">
        <v>1057</v>
      </c>
      <c r="I11" s="88"/>
      <c r="J11" s="795" t="s">
        <v>43</v>
      </c>
      <c r="K11" s="88"/>
      <c r="L11" s="795" t="s">
        <v>80</v>
      </c>
      <c r="M11" s="88"/>
      <c r="N11" s="795" t="s">
        <v>81</v>
      </c>
      <c r="O11" s="88"/>
      <c r="P11" s="795" t="s">
        <v>82</v>
      </c>
      <c r="Q11" s="553"/>
      <c r="R11" s="795" t="s">
        <v>44</v>
      </c>
      <c r="T11" s="795" t="s">
        <v>1059</v>
      </c>
      <c r="U11" s="795" t="s">
        <v>83</v>
      </c>
      <c r="V11" s="88"/>
      <c r="W11" s="795" t="s">
        <v>3</v>
      </c>
    </row>
    <row r="12" spans="1:24" ht="15.75" customHeight="1" x14ac:dyDescent="0.2">
      <c r="A12" s="798"/>
      <c r="C12" s="796"/>
      <c r="D12" s="66" t="s">
        <v>48</v>
      </c>
      <c r="E12" s="88"/>
      <c r="F12" s="796"/>
      <c r="G12" s="550"/>
      <c r="H12" s="548" t="s">
        <v>1058</v>
      </c>
      <c r="I12" s="88"/>
      <c r="J12" s="796"/>
      <c r="K12" s="88"/>
      <c r="L12" s="796"/>
      <c r="M12" s="88"/>
      <c r="N12" s="796"/>
      <c r="O12" s="88"/>
      <c r="P12" s="796"/>
      <c r="Q12" s="553"/>
      <c r="R12" s="796" t="s">
        <v>3</v>
      </c>
      <c r="T12" s="796" t="s">
        <v>3</v>
      </c>
      <c r="U12" s="796"/>
      <c r="V12" s="88"/>
      <c r="W12" s="796"/>
    </row>
    <row r="13" spans="1:24" ht="8.1" customHeight="1" x14ac:dyDescent="0.2">
      <c r="C13" s="538"/>
      <c r="D13" s="538"/>
      <c r="E13" s="539"/>
      <c r="F13" s="538"/>
      <c r="G13" s="551"/>
      <c r="H13" s="538"/>
      <c r="I13" s="539"/>
      <c r="J13" s="538"/>
      <c r="K13" s="539"/>
      <c r="L13" s="538"/>
      <c r="M13" s="539"/>
      <c r="N13" s="538"/>
      <c r="O13" s="539"/>
      <c r="P13" s="538"/>
      <c r="Q13" s="554"/>
      <c r="R13" s="538"/>
      <c r="S13" s="540"/>
      <c r="T13" s="538"/>
      <c r="U13" s="541"/>
      <c r="V13" s="532"/>
      <c r="W13" s="532"/>
    </row>
    <row r="14" spans="1:24" x14ac:dyDescent="0.2">
      <c r="A14" s="105" t="str">
        <f>IFERROR(IF(Indice!B6="","Saldo al .. de  de 20X0 ","Saldo al "&amp;DAY(Indice!B6)&amp;" de "&amp;VLOOKUP(MONTH(Indice!B6),Indice!S:T,2,0)&amp;" de "&amp;YEAR(Indice!B6-730)),"Saldo al .. de  de 20X0 ")</f>
        <v>Saldo al 30 de Junio de 2019</v>
      </c>
      <c r="B14" s="25"/>
      <c r="C14" s="542">
        <v>120000000</v>
      </c>
      <c r="D14" s="538"/>
      <c r="E14" s="539"/>
      <c r="F14" s="542">
        <v>0</v>
      </c>
      <c r="G14" s="552"/>
      <c r="H14" s="542">
        <v>884126</v>
      </c>
      <c r="I14" s="539"/>
      <c r="J14" s="542">
        <v>1204266.2819999999</v>
      </c>
      <c r="K14" s="539"/>
      <c r="L14" s="542">
        <v>0</v>
      </c>
      <c r="M14" s="539"/>
      <c r="N14" s="542">
        <v>11145066.239</v>
      </c>
      <c r="O14" s="539"/>
      <c r="P14" s="542">
        <v>0</v>
      </c>
      <c r="Q14" s="554"/>
      <c r="R14" s="542">
        <v>13221480</v>
      </c>
      <c r="S14" s="540"/>
      <c r="T14" s="542">
        <v>8352637.199</v>
      </c>
      <c r="U14" s="542">
        <v>0</v>
      </c>
      <c r="V14" s="540"/>
      <c r="W14" s="542">
        <f>SUM(C14:U14)</f>
        <v>154807575.72</v>
      </c>
      <c r="X14" s="55"/>
    </row>
    <row r="15" spans="1:24" x14ac:dyDescent="0.2">
      <c r="A15" s="2" t="s">
        <v>425</v>
      </c>
      <c r="C15" s="538"/>
      <c r="D15" s="538"/>
      <c r="E15" s="539"/>
      <c r="F15" s="538"/>
      <c r="G15" s="538"/>
      <c r="H15" s="538"/>
      <c r="I15" s="538"/>
      <c r="J15" s="538"/>
      <c r="K15" s="538">
        <v>0</v>
      </c>
      <c r="L15" s="538"/>
      <c r="M15" s="538"/>
      <c r="N15" s="538"/>
      <c r="O15" s="538"/>
      <c r="P15" s="538"/>
      <c r="Q15" s="551">
        <v>0</v>
      </c>
      <c r="R15" s="538">
        <v>0</v>
      </c>
      <c r="S15" s="538">
        <v>0</v>
      </c>
      <c r="T15" s="538">
        <v>0</v>
      </c>
      <c r="U15" s="538">
        <v>0</v>
      </c>
      <c r="V15" s="540"/>
      <c r="W15" s="542">
        <f t="shared" ref="W15:W24" si="0">SUM(C15:U15)</f>
        <v>0</v>
      </c>
      <c r="X15" s="55"/>
    </row>
    <row r="16" spans="1:24" x14ac:dyDescent="0.2">
      <c r="A16" s="105" t="s">
        <v>77</v>
      </c>
      <c r="C16" s="542">
        <v>0</v>
      </c>
      <c r="D16" s="538"/>
      <c r="E16" s="539"/>
      <c r="F16" s="542">
        <v>0</v>
      </c>
      <c r="G16" s="542">
        <v>0</v>
      </c>
      <c r="H16" s="542">
        <v>0</v>
      </c>
      <c r="I16" s="542">
        <v>0</v>
      </c>
      <c r="J16" s="542">
        <v>0</v>
      </c>
      <c r="K16" s="539"/>
      <c r="L16" s="542"/>
      <c r="M16" s="539"/>
      <c r="N16" s="542">
        <v>0</v>
      </c>
      <c r="O16" s="538"/>
      <c r="P16" s="542"/>
      <c r="Q16" s="552">
        <v>0</v>
      </c>
      <c r="R16" s="542">
        <v>0</v>
      </c>
      <c r="S16" s="542">
        <v>0</v>
      </c>
      <c r="T16" s="542">
        <v>0</v>
      </c>
      <c r="U16" s="542">
        <v>0</v>
      </c>
      <c r="V16" s="540"/>
      <c r="W16" s="542">
        <f t="shared" si="0"/>
        <v>0</v>
      </c>
      <c r="X16" s="55"/>
    </row>
    <row r="17" spans="1:23" ht="25.5" x14ac:dyDescent="0.2">
      <c r="A17" s="118" t="s">
        <v>280</v>
      </c>
      <c r="C17" s="538">
        <v>0</v>
      </c>
      <c r="D17" s="538"/>
      <c r="E17" s="539"/>
      <c r="F17" s="538"/>
      <c r="G17" s="551"/>
      <c r="H17" s="538"/>
      <c r="I17" s="539"/>
      <c r="J17" s="538">
        <v>0</v>
      </c>
      <c r="K17" s="539"/>
      <c r="L17" s="538">
        <v>0</v>
      </c>
      <c r="M17" s="539"/>
      <c r="N17" s="538">
        <v>0</v>
      </c>
      <c r="O17" s="539"/>
      <c r="P17" s="543"/>
      <c r="Q17" s="554"/>
      <c r="R17" s="538">
        <v>0</v>
      </c>
      <c r="S17" s="540"/>
      <c r="T17" s="538">
        <v>0</v>
      </c>
      <c r="U17" s="541"/>
      <c r="V17" s="532"/>
      <c r="W17" s="542">
        <f t="shared" si="0"/>
        <v>0</v>
      </c>
    </row>
    <row r="18" spans="1:23" x14ac:dyDescent="0.2">
      <c r="A18" s="105" t="s">
        <v>84</v>
      </c>
      <c r="C18" s="542">
        <v>0</v>
      </c>
      <c r="D18" s="538"/>
      <c r="E18" s="539"/>
      <c r="F18" s="542">
        <v>0</v>
      </c>
      <c r="G18" s="552"/>
      <c r="H18" s="542"/>
      <c r="I18" s="539"/>
      <c r="J18" s="542"/>
      <c r="K18" s="539"/>
      <c r="L18" s="542"/>
      <c r="M18" s="539"/>
      <c r="N18" s="542"/>
      <c r="O18" s="539"/>
      <c r="P18" s="542"/>
      <c r="Q18" s="539"/>
      <c r="R18" s="542"/>
      <c r="S18" s="540"/>
      <c r="T18" s="542"/>
      <c r="U18" s="542"/>
      <c r="V18" s="540"/>
      <c r="W18" s="542">
        <f t="shared" si="0"/>
        <v>0</v>
      </c>
    </row>
    <row r="19" spans="1:23" ht="38.25" x14ac:dyDescent="0.2">
      <c r="A19" s="118" t="s">
        <v>281</v>
      </c>
      <c r="C19" s="538">
        <v>0</v>
      </c>
      <c r="D19" s="538"/>
      <c r="E19" s="539"/>
      <c r="F19" s="538">
        <v>0</v>
      </c>
      <c r="G19" s="551"/>
      <c r="H19" s="538"/>
      <c r="I19" s="539"/>
      <c r="J19" s="538">
        <v>0</v>
      </c>
      <c r="K19" s="539"/>
      <c r="L19" s="538"/>
      <c r="M19" s="539"/>
      <c r="N19" s="543"/>
      <c r="O19" s="539"/>
      <c r="P19" s="538"/>
      <c r="Q19" s="539"/>
      <c r="R19" s="543"/>
      <c r="S19" s="544"/>
      <c r="T19" s="543"/>
      <c r="U19" s="541"/>
      <c r="V19" s="532"/>
      <c r="W19" s="542">
        <f t="shared" si="0"/>
        <v>0</v>
      </c>
    </row>
    <row r="20" spans="1:23" x14ac:dyDescent="0.2">
      <c r="A20" s="105" t="s">
        <v>85</v>
      </c>
      <c r="C20" s="542">
        <v>0</v>
      </c>
      <c r="D20" s="538"/>
      <c r="E20" s="539"/>
      <c r="F20" s="542">
        <v>0</v>
      </c>
      <c r="G20" s="552"/>
      <c r="H20" s="542">
        <v>0</v>
      </c>
      <c r="I20" s="539"/>
      <c r="J20" s="542">
        <v>129950.6</v>
      </c>
      <c r="K20" s="539"/>
      <c r="L20" s="542"/>
      <c r="M20" s="539"/>
      <c r="N20" s="542"/>
      <c r="O20" s="539"/>
      <c r="P20" s="542"/>
      <c r="Q20" s="539"/>
      <c r="R20" s="542"/>
      <c r="S20" s="540"/>
      <c r="T20" s="542"/>
      <c r="U20" s="542"/>
      <c r="V20" s="540"/>
      <c r="W20" s="542">
        <f t="shared" si="0"/>
        <v>129950.6</v>
      </c>
    </row>
    <row r="21" spans="1:23" x14ac:dyDescent="0.2">
      <c r="A21" s="105" t="s">
        <v>1060</v>
      </c>
      <c r="C21" s="542"/>
      <c r="D21" s="538"/>
      <c r="E21" s="539"/>
      <c r="F21" s="542"/>
      <c r="G21" s="552"/>
      <c r="H21" s="542"/>
      <c r="I21" s="539"/>
      <c r="J21" s="542"/>
      <c r="K21" s="539"/>
      <c r="L21" s="542"/>
      <c r="M21" s="539"/>
      <c r="N21" s="542">
        <v>3141343.14</v>
      </c>
      <c r="O21" s="539"/>
      <c r="P21" s="542"/>
      <c r="Q21" s="539"/>
      <c r="R21" s="542"/>
      <c r="S21" s="540"/>
      <c r="T21" s="542"/>
      <c r="U21" s="542"/>
      <c r="V21" s="540"/>
      <c r="W21" s="542">
        <f t="shared" si="0"/>
        <v>3141343.14</v>
      </c>
    </row>
    <row r="22" spans="1:23" x14ac:dyDescent="0.2">
      <c r="A22" s="105" t="s">
        <v>86</v>
      </c>
      <c r="C22" s="542"/>
      <c r="D22" s="538"/>
      <c r="E22" s="539"/>
      <c r="F22" s="542"/>
      <c r="G22" s="552"/>
      <c r="H22" s="542"/>
      <c r="I22" s="539"/>
      <c r="J22" s="542"/>
      <c r="K22" s="539"/>
      <c r="L22" s="542">
        <v>0</v>
      </c>
      <c r="M22" s="539"/>
      <c r="N22" s="542"/>
      <c r="O22" s="539"/>
      <c r="P22" s="542"/>
      <c r="Q22" s="539"/>
      <c r="R22" s="542"/>
      <c r="S22" s="540"/>
      <c r="T22" s="542"/>
      <c r="U22" s="542"/>
      <c r="V22" s="540"/>
      <c r="W22" s="542">
        <f t="shared" si="0"/>
        <v>0</v>
      </c>
    </row>
    <row r="23" spans="1:23" x14ac:dyDescent="0.2">
      <c r="A23" s="105" t="s">
        <v>87</v>
      </c>
      <c r="C23" s="542"/>
      <c r="D23" s="538"/>
      <c r="E23" s="539"/>
      <c r="F23" s="542"/>
      <c r="G23" s="552"/>
      <c r="H23" s="542"/>
      <c r="I23" s="539"/>
      <c r="J23" s="542"/>
      <c r="K23" s="539"/>
      <c r="L23" s="542"/>
      <c r="M23" s="539"/>
      <c r="N23" s="542"/>
      <c r="O23" s="539"/>
      <c r="P23" s="542">
        <v>43280907.421999998</v>
      </c>
      <c r="Q23" s="539"/>
      <c r="R23" s="542">
        <v>-13221480</v>
      </c>
      <c r="S23" s="540"/>
      <c r="T23" s="542">
        <v>16213729.685000001</v>
      </c>
      <c r="U23" s="542">
        <v>0</v>
      </c>
      <c r="V23" s="540"/>
      <c r="W23" s="542">
        <f t="shared" si="0"/>
        <v>46273157.107000001</v>
      </c>
    </row>
    <row r="24" spans="1:23" x14ac:dyDescent="0.2">
      <c r="C24" s="538"/>
      <c r="D24" s="538"/>
      <c r="E24" s="539"/>
      <c r="F24" s="538"/>
      <c r="G24" s="551"/>
      <c r="H24" s="538"/>
      <c r="I24" s="539"/>
      <c r="J24" s="538"/>
      <c r="K24" s="539"/>
      <c r="L24" s="538"/>
      <c r="M24" s="539"/>
      <c r="N24" s="538"/>
      <c r="O24" s="539"/>
      <c r="P24" s="538"/>
      <c r="Q24" s="539"/>
      <c r="R24" s="538"/>
      <c r="S24" s="540"/>
      <c r="T24" s="538"/>
      <c r="U24" s="541"/>
      <c r="V24" s="532"/>
      <c r="W24" s="542">
        <f t="shared" si="0"/>
        <v>0</v>
      </c>
    </row>
    <row r="25" spans="1:23" x14ac:dyDescent="0.2">
      <c r="A25" s="105" t="str">
        <f>IFERROR(IF(Indice!B6="","Saldo al .. de  de 20X1 ","Saldo al "&amp;DAY(Indice!B6)&amp;" de "&amp;VLOOKUP(MONTH(Indice!B6),Indice!S:T,2,0)&amp;" de "&amp;YEAR(Indice!B6-365)),"Saldo al .. de  de 20X1 ")</f>
        <v>Saldo al 30 de Junio de 2020</v>
      </c>
      <c r="B25" s="25"/>
      <c r="C25" s="545">
        <f t="shared" ref="C25:I25" si="1">+C14+C15+C16-C17-C20</f>
        <v>120000000</v>
      </c>
      <c r="D25" s="545">
        <f t="shared" si="1"/>
        <v>0</v>
      </c>
      <c r="E25" s="545">
        <f t="shared" si="1"/>
        <v>0</v>
      </c>
      <c r="F25" s="545">
        <f t="shared" si="1"/>
        <v>0</v>
      </c>
      <c r="G25" s="545">
        <f t="shared" si="1"/>
        <v>0</v>
      </c>
      <c r="H25" s="545">
        <f t="shared" si="1"/>
        <v>884126</v>
      </c>
      <c r="I25" s="545">
        <f t="shared" si="1"/>
        <v>0</v>
      </c>
      <c r="J25" s="545">
        <f>+J14+J20</f>
        <v>1334216.882</v>
      </c>
      <c r="K25" s="545">
        <f t="shared" ref="K25:S25" si="2">+K14+K15+K16-K17-K20</f>
        <v>0</v>
      </c>
      <c r="L25" s="545">
        <f t="shared" si="2"/>
        <v>0</v>
      </c>
      <c r="M25" s="545">
        <f t="shared" si="2"/>
        <v>0</v>
      </c>
      <c r="N25" s="545">
        <f>+N14+N21</f>
        <v>14286409.379000001</v>
      </c>
      <c r="O25" s="545">
        <f t="shared" si="2"/>
        <v>0</v>
      </c>
      <c r="P25" s="545">
        <f>+P23</f>
        <v>43280907.421999998</v>
      </c>
      <c r="Q25" s="545">
        <f t="shared" si="2"/>
        <v>0</v>
      </c>
      <c r="R25" s="545">
        <f>+R14+R23</f>
        <v>0</v>
      </c>
      <c r="S25" s="545">
        <f t="shared" si="2"/>
        <v>0</v>
      </c>
      <c r="T25" s="545">
        <f>+T14+T23</f>
        <v>24566366.884</v>
      </c>
      <c r="U25" s="545">
        <f>+U14+U15+U16-U17-U20</f>
        <v>0</v>
      </c>
      <c r="V25" s="544"/>
      <c r="W25" s="542">
        <f>SUM(W14:W24)</f>
        <v>204352026.56699997</v>
      </c>
    </row>
    <row r="26" spans="1:23" ht="41.25" customHeight="1" x14ac:dyDescent="0.2">
      <c r="A26" s="118" t="s">
        <v>282</v>
      </c>
      <c r="C26" s="538"/>
      <c r="D26" s="538"/>
      <c r="E26" s="539"/>
      <c r="F26" s="538"/>
      <c r="G26" s="551"/>
      <c r="H26" s="538"/>
      <c r="I26" s="539"/>
      <c r="J26" s="538"/>
      <c r="K26" s="539"/>
      <c r="L26" s="538"/>
      <c r="M26" s="539"/>
      <c r="N26" s="538"/>
      <c r="O26" s="539"/>
      <c r="P26" s="543"/>
      <c r="Q26" s="539"/>
      <c r="R26" s="538"/>
      <c r="S26" s="540"/>
      <c r="T26" s="538"/>
      <c r="U26" s="546"/>
      <c r="V26" s="532"/>
      <c r="W26" s="542">
        <f t="shared" ref="W26:W31" si="3">SUM(C26:U26)</f>
        <v>0</v>
      </c>
    </row>
    <row r="27" spans="1:23" x14ac:dyDescent="0.2">
      <c r="A27" s="105" t="s">
        <v>85</v>
      </c>
      <c r="B27" s="63"/>
      <c r="C27" s="542"/>
      <c r="D27" s="538"/>
      <c r="E27" s="539"/>
      <c r="F27" s="542"/>
      <c r="G27" s="552"/>
      <c r="H27" s="542"/>
      <c r="I27" s="539"/>
      <c r="J27" s="542"/>
      <c r="K27" s="539"/>
      <c r="L27" s="542"/>
      <c r="M27" s="539"/>
      <c r="N27" s="542"/>
      <c r="O27" s="539"/>
      <c r="P27" s="542"/>
      <c r="Q27" s="539"/>
      <c r="R27" s="542"/>
      <c r="S27" s="540"/>
      <c r="T27" s="542"/>
      <c r="U27" s="542"/>
      <c r="V27" s="540"/>
      <c r="W27" s="542">
        <f t="shared" si="3"/>
        <v>0</v>
      </c>
    </row>
    <row r="28" spans="1:23" x14ac:dyDescent="0.2">
      <c r="A28" s="63" t="s">
        <v>88</v>
      </c>
      <c r="B28" s="63"/>
      <c r="C28" s="538"/>
      <c r="D28" s="538"/>
      <c r="E28" s="539"/>
      <c r="F28" s="538"/>
      <c r="G28" s="551"/>
      <c r="H28" s="538"/>
      <c r="I28" s="539"/>
      <c r="J28" s="538"/>
      <c r="K28" s="539"/>
      <c r="L28" s="538"/>
      <c r="M28" s="539"/>
      <c r="N28" s="543"/>
      <c r="O28" s="539"/>
      <c r="P28" s="538"/>
      <c r="Q28" s="539"/>
      <c r="R28" s="538"/>
      <c r="S28" s="540"/>
      <c r="T28" s="538"/>
      <c r="U28" s="532"/>
      <c r="V28" s="538"/>
      <c r="W28" s="542">
        <f t="shared" si="3"/>
        <v>0</v>
      </c>
    </row>
    <row r="29" spans="1:23" x14ac:dyDescent="0.2">
      <c r="A29" s="105" t="s">
        <v>87</v>
      </c>
      <c r="C29" s="542"/>
      <c r="D29" s="538"/>
      <c r="E29" s="539"/>
      <c r="F29" s="542"/>
      <c r="G29" s="552"/>
      <c r="H29" s="542"/>
      <c r="I29" s="539"/>
      <c r="J29" s="542"/>
      <c r="K29" s="539"/>
      <c r="L29" s="542"/>
      <c r="M29" s="539"/>
      <c r="N29" s="542">
        <v>0</v>
      </c>
      <c r="O29" s="539"/>
      <c r="P29" s="542">
        <v>0</v>
      </c>
      <c r="Q29" s="539"/>
      <c r="R29" s="542">
        <v>0</v>
      </c>
      <c r="S29" s="540"/>
      <c r="T29" s="542">
        <v>0</v>
      </c>
      <c r="U29" s="542"/>
      <c r="V29" s="540"/>
      <c r="W29" s="542">
        <f t="shared" si="3"/>
        <v>0</v>
      </c>
    </row>
    <row r="30" spans="1:23" x14ac:dyDescent="0.2">
      <c r="C30" s="538"/>
      <c r="D30" s="538"/>
      <c r="E30" s="539"/>
      <c r="F30" s="538"/>
      <c r="G30" s="551"/>
      <c r="H30" s="538"/>
      <c r="I30" s="539"/>
      <c r="J30" s="538"/>
      <c r="K30" s="539"/>
      <c r="L30" s="538"/>
      <c r="M30" s="539"/>
      <c r="N30" s="538"/>
      <c r="O30" s="539"/>
      <c r="P30" s="538"/>
      <c r="Q30" s="539"/>
      <c r="R30" s="538"/>
      <c r="S30" s="540"/>
      <c r="T30" s="538"/>
      <c r="U30" s="541"/>
      <c r="V30" s="532"/>
      <c r="W30" s="542">
        <f t="shared" si="3"/>
        <v>0</v>
      </c>
    </row>
    <row r="31" spans="1:23" x14ac:dyDescent="0.2">
      <c r="A31" s="105" t="str">
        <f>IFERROR(IF(Indice!B6="","Saldo al .. de  de 20X2 ","Saldo al "&amp;DAY(Indice!B6)&amp;" de "&amp;VLOOKUP(MONTH(Indice!B6),Indice!S:T,2,0)&amp;" de "&amp;YEAR(Indice!B6)),"Saldo al .. de  de 20X2 ")</f>
        <v>Saldo al 30 de Junio de 2021</v>
      </c>
      <c r="B31" s="25"/>
      <c r="C31" s="545">
        <f t="shared" ref="C31:H31" si="4">C25+C26+C27-C28+C29</f>
        <v>120000000</v>
      </c>
      <c r="D31" s="545">
        <f t="shared" si="4"/>
        <v>0</v>
      </c>
      <c r="E31" s="545">
        <f t="shared" si="4"/>
        <v>0</v>
      </c>
      <c r="F31" s="545">
        <f t="shared" si="4"/>
        <v>0</v>
      </c>
      <c r="G31" s="545">
        <f t="shared" si="4"/>
        <v>0</v>
      </c>
      <c r="H31" s="545">
        <f t="shared" si="4"/>
        <v>884126</v>
      </c>
      <c r="I31" s="547"/>
      <c r="J31" s="545">
        <f>J25+J26+J27+J28+J29</f>
        <v>1334216.882</v>
      </c>
      <c r="K31" s="547"/>
      <c r="L31" s="545">
        <f>L25+L26+L27+L28+L29</f>
        <v>0</v>
      </c>
      <c r="M31" s="547"/>
      <c r="N31" s="545">
        <f>N25+N26+N27+N28+N29</f>
        <v>14286409.379000001</v>
      </c>
      <c r="O31" s="547"/>
      <c r="P31" s="545">
        <f>P25+P26+P27+P28+P29</f>
        <v>43280907.421999998</v>
      </c>
      <c r="Q31" s="547"/>
      <c r="R31" s="545">
        <f>R25+R26+R27+R28+R29</f>
        <v>0</v>
      </c>
      <c r="S31" s="540"/>
      <c r="T31" s="545">
        <f>T25+T26+T27+T28+T29</f>
        <v>24566366.884</v>
      </c>
      <c r="U31" s="545">
        <f>U25+U26+U27+U28+U29</f>
        <v>0</v>
      </c>
      <c r="V31" s="544"/>
      <c r="W31" s="542">
        <f t="shared" si="3"/>
        <v>204352026.567</v>
      </c>
    </row>
    <row r="32" spans="1:23" x14ac:dyDescent="0.2">
      <c r="A32" s="25"/>
      <c r="B32" s="25"/>
      <c r="C32" s="60"/>
      <c r="D32" s="59"/>
      <c r="E32" s="89"/>
      <c r="F32" s="60"/>
      <c r="G32" s="60"/>
      <c r="H32" s="60"/>
      <c r="I32" s="89"/>
      <c r="J32" s="60"/>
      <c r="K32" s="89"/>
      <c r="L32" s="60"/>
      <c r="M32" s="89"/>
      <c r="N32" s="60"/>
      <c r="O32" s="89"/>
      <c r="P32" s="60"/>
      <c r="Q32" s="89"/>
      <c r="R32" s="60"/>
      <c r="U32" s="56"/>
      <c r="W32" s="532"/>
    </row>
    <row r="33" spans="1:23" x14ac:dyDescent="0.2">
      <c r="A33" s="2" t="s">
        <v>413</v>
      </c>
      <c r="C33" s="57"/>
      <c r="D33" s="57"/>
      <c r="E33" s="90"/>
      <c r="F33" s="57"/>
      <c r="G33" s="57"/>
      <c r="H33" s="57"/>
      <c r="I33" s="90"/>
      <c r="J33" s="2"/>
      <c r="K33" s="30"/>
      <c r="M33" s="90"/>
      <c r="N33" s="57"/>
      <c r="O33" s="90"/>
      <c r="P33" s="57"/>
      <c r="Q33" s="90"/>
      <c r="R33" s="57"/>
      <c r="W33" s="532">
        <v>204352026.70699999</v>
      </c>
    </row>
    <row r="34" spans="1:23" x14ac:dyDescent="0.2">
      <c r="C34" s="57"/>
      <c r="D34" s="57"/>
      <c r="E34" s="90"/>
      <c r="F34" s="57"/>
      <c r="G34" s="57"/>
      <c r="H34" s="57"/>
      <c r="I34" s="90"/>
      <c r="J34" s="2"/>
      <c r="K34" s="30"/>
      <c r="M34" s="90"/>
      <c r="N34" s="57"/>
      <c r="O34" s="90"/>
      <c r="P34" s="57"/>
      <c r="Q34" s="90"/>
      <c r="R34" s="57"/>
      <c r="W34" s="532">
        <f>+W31-W33</f>
        <v>-0.13999998569488525</v>
      </c>
    </row>
    <row r="35" spans="1:23" x14ac:dyDescent="0.2">
      <c r="C35" s="57"/>
      <c r="D35" s="57"/>
      <c r="E35" s="90"/>
      <c r="F35" s="57"/>
      <c r="G35" s="57"/>
      <c r="H35" s="57"/>
      <c r="I35" s="90"/>
      <c r="J35" s="2"/>
      <c r="K35" s="30"/>
      <c r="M35" s="90"/>
      <c r="N35" s="57"/>
      <c r="O35" s="90"/>
      <c r="P35" s="57"/>
      <c r="Q35" s="90"/>
      <c r="R35" s="57"/>
    </row>
    <row r="36" spans="1:23" x14ac:dyDescent="0.2">
      <c r="C36" s="57"/>
      <c r="D36" s="57"/>
      <c r="E36" s="90"/>
      <c r="F36" s="57"/>
      <c r="G36" s="57"/>
      <c r="H36" s="57"/>
      <c r="I36" s="90"/>
      <c r="J36" s="2"/>
      <c r="K36" s="30"/>
      <c r="M36" s="90"/>
      <c r="N36" s="57"/>
      <c r="O36" s="90"/>
      <c r="P36" s="57"/>
      <c r="Q36" s="90"/>
      <c r="R36" s="57"/>
    </row>
    <row r="37" spans="1:23" x14ac:dyDescent="0.2">
      <c r="C37" s="57"/>
      <c r="D37" s="57"/>
      <c r="E37" s="90"/>
      <c r="F37" s="57"/>
      <c r="G37" s="57"/>
      <c r="H37" s="57"/>
      <c r="I37" s="90"/>
      <c r="J37" s="2"/>
      <c r="K37" s="30"/>
      <c r="M37" s="90"/>
      <c r="N37" s="57"/>
      <c r="O37" s="90"/>
      <c r="P37" s="57"/>
      <c r="Q37" s="90"/>
      <c r="R37" s="57"/>
    </row>
    <row r="39" spans="1:23" x14ac:dyDescent="0.2">
      <c r="C39" s="57"/>
      <c r="D39" s="57"/>
      <c r="E39" s="90"/>
      <c r="F39" s="57"/>
      <c r="G39" s="57"/>
      <c r="H39" s="57"/>
      <c r="I39" s="90"/>
      <c r="J39" s="2"/>
      <c r="K39" s="30"/>
      <c r="M39" s="90"/>
      <c r="N39" s="57"/>
      <c r="O39" s="90"/>
      <c r="P39" s="57"/>
      <c r="Q39" s="90"/>
      <c r="R39" s="57"/>
    </row>
    <row r="40" spans="1:23" x14ac:dyDescent="0.2">
      <c r="F40" s="57"/>
      <c r="G40" s="57"/>
      <c r="H40" s="57"/>
      <c r="J40" s="2"/>
      <c r="K40" s="30"/>
      <c r="L40" s="58"/>
    </row>
  </sheetData>
  <mergeCells count="15">
    <mergeCell ref="A6:R6"/>
    <mergeCell ref="A7:R7"/>
    <mergeCell ref="C11:C12"/>
    <mergeCell ref="F11:F12"/>
    <mergeCell ref="J11:J12"/>
    <mergeCell ref="L11:L12"/>
    <mergeCell ref="N11:N12"/>
    <mergeCell ref="P11:P12"/>
    <mergeCell ref="R11:R12"/>
    <mergeCell ref="A11:A12"/>
    <mergeCell ref="C10:F10"/>
    <mergeCell ref="N10:R10"/>
    <mergeCell ref="T11:T12"/>
    <mergeCell ref="U11:U12"/>
    <mergeCell ref="W11:W12"/>
  </mergeCells>
  <hyperlinks>
    <hyperlink ref="J1" location="Indice!A1" display="Indice"/>
  </hyperlinks>
  <pageMargins left="0.70866141732283472" right="0.70866141732283472" top="0.74803149606299213" bottom="0.74803149606299213" header="0.31496062992125984" footer="0.31496062992125984"/>
  <pageSetup paperSize="9" scale="65" orientation="landscape" verticalDpi="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N22"/>
  <sheetViews>
    <sheetView topLeftCell="A13" workbookViewId="0">
      <selection activeCell="B18" sqref="B18:C19"/>
    </sheetView>
  </sheetViews>
  <sheetFormatPr baseColWidth="10" defaultColWidth="11.42578125" defaultRowHeight="15" x14ac:dyDescent="0.25"/>
  <cols>
    <col min="1" max="1" width="42.140625" style="123" customWidth="1"/>
    <col min="2" max="5" width="24.42578125" style="123" customWidth="1"/>
    <col min="6" max="6" width="12.85546875" style="123" customWidth="1"/>
    <col min="7" max="7" width="11.42578125" style="123"/>
    <col min="8" max="8" width="17.28515625" style="123" customWidth="1"/>
    <col min="9" max="14" width="11.42578125" style="123"/>
    <col min="15" max="16384" width="11.42578125" style="334"/>
  </cols>
  <sheetData>
    <row r="1" spans="1:9" x14ac:dyDescent="0.25">
      <c r="A1" s="123" t="str">
        <f>Indice!C1</f>
        <v>NEGOFIN S.A.E.C.A.</v>
      </c>
      <c r="E1" s="144" t="s">
        <v>148</v>
      </c>
    </row>
    <row r="2" spans="1:9" x14ac:dyDescent="0.25">
      <c r="C2" s="131"/>
    </row>
    <row r="4" spans="1:9" x14ac:dyDescent="0.25">
      <c r="A4" s="279" t="s">
        <v>354</v>
      </c>
      <c r="B4" s="279"/>
      <c r="C4" s="279"/>
      <c r="D4" s="279"/>
      <c r="E4" s="279"/>
      <c r="F4" s="279"/>
      <c r="G4" s="279"/>
      <c r="H4" s="279"/>
      <c r="I4" s="279"/>
    </row>
    <row r="5" spans="1:9" ht="27" customHeight="1" x14ac:dyDescent="0.25">
      <c r="A5" s="362" t="s">
        <v>194</v>
      </c>
      <c r="B5" s="362"/>
      <c r="C5" s="362"/>
      <c r="D5" s="362"/>
      <c r="E5" s="362"/>
      <c r="F5" s="362"/>
      <c r="G5" s="362"/>
      <c r="H5" s="362"/>
      <c r="I5" s="362"/>
    </row>
    <row r="6" spans="1:9" ht="15" customHeight="1" x14ac:dyDescent="0.25">
      <c r="A6" s="362" t="s">
        <v>194</v>
      </c>
      <c r="B6" s="258"/>
    </row>
    <row r="7" spans="1:9" ht="15" customHeight="1" x14ac:dyDescent="0.25">
      <c r="B7" s="396">
        <f>IFERROR(IF(Indice!B6="","2XX2",YEAR(Indice!B6)),"2XX2")</f>
        <v>2021</v>
      </c>
      <c r="C7" s="396">
        <f>+IFERROR(YEAR(Indice!B6-365),"2XX1")</f>
        <v>2020</v>
      </c>
    </row>
    <row r="8" spans="1:9" s="123" customFormat="1" ht="15" customHeight="1" x14ac:dyDescent="0.25">
      <c r="A8" s="176" t="s">
        <v>873</v>
      </c>
      <c r="B8" s="363">
        <v>50000</v>
      </c>
      <c r="C8" s="363">
        <v>50000</v>
      </c>
      <c r="D8" s="361"/>
      <c r="E8" s="361"/>
      <c r="F8" s="361"/>
      <c r="G8" s="361"/>
      <c r="H8" s="361"/>
      <c r="I8" s="361"/>
    </row>
    <row r="9" spans="1:9" ht="15" customHeight="1" x14ac:dyDescent="0.25">
      <c r="A9" s="334" t="s">
        <v>872</v>
      </c>
      <c r="B9" s="364">
        <f>ER!C31</f>
        <v>24566366.948000003</v>
      </c>
      <c r="C9" s="364">
        <f>ER!D31</f>
        <v>8352637.1990000028</v>
      </c>
    </row>
    <row r="10" spans="1:9" ht="15" customHeight="1" x14ac:dyDescent="0.25">
      <c r="A10" s="365" t="s">
        <v>874</v>
      </c>
      <c r="B10" s="366">
        <f>IFERROR(B9/B8,0)</f>
        <v>491.32733896000008</v>
      </c>
      <c r="C10" s="366">
        <f>IFERROR(C9/C8,0)</f>
        <v>167.05274398000006</v>
      </c>
      <c r="D10" s="361"/>
      <c r="E10" s="361"/>
      <c r="F10" s="361"/>
      <c r="G10" s="361"/>
      <c r="H10" s="361"/>
      <c r="I10" s="361"/>
    </row>
    <row r="11" spans="1:9" ht="15" customHeight="1" x14ac:dyDescent="0.25"/>
    <row r="12" spans="1:9" ht="15" customHeight="1" x14ac:dyDescent="0.25">
      <c r="A12" s="361"/>
      <c r="B12" s="361"/>
      <c r="C12" s="361"/>
      <c r="D12" s="361"/>
      <c r="E12" s="361"/>
      <c r="F12" s="361"/>
      <c r="G12" s="361"/>
      <c r="H12" s="361"/>
      <c r="I12" s="361"/>
    </row>
    <row r="13" spans="1:9" ht="15" customHeight="1" x14ac:dyDescent="0.25"/>
    <row r="15" spans="1:9" ht="72.75" x14ac:dyDescent="0.25">
      <c r="A15" s="362" t="s">
        <v>194</v>
      </c>
      <c r="B15" s="362"/>
      <c r="C15" s="362"/>
    </row>
    <row r="16" spans="1:9" x14ac:dyDescent="0.25">
      <c r="B16" s="258"/>
    </row>
    <row r="17" spans="1:14" x14ac:dyDescent="0.25">
      <c r="B17" s="396">
        <v>2021</v>
      </c>
      <c r="C17" s="396">
        <v>2020</v>
      </c>
    </row>
    <row r="18" spans="1:14" x14ac:dyDescent="0.25">
      <c r="A18" s="176" t="s">
        <v>873</v>
      </c>
      <c r="B18" s="774">
        <v>50000</v>
      </c>
      <c r="C18" s="774">
        <v>50000</v>
      </c>
    </row>
    <row r="19" spans="1:14" s="738" customFormat="1" x14ac:dyDescent="0.25">
      <c r="A19" s="176" t="s">
        <v>873</v>
      </c>
      <c r="B19" s="774">
        <v>70000</v>
      </c>
      <c r="C19" s="774">
        <v>70000</v>
      </c>
      <c r="D19" s="123"/>
      <c r="E19" s="123"/>
      <c r="F19" s="123"/>
      <c r="G19" s="123"/>
      <c r="H19" s="123"/>
      <c r="I19" s="123"/>
      <c r="J19" s="123"/>
      <c r="K19" s="123"/>
      <c r="L19" s="123"/>
      <c r="M19" s="123"/>
      <c r="N19" s="123"/>
    </row>
    <row r="20" spans="1:14" x14ac:dyDescent="0.25">
      <c r="A20" s="99" t="s">
        <v>1333</v>
      </c>
      <c r="B20" s="364">
        <f>13221480/2</f>
        <v>6610740</v>
      </c>
      <c r="C20" s="364">
        <f>+B20</f>
        <v>6610740</v>
      </c>
    </row>
    <row r="21" spans="1:14" s="738" customFormat="1" x14ac:dyDescent="0.25">
      <c r="A21" s="365" t="s">
        <v>874</v>
      </c>
      <c r="B21" s="364">
        <f>+B9-B20</f>
        <v>17955626.948000003</v>
      </c>
      <c r="C21" s="364">
        <f>+C9-C20</f>
        <v>1741897.1990000028</v>
      </c>
      <c r="D21" s="123"/>
      <c r="E21" s="123"/>
      <c r="F21" s="123"/>
      <c r="G21" s="123"/>
      <c r="H21" s="123"/>
      <c r="I21" s="123"/>
      <c r="J21" s="123"/>
      <c r="K21" s="123"/>
      <c r="L21" s="123"/>
      <c r="M21" s="123"/>
      <c r="N21" s="123"/>
    </row>
    <row r="22" spans="1:14" x14ac:dyDescent="0.25">
      <c r="A22" s="334"/>
      <c r="B22" s="773">
        <f>+B21/B18</f>
        <v>359.11253896000005</v>
      </c>
      <c r="C22" s="773">
        <f>+C21/C18</f>
        <v>34.837943980000055</v>
      </c>
    </row>
  </sheetData>
  <hyperlinks>
    <hyperlink ref="E1" location="ER!A1" display="ER"/>
  </hyperlinks>
  <pageMargins left="0.7" right="0.7" top="0.75" bottom="0.75" header="0.3" footer="0.3"/>
  <pageSetup paperSize="9" orientation="portrait" verticalDpi="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N60"/>
  <sheetViews>
    <sheetView showGridLines="0" workbookViewId="0">
      <selection activeCell="A8" sqref="A8"/>
    </sheetView>
  </sheetViews>
  <sheetFormatPr baseColWidth="10" defaultRowHeight="15" x14ac:dyDescent="0.25"/>
  <cols>
    <col min="1" max="3" width="24.42578125" style="123" customWidth="1"/>
    <col min="4" max="4" width="27.140625" style="123" customWidth="1"/>
    <col min="5" max="5" width="24.42578125" style="123" customWidth="1"/>
    <col min="6" max="6" width="12.85546875" style="123" customWidth="1"/>
    <col min="7" max="7" width="11.42578125" style="123" customWidth="1"/>
    <col min="8" max="8" width="17.28515625" style="123" customWidth="1"/>
    <col min="9" max="14" width="11.42578125" style="123" customWidth="1"/>
  </cols>
  <sheetData>
    <row r="1" spans="1:14" x14ac:dyDescent="0.25">
      <c r="A1" s="123" t="str">
        <f>Indice!C1</f>
        <v>NEGOFIN S.A.E.C.A.</v>
      </c>
      <c r="E1" s="144" t="s">
        <v>388</v>
      </c>
    </row>
    <row r="2" spans="1:14" x14ac:dyDescent="0.25">
      <c r="C2" s="131"/>
    </row>
    <row r="4" spans="1:14" s="49" customFormat="1" x14ac:dyDescent="0.25">
      <c r="A4" s="859" t="s">
        <v>387</v>
      </c>
      <c r="B4" s="859"/>
      <c r="C4" s="859"/>
      <c r="D4" s="859"/>
      <c r="E4" s="859"/>
      <c r="F4" s="280"/>
      <c r="G4" s="280"/>
      <c r="H4" s="280"/>
      <c r="I4" s="280"/>
    </row>
    <row r="6" spans="1:14" s="177" customFormat="1" x14ac:dyDescent="0.25">
      <c r="A6" s="881" t="s">
        <v>185</v>
      </c>
      <c r="B6" s="881"/>
      <c r="C6" s="881"/>
      <c r="D6" s="881"/>
      <c r="E6" s="881"/>
      <c r="F6" s="881"/>
      <c r="G6" s="881"/>
      <c r="H6" s="881"/>
      <c r="I6" s="881"/>
      <c r="J6" s="176"/>
      <c r="K6" s="176"/>
      <c r="L6" s="176"/>
      <c r="M6" s="176"/>
      <c r="N6" s="176"/>
    </row>
    <row r="7" spans="1:14" s="177" customFormat="1" x14ac:dyDescent="0.25">
      <c r="A7" s="176" t="s">
        <v>1231</v>
      </c>
      <c r="B7" s="176"/>
      <c r="C7" s="176"/>
      <c r="D7" s="176"/>
      <c r="E7" s="176"/>
      <c r="F7" s="176"/>
      <c r="G7" s="176"/>
      <c r="H7" s="176"/>
      <c r="I7" s="176"/>
      <c r="J7" s="176"/>
      <c r="K7" s="176"/>
      <c r="L7" s="176"/>
      <c r="M7" s="176"/>
      <c r="N7" s="176"/>
    </row>
    <row r="8" spans="1:14" s="177" customFormat="1" ht="15.75" thickBot="1" x14ac:dyDescent="0.3">
      <c r="A8" s="425" t="str">
        <f>IFERROR("Al "&amp;DAY(Indice!B6)&amp;" de "&amp;VLOOKUP(MONTH(Indice!B6),Indice!S:T,2,0)&amp;" de "&amp;YEAR(Indice!B6-365),"Al dia... de mes… de año 2XX1…")</f>
        <v>Al 30 de Junio de 2020</v>
      </c>
      <c r="B8" s="425"/>
      <c r="C8" s="425"/>
      <c r="D8" s="425"/>
      <c r="E8" s="425"/>
      <c r="F8" s="425"/>
      <c r="G8" s="425"/>
      <c r="H8" s="176"/>
      <c r="I8" s="176"/>
      <c r="J8" s="176"/>
      <c r="K8" s="176"/>
      <c r="L8" s="176"/>
      <c r="M8" s="176"/>
      <c r="N8" s="176"/>
    </row>
    <row r="9" spans="1:14" s="177" customFormat="1" ht="15.75" thickBot="1" x14ac:dyDescent="0.3">
      <c r="A9" s="178" t="s">
        <v>186</v>
      </c>
      <c r="B9" s="179" t="s">
        <v>187</v>
      </c>
      <c r="C9" s="178" t="s">
        <v>118</v>
      </c>
      <c r="D9" s="178" t="s">
        <v>188</v>
      </c>
      <c r="E9" s="178" t="s">
        <v>189</v>
      </c>
      <c r="F9" s="176"/>
      <c r="G9" s="176"/>
      <c r="H9" s="176"/>
      <c r="I9" s="176"/>
      <c r="J9" s="176"/>
      <c r="K9" s="176"/>
      <c r="L9" s="176"/>
      <c r="M9" s="176"/>
      <c r="N9" s="176"/>
    </row>
    <row r="10" spans="1:14" s="177" customFormat="1" x14ac:dyDescent="0.25">
      <c r="A10" s="180"/>
      <c r="B10" s="181"/>
      <c r="C10" s="182"/>
      <c r="D10" s="182"/>
      <c r="E10" s="183"/>
      <c r="F10" s="176"/>
      <c r="G10" s="176"/>
      <c r="H10" s="176"/>
      <c r="I10" s="176"/>
      <c r="J10" s="176"/>
      <c r="K10" s="176"/>
      <c r="L10" s="176"/>
      <c r="M10" s="176"/>
      <c r="N10" s="176"/>
    </row>
    <row r="11" spans="1:14" s="177" customFormat="1" ht="15" customHeight="1" x14ac:dyDescent="0.25">
      <c r="A11" s="184"/>
      <c r="B11" s="185"/>
      <c r="C11" s="186"/>
      <c r="D11" s="186"/>
      <c r="E11" s="187"/>
      <c r="F11" s="176"/>
      <c r="G11" s="176"/>
      <c r="H11" s="176"/>
      <c r="I11" s="176"/>
      <c r="J11" s="176"/>
      <c r="K11" s="176"/>
      <c r="L11" s="176"/>
      <c r="M11" s="176"/>
      <c r="N11" s="176"/>
    </row>
    <row r="12" spans="1:14" s="177" customFormat="1" x14ac:dyDescent="0.25">
      <c r="A12" s="184"/>
      <c r="B12" s="185"/>
      <c r="C12" s="186"/>
      <c r="D12" s="186"/>
      <c r="E12" s="187"/>
      <c r="F12" s="176"/>
      <c r="G12" s="176"/>
      <c r="H12" s="176"/>
      <c r="I12" s="176"/>
      <c r="J12" s="176"/>
      <c r="K12" s="176"/>
      <c r="L12" s="176"/>
      <c r="M12" s="176"/>
      <c r="N12" s="176"/>
    </row>
    <row r="13" spans="1:14" s="177" customFormat="1" ht="15.75" thickBot="1" x14ac:dyDescent="0.3">
      <c r="A13" s="188"/>
      <c r="B13" s="189"/>
      <c r="C13" s="190"/>
      <c r="D13" s="190"/>
      <c r="E13" s="191"/>
      <c r="F13" s="176"/>
      <c r="G13" s="176"/>
      <c r="H13" s="176"/>
      <c r="I13" s="176"/>
      <c r="J13" s="176"/>
      <c r="K13" s="176"/>
      <c r="L13" s="176"/>
      <c r="M13" s="176"/>
      <c r="N13" s="176"/>
    </row>
    <row r="14" spans="1:14" s="177" customFormat="1" x14ac:dyDescent="0.25">
      <c r="A14" s="176"/>
      <c r="B14" s="176"/>
      <c r="C14" s="176"/>
      <c r="D14" s="176"/>
      <c r="E14" s="176"/>
      <c r="F14" s="176"/>
      <c r="G14" s="176"/>
      <c r="H14" s="176"/>
      <c r="I14" s="176"/>
      <c r="J14" s="176"/>
      <c r="K14" s="176"/>
      <c r="L14" s="176"/>
      <c r="M14" s="176"/>
      <c r="N14" s="176"/>
    </row>
    <row r="15" spans="1:14" s="177" customFormat="1" ht="15.75" thickBot="1" x14ac:dyDescent="0.3">
      <c r="A15" s="425" t="str">
        <f>IFERROR("Al "&amp;DAY(Indice!B6)&amp;" de "&amp;VLOOKUP(MONTH(Indice!B6),Indice!S:T,2,0)&amp;" de "&amp;YEAR(Indice!B6-1),"Al dia... de mes… de año 2XX2…")</f>
        <v>Al 30 de Junio de 2021</v>
      </c>
      <c r="B15" s="424"/>
      <c r="C15" s="424"/>
      <c r="D15" s="424"/>
      <c r="E15" s="424"/>
      <c r="F15" s="176"/>
      <c r="G15" s="176"/>
      <c r="H15" s="176"/>
      <c r="I15" s="176"/>
      <c r="J15" s="176"/>
      <c r="K15" s="176"/>
      <c r="L15" s="176"/>
      <c r="M15" s="176"/>
      <c r="N15" s="176"/>
    </row>
    <row r="16" spans="1:14" s="177" customFormat="1" ht="30.2" customHeight="1" thickBot="1" x14ac:dyDescent="0.3">
      <c r="A16" s="178" t="s">
        <v>186</v>
      </c>
      <c r="B16" s="179" t="s">
        <v>187</v>
      </c>
      <c r="C16" s="178" t="s">
        <v>118</v>
      </c>
      <c r="D16" s="178" t="s">
        <v>188</v>
      </c>
      <c r="E16" s="178" t="s">
        <v>189</v>
      </c>
      <c r="F16" s="176"/>
      <c r="G16" s="176"/>
      <c r="H16" s="176"/>
      <c r="I16" s="176"/>
      <c r="J16" s="176"/>
      <c r="K16" s="176"/>
      <c r="L16" s="176"/>
      <c r="M16" s="176"/>
      <c r="N16" s="176"/>
    </row>
    <row r="17" spans="1:14" s="177" customFormat="1" x14ac:dyDescent="0.25">
      <c r="A17" s="180"/>
      <c r="B17" s="181"/>
      <c r="C17" s="182"/>
      <c r="D17" s="182"/>
      <c r="E17" s="183"/>
      <c r="F17" s="176"/>
      <c r="G17" s="176"/>
      <c r="H17" s="176"/>
      <c r="I17" s="176"/>
      <c r="J17" s="176"/>
      <c r="K17" s="176"/>
      <c r="L17" s="176"/>
      <c r="M17" s="176"/>
      <c r="N17" s="176"/>
    </row>
    <row r="18" spans="1:14" s="177" customFormat="1" x14ac:dyDescent="0.25">
      <c r="A18" s="184"/>
      <c r="B18" s="185"/>
      <c r="C18" s="186"/>
      <c r="D18" s="186"/>
      <c r="E18" s="187"/>
      <c r="F18" s="176"/>
      <c r="G18" s="176"/>
      <c r="H18" s="176"/>
      <c r="I18" s="176"/>
      <c r="J18" s="176"/>
      <c r="K18" s="176"/>
      <c r="L18" s="176"/>
      <c r="M18" s="176"/>
      <c r="N18" s="176"/>
    </row>
    <row r="19" spans="1:14" s="177" customFormat="1" x14ac:dyDescent="0.25">
      <c r="A19" s="184"/>
      <c r="B19" s="185"/>
      <c r="C19" s="186"/>
      <c r="D19" s="186"/>
      <c r="E19" s="187"/>
      <c r="F19" s="176"/>
      <c r="G19" s="176"/>
      <c r="H19" s="176"/>
      <c r="I19" s="176"/>
      <c r="J19" s="176"/>
      <c r="K19" s="176"/>
      <c r="L19" s="176"/>
      <c r="M19" s="176"/>
      <c r="N19" s="176"/>
    </row>
    <row r="20" spans="1:14" s="177" customFormat="1" ht="15.75" thickBot="1" x14ac:dyDescent="0.3">
      <c r="A20" s="188"/>
      <c r="B20" s="189"/>
      <c r="C20" s="190"/>
      <c r="D20" s="190"/>
      <c r="E20" s="191"/>
      <c r="F20" s="176"/>
      <c r="G20" s="176"/>
      <c r="H20" s="176"/>
      <c r="I20" s="176"/>
      <c r="J20" s="176"/>
      <c r="K20" s="176"/>
      <c r="L20" s="176"/>
      <c r="M20" s="176"/>
      <c r="N20" s="176"/>
    </row>
    <row r="21" spans="1:14" s="177" customFormat="1" x14ac:dyDescent="0.25">
      <c r="A21" s="176"/>
      <c r="B21" s="176"/>
      <c r="C21" s="176"/>
      <c r="D21" s="176"/>
      <c r="E21" s="176"/>
      <c r="F21" s="176"/>
      <c r="G21" s="176"/>
      <c r="H21" s="176"/>
      <c r="I21" s="176"/>
      <c r="J21" s="176"/>
      <c r="K21" s="176"/>
      <c r="L21" s="176"/>
      <c r="M21" s="176"/>
      <c r="N21" s="176"/>
    </row>
    <row r="22" spans="1:14" s="177" customFormat="1" x14ac:dyDescent="0.25">
      <c r="A22" s="176"/>
      <c r="B22" s="176"/>
      <c r="C22" s="176"/>
      <c r="D22" s="176"/>
      <c r="E22" s="176"/>
      <c r="F22" s="176"/>
      <c r="G22" s="176"/>
      <c r="H22" s="176"/>
      <c r="I22" s="176"/>
      <c r="J22" s="176"/>
      <c r="K22" s="176"/>
      <c r="L22" s="176"/>
      <c r="M22" s="176"/>
      <c r="N22" s="176"/>
    </row>
    <row r="23" spans="1:14" s="177" customFormat="1" x14ac:dyDescent="0.25">
      <c r="A23" s="176"/>
      <c r="B23" s="176"/>
      <c r="C23" s="176"/>
      <c r="D23" s="176"/>
      <c r="E23" s="176"/>
      <c r="F23" s="176"/>
      <c r="G23" s="176"/>
      <c r="H23" s="176"/>
      <c r="I23" s="176"/>
      <c r="J23" s="176"/>
      <c r="K23" s="176"/>
      <c r="L23" s="176"/>
      <c r="M23" s="176"/>
      <c r="N23" s="176"/>
    </row>
    <row r="24" spans="1:14" s="177" customFormat="1" x14ac:dyDescent="0.25">
      <c r="A24" s="176"/>
      <c r="B24" s="176"/>
      <c r="C24" s="176"/>
      <c r="D24" s="176"/>
      <c r="E24" s="176"/>
      <c r="F24" s="176"/>
      <c r="G24" s="176"/>
      <c r="H24" s="176"/>
      <c r="I24" s="176"/>
      <c r="J24" s="176"/>
      <c r="K24" s="176"/>
      <c r="L24" s="176"/>
      <c r="M24" s="176"/>
      <c r="N24" s="176"/>
    </row>
    <row r="25" spans="1:14" s="177" customFormat="1" x14ac:dyDescent="0.25">
      <c r="A25" s="176"/>
      <c r="B25" s="176"/>
      <c r="C25" s="176"/>
      <c r="D25" s="176"/>
      <c r="E25" s="176"/>
      <c r="F25" s="176"/>
      <c r="G25" s="176"/>
      <c r="H25" s="176"/>
      <c r="I25" s="176"/>
      <c r="J25" s="176"/>
      <c r="K25" s="176"/>
      <c r="L25" s="176"/>
      <c r="M25" s="176"/>
      <c r="N25" s="176"/>
    </row>
    <row r="26" spans="1:14" s="177" customFormat="1" x14ac:dyDescent="0.25">
      <c r="A26" s="176"/>
      <c r="B26" s="176"/>
      <c r="C26" s="176"/>
      <c r="D26" s="176"/>
      <c r="E26" s="176"/>
      <c r="F26" s="176"/>
      <c r="G26" s="176"/>
      <c r="H26" s="176"/>
      <c r="I26" s="176"/>
      <c r="J26" s="176"/>
      <c r="K26" s="176"/>
      <c r="L26" s="176"/>
      <c r="M26" s="176"/>
      <c r="N26" s="176"/>
    </row>
    <row r="27" spans="1:14" s="177" customFormat="1" x14ac:dyDescent="0.25">
      <c r="A27" s="176"/>
      <c r="B27" s="176"/>
      <c r="C27" s="176"/>
      <c r="D27" s="176"/>
      <c r="E27" s="176"/>
      <c r="F27" s="176"/>
      <c r="G27" s="176"/>
      <c r="H27" s="176"/>
      <c r="I27" s="176"/>
      <c r="J27" s="176"/>
      <c r="K27" s="176"/>
      <c r="L27" s="176"/>
      <c r="M27" s="176"/>
      <c r="N27" s="176"/>
    </row>
    <row r="28" spans="1:14" s="177" customFormat="1" x14ac:dyDescent="0.25">
      <c r="A28" s="176"/>
      <c r="B28" s="176"/>
      <c r="C28" s="176"/>
      <c r="D28" s="176"/>
      <c r="E28" s="176"/>
      <c r="F28" s="176"/>
      <c r="G28" s="176"/>
      <c r="H28" s="176"/>
      <c r="I28" s="176"/>
      <c r="J28" s="176"/>
      <c r="K28" s="176"/>
      <c r="L28" s="176"/>
      <c r="M28" s="176"/>
      <c r="N28" s="176"/>
    </row>
    <row r="29" spans="1:14" s="177" customFormat="1" x14ac:dyDescent="0.25">
      <c r="A29" s="176"/>
      <c r="B29" s="176"/>
      <c r="C29" s="176"/>
      <c r="D29" s="176"/>
      <c r="E29" s="176"/>
      <c r="F29" s="176"/>
      <c r="G29" s="176"/>
      <c r="H29" s="176"/>
      <c r="I29" s="176"/>
      <c r="J29" s="176"/>
      <c r="K29" s="176"/>
      <c r="L29" s="176"/>
      <c r="M29" s="176"/>
      <c r="N29" s="176"/>
    </row>
    <row r="30" spans="1:14" s="177" customFormat="1" x14ac:dyDescent="0.25">
      <c r="A30" s="176"/>
      <c r="B30" s="176"/>
      <c r="C30" s="176"/>
      <c r="D30" s="176"/>
      <c r="E30" s="176"/>
      <c r="F30" s="176"/>
      <c r="G30" s="176"/>
      <c r="H30" s="176"/>
      <c r="I30" s="176"/>
      <c r="J30" s="176"/>
      <c r="K30" s="176"/>
      <c r="L30" s="176"/>
      <c r="M30" s="176"/>
      <c r="N30" s="176"/>
    </row>
    <row r="31" spans="1:14" s="177" customFormat="1" x14ac:dyDescent="0.25">
      <c r="A31" s="176"/>
      <c r="B31" s="176"/>
      <c r="C31" s="176"/>
      <c r="D31" s="176"/>
      <c r="E31" s="176"/>
      <c r="F31" s="176"/>
      <c r="G31" s="176"/>
      <c r="H31" s="176"/>
      <c r="I31" s="176"/>
      <c r="J31" s="176"/>
      <c r="K31" s="176"/>
      <c r="L31" s="176"/>
      <c r="M31" s="176"/>
      <c r="N31" s="176"/>
    </row>
    <row r="32" spans="1:14" s="177" customFormat="1" x14ac:dyDescent="0.25">
      <c r="A32" s="176"/>
      <c r="B32" s="176"/>
      <c r="C32" s="176"/>
      <c r="D32" s="176"/>
      <c r="E32" s="176"/>
      <c r="F32" s="176"/>
      <c r="G32" s="176"/>
      <c r="H32" s="176"/>
      <c r="I32" s="176"/>
      <c r="J32" s="176"/>
      <c r="K32" s="176"/>
      <c r="L32" s="176"/>
      <c r="M32" s="176"/>
      <c r="N32" s="176"/>
    </row>
    <row r="33" spans="1:14" s="177" customFormat="1" x14ac:dyDescent="0.25">
      <c r="A33" s="176"/>
      <c r="B33" s="176"/>
      <c r="C33" s="176"/>
      <c r="D33" s="176"/>
      <c r="E33" s="176"/>
      <c r="F33" s="176"/>
      <c r="G33" s="176"/>
      <c r="H33" s="176"/>
      <c r="I33" s="176"/>
      <c r="J33" s="176"/>
      <c r="K33" s="176"/>
      <c r="L33" s="176"/>
      <c r="M33" s="176"/>
      <c r="N33" s="176"/>
    </row>
    <row r="34" spans="1:14" s="177" customFormat="1" x14ac:dyDescent="0.25">
      <c r="A34" s="176"/>
      <c r="B34" s="176"/>
      <c r="C34" s="176"/>
      <c r="D34" s="176"/>
      <c r="E34" s="176"/>
      <c r="F34" s="176"/>
      <c r="G34" s="176"/>
      <c r="H34" s="176"/>
      <c r="I34" s="176"/>
      <c r="J34" s="176"/>
      <c r="K34" s="176"/>
      <c r="L34" s="176"/>
      <c r="M34" s="176"/>
      <c r="N34" s="176"/>
    </row>
    <row r="35" spans="1:14" s="177" customFormat="1" x14ac:dyDescent="0.25">
      <c r="A35" s="176"/>
      <c r="B35" s="176"/>
      <c r="C35" s="176"/>
      <c r="D35" s="176"/>
      <c r="E35" s="176"/>
      <c r="F35" s="176"/>
      <c r="G35" s="176"/>
      <c r="H35" s="176"/>
      <c r="I35" s="176"/>
      <c r="J35" s="176"/>
      <c r="K35" s="176"/>
      <c r="L35" s="176"/>
      <c r="M35" s="176"/>
      <c r="N35" s="176"/>
    </row>
    <row r="36" spans="1:14" s="177" customFormat="1" x14ac:dyDescent="0.25">
      <c r="A36" s="176"/>
      <c r="B36" s="176"/>
      <c r="C36" s="176"/>
      <c r="D36" s="176"/>
      <c r="E36" s="176"/>
      <c r="F36" s="176"/>
      <c r="G36" s="176"/>
      <c r="H36" s="176"/>
      <c r="I36" s="176"/>
      <c r="J36" s="176"/>
      <c r="K36" s="176"/>
      <c r="L36" s="176"/>
      <c r="M36" s="176"/>
      <c r="N36" s="176"/>
    </row>
    <row r="37" spans="1:14" s="177" customFormat="1" x14ac:dyDescent="0.25">
      <c r="A37" s="176"/>
      <c r="B37" s="176"/>
      <c r="C37" s="176"/>
      <c r="D37" s="176"/>
      <c r="E37" s="176"/>
      <c r="F37" s="176"/>
      <c r="G37" s="176"/>
      <c r="H37" s="176"/>
      <c r="I37" s="176"/>
      <c r="J37" s="176"/>
      <c r="K37" s="176"/>
      <c r="L37" s="176"/>
      <c r="M37" s="176"/>
      <c r="N37" s="176"/>
    </row>
    <row r="38" spans="1:14" s="177" customFormat="1" x14ac:dyDescent="0.25">
      <c r="A38" s="176"/>
      <c r="B38" s="176"/>
      <c r="C38" s="176"/>
      <c r="D38" s="176"/>
      <c r="E38" s="176"/>
      <c r="F38" s="176"/>
      <c r="G38" s="176"/>
      <c r="H38" s="176"/>
      <c r="I38" s="176"/>
      <c r="J38" s="176"/>
      <c r="K38" s="176"/>
      <c r="L38" s="176"/>
      <c r="M38" s="176"/>
      <c r="N38" s="176"/>
    </row>
    <row r="39" spans="1:14" s="177" customFormat="1" x14ac:dyDescent="0.25">
      <c r="A39" s="176"/>
      <c r="B39" s="176"/>
      <c r="C39" s="176"/>
      <c r="D39" s="176"/>
      <c r="E39" s="176"/>
      <c r="F39" s="176"/>
      <c r="G39" s="176"/>
      <c r="H39" s="176"/>
      <c r="I39" s="176"/>
      <c r="J39" s="176"/>
      <c r="K39" s="176"/>
      <c r="L39" s="176"/>
      <c r="M39" s="176"/>
      <c r="N39" s="176"/>
    </row>
    <row r="40" spans="1:14" s="177" customFormat="1" x14ac:dyDescent="0.25">
      <c r="A40" s="176"/>
      <c r="B40" s="176"/>
      <c r="C40" s="176"/>
      <c r="D40" s="176"/>
      <c r="E40" s="176"/>
      <c r="F40" s="176"/>
      <c r="G40" s="176"/>
      <c r="H40" s="176"/>
      <c r="I40" s="176"/>
      <c r="J40" s="176"/>
      <c r="K40" s="176"/>
      <c r="L40" s="176"/>
      <c r="M40" s="176"/>
      <c r="N40" s="176"/>
    </row>
    <row r="41" spans="1:14" s="177" customFormat="1" x14ac:dyDescent="0.25">
      <c r="A41" s="176"/>
      <c r="B41" s="176"/>
      <c r="C41" s="176"/>
      <c r="D41" s="176"/>
      <c r="E41" s="176"/>
      <c r="F41" s="176"/>
      <c r="G41" s="176"/>
      <c r="H41" s="176"/>
      <c r="I41" s="176"/>
      <c r="J41" s="176"/>
      <c r="K41" s="176"/>
      <c r="L41" s="176"/>
      <c r="M41" s="176"/>
      <c r="N41" s="176"/>
    </row>
    <row r="42" spans="1:14" s="177" customFormat="1" x14ac:dyDescent="0.25">
      <c r="A42" s="176"/>
      <c r="B42" s="176"/>
      <c r="C42" s="176"/>
      <c r="D42" s="176"/>
      <c r="E42" s="176"/>
      <c r="F42" s="176"/>
      <c r="G42" s="176"/>
      <c r="H42" s="176"/>
      <c r="I42" s="176"/>
      <c r="J42" s="176"/>
      <c r="K42" s="176"/>
      <c r="L42" s="176"/>
      <c r="M42" s="176"/>
      <c r="N42" s="176"/>
    </row>
    <row r="43" spans="1:14" s="177" customFormat="1" x14ac:dyDescent="0.25">
      <c r="A43" s="176"/>
      <c r="B43" s="176"/>
      <c r="C43" s="176"/>
      <c r="D43" s="176"/>
      <c r="E43" s="176"/>
      <c r="F43" s="176"/>
      <c r="G43" s="176"/>
      <c r="H43" s="176"/>
      <c r="I43" s="176"/>
      <c r="J43" s="176"/>
      <c r="K43" s="176"/>
      <c r="L43" s="176"/>
      <c r="M43" s="176"/>
      <c r="N43" s="176"/>
    </row>
    <row r="44" spans="1:14" s="177" customFormat="1" x14ac:dyDescent="0.25">
      <c r="A44" s="176"/>
      <c r="B44" s="176"/>
      <c r="C44" s="176"/>
      <c r="D44" s="176"/>
      <c r="E44" s="176"/>
      <c r="F44" s="176"/>
      <c r="G44" s="176"/>
      <c r="H44" s="176"/>
      <c r="I44" s="176"/>
      <c r="J44" s="176"/>
      <c r="K44" s="176"/>
      <c r="L44" s="176"/>
      <c r="M44" s="176"/>
      <c r="N44" s="176"/>
    </row>
    <row r="45" spans="1:14" s="177" customFormat="1" x14ac:dyDescent="0.25">
      <c r="A45" s="176"/>
      <c r="B45" s="176"/>
      <c r="C45" s="176"/>
      <c r="D45" s="176"/>
      <c r="E45" s="176"/>
      <c r="F45" s="176"/>
      <c r="G45" s="176"/>
      <c r="H45" s="176"/>
      <c r="I45" s="176"/>
      <c r="J45" s="176"/>
      <c r="K45" s="176"/>
      <c r="L45" s="176"/>
      <c r="M45" s="176"/>
      <c r="N45" s="176"/>
    </row>
    <row r="46" spans="1:14" s="177" customFormat="1" x14ac:dyDescent="0.25">
      <c r="A46" s="176"/>
      <c r="B46" s="176"/>
      <c r="C46" s="176"/>
      <c r="D46" s="176"/>
      <c r="E46" s="176"/>
      <c r="F46" s="176"/>
      <c r="G46" s="176"/>
      <c r="H46" s="176"/>
      <c r="I46" s="176"/>
      <c r="J46" s="176"/>
      <c r="K46" s="176"/>
      <c r="L46" s="176"/>
      <c r="M46" s="176"/>
      <c r="N46" s="176"/>
    </row>
    <row r="47" spans="1:14" s="177" customFormat="1" x14ac:dyDescent="0.25">
      <c r="A47" s="176"/>
      <c r="B47" s="176"/>
      <c r="C47" s="176"/>
      <c r="D47" s="176"/>
      <c r="E47" s="176"/>
      <c r="F47" s="176"/>
      <c r="G47" s="176"/>
      <c r="H47" s="176"/>
      <c r="I47" s="176"/>
      <c r="J47" s="176"/>
      <c r="K47" s="176"/>
      <c r="L47" s="176"/>
      <c r="M47" s="176"/>
      <c r="N47" s="176"/>
    </row>
    <row r="48" spans="1:14" s="177" customFormat="1" x14ac:dyDescent="0.25">
      <c r="A48" s="176"/>
      <c r="B48" s="176"/>
      <c r="C48" s="176"/>
      <c r="D48" s="176"/>
      <c r="E48" s="176"/>
      <c r="F48" s="176"/>
      <c r="G48" s="176"/>
      <c r="H48" s="176"/>
      <c r="I48" s="176"/>
      <c r="J48" s="176"/>
      <c r="K48" s="176"/>
      <c r="L48" s="176"/>
      <c r="M48" s="176"/>
      <c r="N48" s="176"/>
    </row>
    <row r="49" spans="1:14" s="177" customFormat="1" x14ac:dyDescent="0.25">
      <c r="A49" s="176"/>
      <c r="B49" s="176"/>
      <c r="C49" s="176"/>
      <c r="D49" s="176"/>
      <c r="E49" s="176"/>
      <c r="F49" s="176"/>
      <c r="G49" s="176"/>
      <c r="H49" s="176"/>
      <c r="I49" s="176"/>
      <c r="J49" s="176"/>
      <c r="K49" s="176"/>
      <c r="L49" s="176"/>
      <c r="M49" s="176"/>
      <c r="N49" s="176"/>
    </row>
    <row r="50" spans="1:14" s="177" customFormat="1" x14ac:dyDescent="0.25">
      <c r="A50" s="176"/>
      <c r="B50" s="176"/>
      <c r="C50" s="176"/>
      <c r="D50" s="176"/>
      <c r="E50" s="176"/>
      <c r="F50" s="176"/>
      <c r="G50" s="176"/>
      <c r="H50" s="176"/>
      <c r="I50" s="176"/>
      <c r="J50" s="176"/>
      <c r="K50" s="176"/>
      <c r="L50" s="176"/>
      <c r="M50" s="176"/>
      <c r="N50" s="176"/>
    </row>
    <row r="51" spans="1:14" s="177" customFormat="1" x14ac:dyDescent="0.25">
      <c r="A51" s="176"/>
      <c r="B51" s="176"/>
      <c r="C51" s="176"/>
      <c r="D51" s="176"/>
      <c r="E51" s="176"/>
      <c r="F51" s="176"/>
      <c r="G51" s="176"/>
      <c r="H51" s="176"/>
      <c r="I51" s="176"/>
      <c r="J51" s="176"/>
      <c r="K51" s="176"/>
      <c r="L51" s="176"/>
      <c r="M51" s="176"/>
      <c r="N51" s="176"/>
    </row>
    <row r="52" spans="1:14" s="177" customFormat="1" x14ac:dyDescent="0.25">
      <c r="A52" s="176"/>
      <c r="B52" s="176"/>
      <c r="C52" s="176"/>
      <c r="D52" s="176"/>
      <c r="E52" s="176"/>
      <c r="F52" s="176"/>
      <c r="G52" s="176"/>
      <c r="H52" s="176"/>
      <c r="I52" s="176"/>
      <c r="J52" s="176"/>
      <c r="K52" s="176"/>
      <c r="L52" s="176"/>
      <c r="M52" s="176"/>
      <c r="N52" s="176"/>
    </row>
    <row r="53" spans="1:14" s="177" customFormat="1" x14ac:dyDescent="0.25">
      <c r="A53" s="176"/>
      <c r="B53" s="176"/>
      <c r="C53" s="176"/>
      <c r="D53" s="176"/>
      <c r="E53" s="176"/>
      <c r="F53" s="176"/>
      <c r="G53" s="176"/>
      <c r="H53" s="176"/>
      <c r="I53" s="176"/>
      <c r="J53" s="176"/>
      <c r="K53" s="176"/>
      <c r="L53" s="176"/>
      <c r="M53" s="176"/>
      <c r="N53" s="176"/>
    </row>
    <row r="54" spans="1:14" s="177" customFormat="1" x14ac:dyDescent="0.25">
      <c r="A54" s="176"/>
      <c r="B54" s="176"/>
      <c r="C54" s="176"/>
      <c r="D54" s="176"/>
      <c r="E54" s="176"/>
      <c r="F54" s="176"/>
      <c r="G54" s="176"/>
      <c r="H54" s="176"/>
      <c r="I54" s="176"/>
      <c r="J54" s="176"/>
      <c r="K54" s="176"/>
      <c r="L54" s="176"/>
      <c r="M54" s="176"/>
      <c r="N54" s="176"/>
    </row>
    <row r="55" spans="1:14" s="177" customFormat="1" x14ac:dyDescent="0.25">
      <c r="A55" s="176"/>
      <c r="B55" s="176"/>
      <c r="C55" s="176"/>
      <c r="D55" s="176"/>
      <c r="E55" s="176"/>
      <c r="F55" s="176"/>
      <c r="G55" s="176"/>
      <c r="H55" s="176"/>
      <c r="I55" s="176"/>
      <c r="J55" s="176"/>
      <c r="K55" s="176"/>
      <c r="L55" s="176"/>
      <c r="M55" s="176"/>
      <c r="N55" s="176"/>
    </row>
    <row r="56" spans="1:14" s="177" customFormat="1" x14ac:dyDescent="0.25">
      <c r="A56" s="176"/>
      <c r="B56" s="176"/>
      <c r="C56" s="176"/>
      <c r="D56" s="176"/>
      <c r="E56" s="176"/>
      <c r="F56" s="176"/>
      <c r="G56" s="176"/>
      <c r="H56" s="176"/>
      <c r="I56" s="176"/>
      <c r="J56" s="176"/>
      <c r="K56" s="176"/>
      <c r="L56" s="176"/>
      <c r="M56" s="176"/>
      <c r="N56" s="176"/>
    </row>
    <row r="57" spans="1:14" s="177" customFormat="1" x14ac:dyDescent="0.25">
      <c r="A57" s="176"/>
      <c r="B57" s="176"/>
      <c r="C57" s="176"/>
      <c r="D57" s="176"/>
      <c r="E57" s="176"/>
      <c r="F57" s="176"/>
      <c r="G57" s="176"/>
      <c r="H57" s="176"/>
      <c r="I57" s="176"/>
      <c r="J57" s="176"/>
      <c r="K57" s="176"/>
      <c r="L57" s="176"/>
      <c r="M57" s="176"/>
      <c r="N57" s="176"/>
    </row>
    <row r="58" spans="1:14" s="177" customFormat="1" x14ac:dyDescent="0.25">
      <c r="A58" s="176"/>
      <c r="B58" s="176"/>
      <c r="C58" s="176"/>
      <c r="D58" s="176"/>
      <c r="E58" s="176"/>
      <c r="F58" s="176"/>
      <c r="G58" s="176"/>
      <c r="H58" s="176"/>
      <c r="I58" s="176"/>
      <c r="J58" s="176"/>
      <c r="K58" s="176"/>
      <c r="L58" s="176"/>
      <c r="M58" s="176"/>
      <c r="N58" s="176"/>
    </row>
    <row r="59" spans="1:14" s="177" customFormat="1" x14ac:dyDescent="0.25">
      <c r="A59" s="176"/>
      <c r="B59" s="176"/>
      <c r="C59" s="176"/>
      <c r="D59" s="176"/>
      <c r="E59" s="176"/>
      <c r="F59" s="176"/>
      <c r="G59" s="176"/>
      <c r="H59" s="176"/>
      <c r="I59" s="176"/>
      <c r="J59" s="176"/>
      <c r="K59" s="176"/>
      <c r="L59" s="176"/>
      <c r="M59" s="176"/>
      <c r="N59" s="176"/>
    </row>
    <row r="60" spans="1:14" s="177" customFormat="1" x14ac:dyDescent="0.25">
      <c r="A60" s="176"/>
      <c r="B60" s="176"/>
      <c r="C60" s="176"/>
      <c r="D60" s="176"/>
      <c r="E60" s="176"/>
      <c r="F60" s="176"/>
      <c r="G60" s="176"/>
      <c r="H60" s="176"/>
      <c r="I60" s="176"/>
      <c r="J60" s="176"/>
      <c r="K60" s="176"/>
      <c r="L60" s="176"/>
      <c r="M60" s="176"/>
      <c r="N60" s="176"/>
    </row>
  </sheetData>
  <mergeCells count="2">
    <mergeCell ref="A6:I6"/>
    <mergeCell ref="A4:E4"/>
  </mergeCells>
  <hyperlinks>
    <hyperlink ref="E1" location="Indice!A1" display="Indice"/>
  </hyperlinks>
  <pageMargins left="0.7" right="0.7" top="0.75" bottom="0.75" header="0.3" footer="0.3"/>
  <pageSetup paperSize="9" orientation="portrait" verticalDpi="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N15"/>
  <sheetViews>
    <sheetView zoomScaleNormal="100" workbookViewId="0">
      <selection activeCell="A15" sqref="A15:H15"/>
    </sheetView>
  </sheetViews>
  <sheetFormatPr baseColWidth="10" defaultRowHeight="15" x14ac:dyDescent="0.25"/>
  <cols>
    <col min="1" max="5" width="24.42578125" style="123" customWidth="1"/>
    <col min="6" max="6" width="12.85546875" style="123" customWidth="1"/>
    <col min="7" max="7" width="11.42578125" style="123" customWidth="1"/>
    <col min="8" max="8" width="17.28515625" style="123" customWidth="1"/>
    <col min="9" max="14" width="11.42578125" style="123" customWidth="1"/>
  </cols>
  <sheetData>
    <row r="1" spans="1:14" x14ac:dyDescent="0.25">
      <c r="A1" s="123" t="str">
        <f>Indice!C1</f>
        <v>NEGOFIN S.A.E.C.A.</v>
      </c>
      <c r="E1" s="144" t="s">
        <v>388</v>
      </c>
    </row>
    <row r="2" spans="1:14" x14ac:dyDescent="0.25">
      <c r="C2" s="131"/>
    </row>
    <row r="4" spans="1:14" x14ac:dyDescent="0.25">
      <c r="A4" s="279" t="s">
        <v>389</v>
      </c>
      <c r="B4" s="279"/>
      <c r="C4" s="279"/>
      <c r="D4" s="279"/>
      <c r="E4" s="279"/>
      <c r="F4" s="279"/>
      <c r="G4" s="279"/>
      <c r="H4" s="279"/>
      <c r="I4" s="280"/>
    </row>
    <row r="5" spans="1:14" x14ac:dyDescent="0.25">
      <c r="A5" s="874" t="s">
        <v>190</v>
      </c>
      <c r="B5" s="874"/>
      <c r="C5" s="874"/>
      <c r="D5" s="874"/>
      <c r="E5" s="874"/>
      <c r="F5" s="874"/>
      <c r="G5" s="874"/>
      <c r="H5" s="874"/>
      <c r="I5" s="874"/>
    </row>
    <row r="6" spans="1:14" s="177" customFormat="1" ht="15" customHeight="1" x14ac:dyDescent="0.25">
      <c r="A6" s="881" t="str">
        <f>IFERROR("Los principales contratos suscriptos por la Sociedad, vigentes al  "&amp;DAY(Indice!B6)&amp;" de "&amp;VLOOKUP(MONTH(Indice!B6),Indice!S:T,2,0)&amp;" de "&amp;YEAR(Indice!B6-1)&amp;" son:","Los principales contratos suscriptos por la Sociedad, vigentes al … de …  20X2 son:")</f>
        <v>Los principales contratos suscriptos por la Sociedad, vigentes al  30 de Junio de 2021 son:</v>
      </c>
      <c r="B6" s="881"/>
      <c r="C6" s="881"/>
      <c r="D6" s="881"/>
      <c r="E6" s="881"/>
      <c r="F6" s="881"/>
      <c r="G6" s="881"/>
      <c r="H6" s="881"/>
      <c r="I6" s="881"/>
      <c r="J6" s="176"/>
      <c r="K6" s="176"/>
      <c r="L6" s="176"/>
      <c r="M6" s="176"/>
      <c r="N6" s="176"/>
    </row>
    <row r="7" spans="1:14" s="177" customFormat="1" x14ac:dyDescent="0.25">
      <c r="A7" s="176" t="s">
        <v>191</v>
      </c>
      <c r="B7" s="176"/>
      <c r="C7" s="176"/>
      <c r="D7" s="176"/>
      <c r="E7" s="176"/>
      <c r="F7" s="176"/>
      <c r="G7" s="176"/>
      <c r="H7" s="176"/>
      <c r="I7" s="176"/>
      <c r="J7" s="176"/>
      <c r="K7" s="176"/>
      <c r="L7" s="176"/>
      <c r="M7" s="176"/>
      <c r="N7" s="176"/>
    </row>
    <row r="8" spans="1:14" s="176" customFormat="1" x14ac:dyDescent="0.25">
      <c r="A8" s="176" t="s">
        <v>192</v>
      </c>
    </row>
    <row r="9" spans="1:14" s="177" customFormat="1" x14ac:dyDescent="0.25">
      <c r="A9" s="176"/>
      <c r="B9" s="176"/>
      <c r="C9" s="176"/>
      <c r="D9" s="176"/>
      <c r="E9" s="176"/>
      <c r="F9" s="176"/>
      <c r="G9" s="176"/>
      <c r="H9" s="176"/>
      <c r="I9" s="176"/>
      <c r="J9" s="176"/>
      <c r="K9" s="176"/>
      <c r="L9" s="176"/>
      <c r="M9" s="176"/>
      <c r="N9" s="176"/>
    </row>
    <row r="10" spans="1:14" s="177" customFormat="1" x14ac:dyDescent="0.25">
      <c r="B10" s="176"/>
      <c r="C10" s="176"/>
      <c r="D10" s="176"/>
      <c r="E10" s="176"/>
      <c r="F10" s="176"/>
      <c r="G10" s="176"/>
      <c r="H10" s="176"/>
      <c r="I10" s="176"/>
      <c r="J10" s="176"/>
      <c r="K10" s="176"/>
      <c r="L10" s="176"/>
      <c r="M10" s="176"/>
      <c r="N10" s="176"/>
    </row>
    <row r="11" spans="1:14" s="177" customFormat="1" x14ac:dyDescent="0.25">
      <c r="A11" s="883" t="str">
        <f>IFERROR("Al  "&amp;DAY(Indice!B6)&amp;" de "&amp;VLOOKUP(MONTH(Indice!B6),Indice!S:T,2,0)&amp;" de "&amp;YEAR(Indice!B6-1)&amp;"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30 de Junio de 2021 no existen situaciones contingentes, ni reclamos que pudieran resultar en la generación de obligaciones para la Sociedad adicionales a las que se presentan en estos estados financieros.</v>
      </c>
      <c r="B11" s="883"/>
      <c r="C11" s="883"/>
      <c r="D11" s="883"/>
      <c r="E11" s="883"/>
      <c r="F11" s="883"/>
      <c r="G11" s="883"/>
      <c r="H11" s="883"/>
      <c r="I11" s="176"/>
      <c r="J11" s="176"/>
      <c r="K11" s="176"/>
      <c r="L11" s="176"/>
      <c r="M11" s="176"/>
      <c r="N11" s="176"/>
    </row>
    <row r="12" spans="1:14" s="177" customFormat="1" ht="16.5" customHeight="1" x14ac:dyDescent="0.25">
      <c r="A12" s="883"/>
      <c r="B12" s="883"/>
      <c r="C12" s="883"/>
      <c r="D12" s="883"/>
      <c r="E12" s="883"/>
      <c r="F12" s="883"/>
      <c r="G12" s="883"/>
      <c r="H12" s="883"/>
      <c r="I12" s="290"/>
      <c r="J12" s="176"/>
      <c r="K12" s="176"/>
      <c r="L12" s="176"/>
      <c r="M12" s="176"/>
      <c r="N12" s="176"/>
    </row>
    <row r="13" spans="1:14" s="177" customFormat="1" x14ac:dyDescent="0.25">
      <c r="A13" s="176"/>
      <c r="B13" s="176"/>
      <c r="C13" s="176"/>
      <c r="D13" s="176"/>
      <c r="E13" s="176"/>
      <c r="F13" s="176"/>
      <c r="G13" s="176"/>
      <c r="H13" s="176"/>
      <c r="I13" s="176"/>
      <c r="J13" s="176"/>
      <c r="K13" s="176"/>
      <c r="L13" s="176"/>
      <c r="M13" s="176"/>
      <c r="N13" s="176"/>
    </row>
    <row r="14" spans="1:14" s="177" customFormat="1" x14ac:dyDescent="0.25">
      <c r="A14" s="176"/>
      <c r="B14" s="176"/>
      <c r="C14" s="176"/>
      <c r="D14" s="176"/>
      <c r="E14" s="176"/>
      <c r="F14" s="176"/>
      <c r="G14" s="176"/>
      <c r="H14" s="176"/>
      <c r="I14" s="176"/>
      <c r="J14" s="176"/>
      <c r="K14" s="176"/>
      <c r="L14" s="176"/>
      <c r="M14" s="176"/>
      <c r="N14" s="176"/>
    </row>
    <row r="15" spans="1:14" s="177" customFormat="1" ht="21.2" customHeight="1" x14ac:dyDescent="0.25">
      <c r="A15" s="882" t="s">
        <v>412</v>
      </c>
      <c r="B15" s="882"/>
      <c r="C15" s="882"/>
      <c r="D15" s="882"/>
      <c r="E15" s="882"/>
      <c r="F15" s="882"/>
      <c r="G15" s="882"/>
      <c r="H15" s="882"/>
      <c r="I15" s="291"/>
      <c r="J15" s="176"/>
      <c r="K15" s="176"/>
      <c r="L15" s="176"/>
      <c r="M15" s="176"/>
      <c r="N15" s="176"/>
    </row>
  </sheetData>
  <mergeCells count="4">
    <mergeCell ref="A15:H15"/>
    <mergeCell ref="A5:I5"/>
    <mergeCell ref="A6:I6"/>
    <mergeCell ref="A11:H12"/>
  </mergeCells>
  <hyperlinks>
    <hyperlink ref="E1" location="Indice!A1" display="Indice"/>
  </hyperlinks>
  <pageMargins left="0.7" right="0.7" top="0.75" bottom="0.75" header="0.3" footer="0.3"/>
  <pageSetup paperSize="9" orientation="portrait" verticalDpi="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AY25"/>
  <sheetViews>
    <sheetView workbookViewId="0">
      <selection activeCell="H5" sqref="H5"/>
    </sheetView>
  </sheetViews>
  <sheetFormatPr baseColWidth="10" defaultRowHeight="15" x14ac:dyDescent="0.25"/>
  <cols>
    <col min="1" max="1" width="47.85546875" style="123" customWidth="1"/>
    <col min="2" max="2" width="22.5703125" style="123" customWidth="1"/>
    <col min="3" max="3" width="26.140625" style="123" customWidth="1"/>
    <col min="4" max="51" width="11.42578125" style="123" customWidth="1"/>
  </cols>
  <sheetData>
    <row r="1" spans="1:51" x14ac:dyDescent="0.25">
      <c r="A1" s="123" t="str">
        <f>Indice!C1</f>
        <v>NEGOFIN S.A.E.C.A.</v>
      </c>
      <c r="D1" s="144" t="s">
        <v>905</v>
      </c>
    </row>
    <row r="4" spans="1:51" x14ac:dyDescent="0.25">
      <c r="A4" s="884" t="s">
        <v>395</v>
      </c>
      <c r="B4" s="884"/>
      <c r="C4" s="884"/>
      <c r="D4" s="884"/>
      <c r="E4" s="884"/>
      <c r="F4" s="884"/>
      <c r="G4" s="884"/>
    </row>
    <row r="5" spans="1:51" x14ac:dyDescent="0.25">
      <c r="A5" s="277" t="s">
        <v>243</v>
      </c>
    </row>
    <row r="6" spans="1:51" ht="59.25" customHeight="1" x14ac:dyDescent="0.25">
      <c r="A6" s="885" t="s">
        <v>409</v>
      </c>
      <c r="B6" s="885"/>
      <c r="C6" s="885"/>
      <c r="D6" s="885"/>
      <c r="E6" s="885"/>
      <c r="F6" s="885"/>
      <c r="G6" s="885"/>
      <c r="H6" s="288"/>
      <c r="I6" s="288"/>
      <c r="J6" s="288"/>
      <c r="K6" s="288"/>
    </row>
    <row r="7" spans="1:51" ht="55.5" customHeight="1" x14ac:dyDescent="0.25">
      <c r="A7" s="886" t="s">
        <v>396</v>
      </c>
      <c r="B7" s="886"/>
      <c r="C7" s="886"/>
      <c r="D7" s="886"/>
      <c r="E7" s="886"/>
      <c r="F7" s="886"/>
      <c r="G7" s="886"/>
      <c r="H7" s="288"/>
      <c r="I7" s="288"/>
      <c r="J7" s="288"/>
      <c r="K7" s="288"/>
    </row>
    <row r="8" spans="1:51" ht="15.75" x14ac:dyDescent="0.25">
      <c r="A8" s="281"/>
    </row>
    <row r="9" spans="1:51" s="123" customFormat="1" ht="21.75" customHeight="1" x14ac:dyDescent="0.25">
      <c r="A9" s="887" t="s">
        <v>397</v>
      </c>
      <c r="B9" s="887"/>
      <c r="C9" s="887"/>
      <c r="D9" s="887"/>
      <c r="E9" s="887"/>
      <c r="F9" s="887"/>
      <c r="G9" s="887"/>
      <c r="H9" s="289"/>
      <c r="I9" s="289"/>
      <c r="J9" s="289"/>
      <c r="K9" s="289"/>
    </row>
    <row r="11" spans="1:51" s="341" customFormat="1" ht="15" customHeight="1" x14ac:dyDescent="0.25">
      <c r="A11" s="344"/>
      <c r="B11" s="396">
        <f>IFERROR(IF(Indice!B6="","2XX2",YEAR(Indice!B6)),"2XX2")</f>
        <v>2021</v>
      </c>
      <c r="C11" s="396">
        <f>+IFERROR(YEAR(Indice!B6-365),"2XX1")</f>
        <v>2020</v>
      </c>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row>
    <row r="12" spans="1:51" ht="15.75" x14ac:dyDescent="0.25">
      <c r="A12" s="282" t="s">
        <v>398</v>
      </c>
      <c r="B12" s="283"/>
      <c r="C12" s="283"/>
    </row>
    <row r="13" spans="1:51" ht="15.75" x14ac:dyDescent="0.25">
      <c r="A13" s="282" t="s">
        <v>399</v>
      </c>
      <c r="B13" s="283"/>
      <c r="C13" s="283"/>
    </row>
    <row r="14" spans="1:51" ht="15.75" x14ac:dyDescent="0.25">
      <c r="A14" s="282" t="s">
        <v>126</v>
      </c>
      <c r="B14" s="283"/>
      <c r="C14" s="283"/>
    </row>
    <row r="15" spans="1:51" ht="15.75" x14ac:dyDescent="0.25">
      <c r="A15" s="282" t="s">
        <v>400</v>
      </c>
      <c r="B15" s="283"/>
      <c r="C15" s="283"/>
    </row>
    <row r="16" spans="1:51" ht="15.75" x14ac:dyDescent="0.25">
      <c r="A16" s="282" t="s">
        <v>401</v>
      </c>
      <c r="B16" s="284"/>
      <c r="C16" s="283"/>
    </row>
    <row r="17" spans="1:3" ht="15.75" x14ac:dyDescent="0.25">
      <c r="A17" s="282" t="s">
        <v>125</v>
      </c>
      <c r="B17" s="284"/>
      <c r="C17" s="283"/>
    </row>
    <row r="18" spans="1:3" ht="15.75" x14ac:dyDescent="0.25">
      <c r="A18" s="282" t="s">
        <v>402</v>
      </c>
      <c r="B18" s="284"/>
      <c r="C18" s="283"/>
    </row>
    <row r="19" spans="1:3" ht="15.75" x14ac:dyDescent="0.25">
      <c r="A19" s="282" t="s">
        <v>403</v>
      </c>
      <c r="B19" s="284"/>
      <c r="C19" s="283"/>
    </row>
    <row r="20" spans="1:3" ht="15.75" x14ac:dyDescent="0.25">
      <c r="A20" s="282" t="s">
        <v>404</v>
      </c>
      <c r="B20" s="284"/>
      <c r="C20" s="283"/>
    </row>
    <row r="21" spans="1:3" ht="15.75" x14ac:dyDescent="0.25">
      <c r="A21" s="282" t="s">
        <v>405</v>
      </c>
      <c r="B21" s="284"/>
      <c r="C21" s="283"/>
    </row>
    <row r="22" spans="1:3" ht="15.75" x14ac:dyDescent="0.25">
      <c r="A22" s="282" t="s">
        <v>406</v>
      </c>
      <c r="B22" s="284"/>
      <c r="C22" s="283"/>
    </row>
    <row r="23" spans="1:3" ht="31.5" x14ac:dyDescent="0.25">
      <c r="A23" s="282" t="s">
        <v>407</v>
      </c>
      <c r="B23" s="284"/>
      <c r="C23" s="283"/>
    </row>
    <row r="24" spans="1:3" ht="15.75" x14ac:dyDescent="0.25">
      <c r="A24" s="282" t="s">
        <v>408</v>
      </c>
      <c r="B24" s="284"/>
      <c r="C24" s="283"/>
    </row>
    <row r="25" spans="1:3" ht="15.75" x14ac:dyDescent="0.25">
      <c r="A25" s="285" t="s">
        <v>3</v>
      </c>
      <c r="B25" s="286"/>
      <c r="C25" s="287"/>
    </row>
  </sheetData>
  <mergeCells count="4">
    <mergeCell ref="A4:G4"/>
    <mergeCell ref="A6:G6"/>
    <mergeCell ref="A7:G7"/>
    <mergeCell ref="A9:G9"/>
  </mergeCells>
  <hyperlinks>
    <hyperlink ref="D1" location="Indice!A1" display="Índice"/>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N14"/>
  <sheetViews>
    <sheetView showGridLines="0" topLeftCell="A10" workbookViewId="0">
      <selection activeCell="C12" sqref="C12"/>
    </sheetView>
  </sheetViews>
  <sheetFormatPr baseColWidth="10" defaultRowHeight="15" x14ac:dyDescent="0.25"/>
  <cols>
    <col min="1" max="5" width="24.42578125" style="123" customWidth="1"/>
    <col min="6" max="6" width="12.85546875" style="123" customWidth="1"/>
    <col min="7" max="7" width="11.42578125" style="123" customWidth="1"/>
    <col min="8" max="8" width="17.28515625" style="123" customWidth="1"/>
    <col min="9" max="14" width="11.42578125" style="123" customWidth="1"/>
  </cols>
  <sheetData>
    <row r="1" spans="1:14" x14ac:dyDescent="0.25">
      <c r="A1" s="123" t="str">
        <f>Indice!C1</f>
        <v>NEGOFIN S.A.E.C.A.</v>
      </c>
      <c r="E1" s="144" t="s">
        <v>388</v>
      </c>
    </row>
    <row r="2" spans="1:14" x14ac:dyDescent="0.25">
      <c r="C2" s="131"/>
    </row>
    <row r="5" spans="1:14" x14ac:dyDescent="0.25">
      <c r="A5" s="279" t="s">
        <v>410</v>
      </c>
      <c r="B5" s="279"/>
      <c r="C5" s="279"/>
      <c r="D5" s="279"/>
      <c r="E5" s="279"/>
      <c r="F5" s="279"/>
      <c r="G5" s="279"/>
      <c r="H5" s="279"/>
      <c r="I5" s="279"/>
    </row>
    <row r="6" spans="1:14" s="193" customFormat="1" ht="17.45" customHeight="1" x14ac:dyDescent="0.2">
      <c r="A6" s="874" t="s">
        <v>193</v>
      </c>
      <c r="B6" s="874"/>
      <c r="C6" s="874"/>
      <c r="D6" s="874"/>
      <c r="E6" s="874"/>
      <c r="F6" s="874"/>
      <c r="G6" s="874"/>
      <c r="H6" s="874"/>
      <c r="I6" s="874"/>
      <c r="J6" s="192"/>
      <c r="K6" s="192"/>
      <c r="L6" s="192"/>
      <c r="M6" s="192"/>
      <c r="N6" s="192"/>
    </row>
    <row r="8" spans="1:14" s="177" customFormat="1" x14ac:dyDescent="0.25">
      <c r="A8" s="176"/>
      <c r="B8" s="176"/>
      <c r="C8" s="176"/>
      <c r="D8" s="176"/>
      <c r="E8" s="176"/>
      <c r="F8" s="176"/>
      <c r="G8" s="176"/>
      <c r="H8" s="176"/>
      <c r="I8" s="176"/>
      <c r="J8" s="176"/>
      <c r="K8" s="176"/>
      <c r="L8" s="176"/>
      <c r="M8" s="176"/>
      <c r="N8" s="176"/>
    </row>
    <row r="9" spans="1:14" s="176" customFormat="1" ht="39.200000000000003" customHeight="1" x14ac:dyDescent="0.25">
      <c r="A9" s="883" t="s">
        <v>1332</v>
      </c>
      <c r="B9" s="883"/>
      <c r="C9" s="883"/>
      <c r="D9" s="883"/>
      <c r="E9" s="883"/>
      <c r="F9" s="883"/>
      <c r="G9" s="883"/>
      <c r="H9" s="883"/>
      <c r="I9" s="883"/>
    </row>
    <row r="10" spans="1:14" s="177" customFormat="1" x14ac:dyDescent="0.25">
      <c r="A10" s="176"/>
      <c r="B10" s="176"/>
      <c r="C10" s="176"/>
      <c r="D10" s="176"/>
      <c r="E10" s="176"/>
      <c r="F10" s="176"/>
      <c r="G10" s="176"/>
      <c r="H10" s="176"/>
      <c r="I10" s="176"/>
      <c r="J10" s="176"/>
      <c r="K10" s="176"/>
      <c r="L10" s="176"/>
      <c r="M10" s="176"/>
      <c r="N10" s="176"/>
    </row>
    <row r="11" spans="1:14" s="177" customFormat="1" ht="46.5" customHeight="1" x14ac:dyDescent="0.25">
      <c r="J11" s="176"/>
      <c r="K11" s="176"/>
      <c r="L11" s="176"/>
      <c r="M11" s="176"/>
      <c r="N11" s="176"/>
    </row>
    <row r="12" spans="1:14" s="177" customFormat="1" x14ac:dyDescent="0.25">
      <c r="A12" s="176"/>
      <c r="B12" s="176"/>
      <c r="C12" s="176"/>
      <c r="D12" s="176"/>
      <c r="E12" s="176"/>
      <c r="F12" s="176"/>
      <c r="G12" s="176"/>
      <c r="H12" s="176"/>
      <c r="I12" s="176"/>
      <c r="J12" s="176"/>
      <c r="K12" s="176"/>
      <c r="L12" s="176"/>
      <c r="M12" s="176"/>
      <c r="N12" s="176"/>
    </row>
    <row r="13" spans="1:14" s="177" customFormat="1" x14ac:dyDescent="0.25">
      <c r="A13" s="888"/>
      <c r="B13" s="888"/>
      <c r="C13" s="888"/>
      <c r="D13" s="888"/>
      <c r="E13" s="888"/>
      <c r="F13" s="888"/>
      <c r="G13" s="888"/>
      <c r="H13" s="888"/>
      <c r="I13" s="888"/>
      <c r="J13" s="176"/>
      <c r="K13" s="176"/>
      <c r="L13" s="176"/>
      <c r="M13" s="176"/>
      <c r="N13" s="176"/>
    </row>
    <row r="14" spans="1:14" s="177" customFormat="1" x14ac:dyDescent="0.25">
      <c r="A14" s="176"/>
      <c r="B14" s="176"/>
      <c r="C14" s="176"/>
      <c r="D14" s="176"/>
      <c r="E14" s="176"/>
      <c r="F14" s="176"/>
      <c r="G14" s="176"/>
      <c r="H14" s="176"/>
      <c r="I14" s="176"/>
      <c r="J14" s="176"/>
      <c r="K14" s="176"/>
      <c r="L14" s="176"/>
      <c r="M14" s="176"/>
      <c r="N14" s="176"/>
    </row>
  </sheetData>
  <mergeCells count="3">
    <mergeCell ref="A6:I6"/>
    <mergeCell ref="A9:I9"/>
    <mergeCell ref="A13:I13"/>
  </mergeCells>
  <hyperlinks>
    <hyperlink ref="E1" location="Indice!A1" display="Indice"/>
  </hyperlinks>
  <pageMargins left="0.7" right="0.7" top="0.75" bottom="0.75" header="0.3" footer="0.3"/>
  <pageSetup paperSize="9" orientation="portrait" verticalDpi="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topLeftCell="A22" workbookViewId="0">
      <selection activeCell="A8" sqref="A8:G8"/>
    </sheetView>
  </sheetViews>
  <sheetFormatPr baseColWidth="10" defaultRowHeight="15" x14ac:dyDescent="0.25"/>
  <cols>
    <col min="1" max="1" width="42.5703125" customWidth="1"/>
    <col min="2" max="2" width="17" customWidth="1"/>
    <col min="3" max="3" width="17.5703125" customWidth="1"/>
  </cols>
  <sheetData>
    <row r="1" spans="1:8" x14ac:dyDescent="0.25">
      <c r="A1" t="str">
        <f>Indice!C1</f>
        <v>NEGOFIN S.A.E.C.A.</v>
      </c>
      <c r="C1" s="443" t="s">
        <v>388</v>
      </c>
      <c r="H1" s="143"/>
    </row>
    <row r="5" spans="1:8" x14ac:dyDescent="0.25">
      <c r="A5" s="441" t="s">
        <v>902</v>
      </c>
      <c r="B5" s="441"/>
      <c r="C5" s="441"/>
      <c r="D5" s="441"/>
      <c r="E5" s="442"/>
      <c r="F5" s="442"/>
      <c r="G5" s="442"/>
    </row>
    <row r="6" spans="1:8" x14ac:dyDescent="0.25">
      <c r="A6" s="440" t="s">
        <v>261</v>
      </c>
      <c r="B6" s="431"/>
      <c r="C6" s="431"/>
      <c r="D6" s="431"/>
      <c r="E6" s="431"/>
      <c r="F6" s="431"/>
      <c r="G6" s="431"/>
    </row>
    <row r="7" spans="1:8" x14ac:dyDescent="0.25">
      <c r="A7" s="431" t="s">
        <v>1232</v>
      </c>
      <c r="B7" s="431"/>
      <c r="C7" s="431"/>
      <c r="D7" s="431"/>
      <c r="E7" s="431"/>
      <c r="F7" s="431"/>
      <c r="G7" s="431"/>
    </row>
    <row r="8" spans="1:8" x14ac:dyDescent="0.25">
      <c r="A8" s="889"/>
      <c r="B8" s="889"/>
      <c r="C8" s="889"/>
      <c r="D8" s="889"/>
      <c r="E8" s="889"/>
      <c r="F8" s="889"/>
      <c r="G8" s="889"/>
    </row>
    <row r="9" spans="1:8" x14ac:dyDescent="0.25">
      <c r="A9" s="431"/>
      <c r="B9" s="431"/>
      <c r="C9" s="431"/>
      <c r="D9" s="431"/>
      <c r="E9" s="431"/>
      <c r="F9" s="431"/>
      <c r="G9" s="431"/>
    </row>
    <row r="10" spans="1:8" x14ac:dyDescent="0.25">
      <c r="A10" s="432"/>
      <c r="B10" s="396">
        <f>IFERROR(IF(Indice!B6="","2XX2",YEAR(Indice!B6)),"2XX2")</f>
        <v>2021</v>
      </c>
      <c r="C10" s="396">
        <f>+IFERROR(YEAR(Indice!B6-365),"2XX1")</f>
        <v>2020</v>
      </c>
      <c r="D10" s="431"/>
      <c r="E10" s="431"/>
      <c r="F10" s="431"/>
      <c r="G10" s="431"/>
    </row>
    <row r="11" spans="1:8" x14ac:dyDescent="0.25">
      <c r="A11" s="434" t="s">
        <v>890</v>
      </c>
      <c r="B11" s="435"/>
      <c r="C11" s="435"/>
      <c r="D11" s="431"/>
      <c r="E11" s="431"/>
      <c r="F11" s="431"/>
      <c r="G11" s="431"/>
    </row>
    <row r="12" spans="1:8" x14ac:dyDescent="0.25">
      <c r="A12" s="435" t="s">
        <v>110</v>
      </c>
      <c r="B12" s="435"/>
      <c r="C12" s="435"/>
      <c r="D12" s="431"/>
      <c r="E12" s="431"/>
      <c r="F12" s="431"/>
      <c r="G12" s="431"/>
    </row>
    <row r="13" spans="1:8" x14ac:dyDescent="0.25">
      <c r="A13" s="435" t="s">
        <v>891</v>
      </c>
      <c r="B13" s="435"/>
      <c r="C13" s="435"/>
      <c r="D13" s="431"/>
      <c r="E13" s="431"/>
      <c r="F13" s="431"/>
      <c r="G13" s="431"/>
    </row>
    <row r="14" spans="1:8" x14ac:dyDescent="0.25">
      <c r="A14" s="435" t="s">
        <v>40</v>
      </c>
      <c r="B14" s="435"/>
      <c r="C14" s="435"/>
      <c r="D14" s="431"/>
      <c r="E14" s="431"/>
      <c r="F14" s="431"/>
      <c r="G14" s="431"/>
    </row>
    <row r="15" spans="1:8" x14ac:dyDescent="0.25">
      <c r="A15" s="434" t="s">
        <v>892</v>
      </c>
      <c r="B15" s="435"/>
      <c r="C15" s="435"/>
      <c r="D15" s="431"/>
      <c r="E15" s="431"/>
      <c r="F15" s="431"/>
      <c r="G15" s="431"/>
    </row>
    <row r="16" spans="1:8" x14ac:dyDescent="0.25">
      <c r="A16" s="434" t="s">
        <v>893</v>
      </c>
      <c r="B16" s="433"/>
      <c r="C16" s="433"/>
      <c r="D16" s="431"/>
      <c r="E16" s="431"/>
      <c r="F16" s="431"/>
      <c r="G16" s="431"/>
    </row>
    <row r="17" spans="1:7" x14ac:dyDescent="0.25">
      <c r="A17" s="435" t="s">
        <v>111</v>
      </c>
      <c r="B17" s="435"/>
      <c r="C17" s="435"/>
      <c r="D17" s="431"/>
      <c r="E17" s="431"/>
      <c r="F17" s="431"/>
      <c r="G17" s="431"/>
    </row>
    <row r="18" spans="1:7" x14ac:dyDescent="0.25">
      <c r="A18" s="435" t="s">
        <v>112</v>
      </c>
      <c r="B18" s="435"/>
      <c r="C18" s="435"/>
      <c r="D18" s="431"/>
      <c r="E18" s="431"/>
      <c r="F18" s="431"/>
      <c r="G18" s="431"/>
    </row>
    <row r="19" spans="1:7" x14ac:dyDescent="0.25">
      <c r="A19" s="435" t="s">
        <v>69</v>
      </c>
      <c r="B19" s="435"/>
      <c r="C19" s="435"/>
      <c r="D19" s="431"/>
      <c r="E19" s="431"/>
      <c r="F19" s="431"/>
      <c r="G19" s="431"/>
    </row>
    <row r="20" spans="1:7" x14ac:dyDescent="0.25">
      <c r="A20" s="435" t="s">
        <v>894</v>
      </c>
      <c r="B20" s="435"/>
      <c r="C20" s="435"/>
      <c r="D20" s="431"/>
      <c r="E20" s="431"/>
      <c r="F20" s="431"/>
      <c r="G20" s="431"/>
    </row>
    <row r="21" spans="1:7" x14ac:dyDescent="0.25">
      <c r="A21" s="435" t="s">
        <v>895</v>
      </c>
      <c r="B21" s="435"/>
      <c r="C21" s="435"/>
      <c r="D21" s="431"/>
      <c r="E21" s="431"/>
      <c r="F21" s="431"/>
      <c r="G21" s="431"/>
    </row>
    <row r="22" spans="1:7" x14ac:dyDescent="0.25">
      <c r="A22" s="434" t="s">
        <v>896</v>
      </c>
      <c r="B22" s="435"/>
      <c r="C22" s="435"/>
      <c r="D22" s="431"/>
      <c r="E22" s="431"/>
      <c r="F22" s="431"/>
      <c r="G22" s="431"/>
    </row>
    <row r="23" spans="1:7" x14ac:dyDescent="0.25">
      <c r="A23" s="431"/>
      <c r="B23" s="431"/>
      <c r="C23" s="431"/>
      <c r="D23" s="431"/>
      <c r="E23" s="431"/>
      <c r="F23" s="431"/>
      <c r="G23" s="431"/>
    </row>
    <row r="24" spans="1:7" x14ac:dyDescent="0.25">
      <c r="A24" s="890"/>
      <c r="B24" s="890"/>
      <c r="C24" s="890"/>
      <c r="D24" s="890"/>
      <c r="E24" s="890"/>
      <c r="F24" s="890"/>
      <c r="G24" s="436"/>
    </row>
    <row r="25" spans="1:7" x14ac:dyDescent="0.25">
      <c r="A25" s="436"/>
      <c r="B25" s="436"/>
      <c r="C25" s="436"/>
      <c r="D25" s="436"/>
      <c r="E25" s="436"/>
      <c r="F25" s="436"/>
      <c r="G25" s="436"/>
    </row>
    <row r="26" spans="1:7" x14ac:dyDescent="0.25">
      <c r="A26" s="437"/>
      <c r="B26" s="396">
        <f>IFERROR(IF(Indice!B6="","2XX2",YEAR(Indice!B6)),"2XX2")</f>
        <v>2021</v>
      </c>
      <c r="C26" s="396">
        <f>+IFERROR(YEAR(Indice!B6-365),"2XX1")</f>
        <v>2020</v>
      </c>
      <c r="D26" s="436"/>
      <c r="E26" s="436"/>
      <c r="F26" s="436"/>
      <c r="G26" s="436"/>
    </row>
    <row r="27" spans="1:7" x14ac:dyDescent="0.25">
      <c r="A27" s="438" t="s">
        <v>156</v>
      </c>
      <c r="B27" s="439"/>
      <c r="C27" s="439"/>
      <c r="D27" s="436"/>
      <c r="E27" s="436"/>
      <c r="F27" s="436"/>
      <c r="G27" s="436"/>
    </row>
    <row r="28" spans="1:7" x14ac:dyDescent="0.25">
      <c r="A28" s="439" t="s">
        <v>897</v>
      </c>
      <c r="B28" s="439"/>
      <c r="C28" s="439"/>
      <c r="D28" s="436"/>
      <c r="E28" s="436"/>
      <c r="F28" s="436"/>
      <c r="G28" s="436"/>
    </row>
    <row r="29" spans="1:7" x14ac:dyDescent="0.25">
      <c r="A29" s="439"/>
      <c r="B29" s="439"/>
      <c r="C29" s="439"/>
      <c r="D29" s="436"/>
      <c r="E29" s="436"/>
      <c r="F29" s="436"/>
      <c r="G29" s="436"/>
    </row>
    <row r="30" spans="1:7" x14ac:dyDescent="0.25">
      <c r="A30" s="438" t="s">
        <v>184</v>
      </c>
      <c r="B30" s="439"/>
      <c r="C30" s="439"/>
      <c r="D30" s="436"/>
      <c r="E30" s="436"/>
      <c r="F30" s="436"/>
      <c r="G30" s="436"/>
    </row>
    <row r="31" spans="1:7" x14ac:dyDescent="0.25">
      <c r="A31" s="439" t="s">
        <v>898</v>
      </c>
      <c r="B31" s="439"/>
      <c r="C31" s="439"/>
      <c r="D31" s="436"/>
      <c r="E31" s="436"/>
      <c r="F31" s="436"/>
      <c r="G31" s="436"/>
    </row>
    <row r="32" spans="1:7" x14ac:dyDescent="0.25">
      <c r="A32" s="439" t="s">
        <v>899</v>
      </c>
      <c r="B32" s="439"/>
      <c r="C32" s="439"/>
      <c r="D32" s="436"/>
      <c r="E32" s="436"/>
      <c r="F32" s="436"/>
      <c r="G32" s="436"/>
    </row>
    <row r="33" spans="1:7" x14ac:dyDescent="0.25">
      <c r="A33" s="438" t="s">
        <v>900</v>
      </c>
      <c r="B33" s="439"/>
      <c r="C33" s="439"/>
      <c r="D33" s="436"/>
      <c r="E33" s="436"/>
      <c r="F33" s="436"/>
      <c r="G33" s="436"/>
    </row>
    <row r="34" spans="1:7" x14ac:dyDescent="0.25">
      <c r="A34" s="439" t="s">
        <v>901</v>
      </c>
      <c r="B34" s="439"/>
      <c r="C34" s="439"/>
      <c r="D34" s="436"/>
      <c r="E34" s="436"/>
      <c r="F34" s="436"/>
      <c r="G34" s="436"/>
    </row>
    <row r="35" spans="1:7" x14ac:dyDescent="0.25">
      <c r="A35" s="436"/>
      <c r="B35" s="436"/>
      <c r="C35" s="436"/>
      <c r="D35" s="436"/>
      <c r="E35" s="436"/>
      <c r="F35" s="436"/>
      <c r="G35" s="436"/>
    </row>
    <row r="36" spans="1:7" x14ac:dyDescent="0.25">
      <c r="A36" s="436"/>
      <c r="B36" s="436"/>
      <c r="C36" s="436"/>
      <c r="D36" s="436"/>
      <c r="E36" s="436"/>
      <c r="F36" s="436"/>
      <c r="G36" s="436"/>
    </row>
  </sheetData>
  <mergeCells count="2">
    <mergeCell ref="A8:G8"/>
    <mergeCell ref="A24:F24"/>
  </mergeCells>
  <hyperlinks>
    <hyperlink ref="C1" location="Indice!A1" display="Indice"/>
  </hyperlinks>
  <pageMargins left="0.7" right="0.7" top="0.75" bottom="0.75" header="0.3" footer="0.3"/>
  <pageSetup orientation="portrait" verticalDpi="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
  <sheetViews>
    <sheetView workbookViewId="0">
      <selection activeCell="C1" sqref="C1"/>
    </sheetView>
  </sheetViews>
  <sheetFormatPr baseColWidth="10" defaultRowHeight="15" x14ac:dyDescent="0.25"/>
  <cols>
    <col min="1" max="1" width="11.42578125" style="292" customWidth="1"/>
    <col min="2" max="2" width="66.140625" style="292" bestFit="1" customWidth="1"/>
  </cols>
  <sheetData>
    <row r="1" spans="1:3" x14ac:dyDescent="0.25">
      <c r="A1" s="292" t="s">
        <v>434</v>
      </c>
      <c r="B1" s="292" t="s">
        <v>757</v>
      </c>
      <c r="C1" s="143" t="s">
        <v>905</v>
      </c>
    </row>
    <row r="2" spans="1:3" x14ac:dyDescent="0.25">
      <c r="A2" s="292" t="s">
        <v>433</v>
      </c>
      <c r="B2" s="292" t="s">
        <v>623</v>
      </c>
    </row>
    <row r="3" spans="1:3" x14ac:dyDescent="0.25">
      <c r="A3" s="292" t="s">
        <v>525</v>
      </c>
      <c r="B3" s="292" t="s">
        <v>689</v>
      </c>
    </row>
    <row r="4" spans="1:3" x14ac:dyDescent="0.25">
      <c r="A4" s="292" t="s">
        <v>481</v>
      </c>
      <c r="B4" s="292" t="s">
        <v>482</v>
      </c>
    </row>
    <row r="5" spans="1:3" x14ac:dyDescent="0.25">
      <c r="A5" s="292" t="s">
        <v>483</v>
      </c>
      <c r="B5" s="292" t="s">
        <v>637</v>
      </c>
    </row>
    <row r="6" spans="1:3" x14ac:dyDescent="0.25">
      <c r="A6" s="292" t="s">
        <v>484</v>
      </c>
      <c r="B6" s="292" t="s">
        <v>638</v>
      </c>
    </row>
    <row r="7" spans="1:3" x14ac:dyDescent="0.25">
      <c r="A7" s="292" t="s">
        <v>485</v>
      </c>
      <c r="B7" s="292" t="s">
        <v>639</v>
      </c>
    </row>
    <row r="8" spans="1:3" x14ac:dyDescent="0.25">
      <c r="A8" s="292" t="s">
        <v>486</v>
      </c>
      <c r="B8" s="292" t="s">
        <v>640</v>
      </c>
    </row>
    <row r="9" spans="1:3" x14ac:dyDescent="0.25">
      <c r="A9" s="292" t="s">
        <v>487</v>
      </c>
      <c r="B9" s="292" t="s">
        <v>641</v>
      </c>
    </row>
    <row r="10" spans="1:3" x14ac:dyDescent="0.25">
      <c r="A10" s="292" t="s">
        <v>488</v>
      </c>
      <c r="B10" s="292" t="s">
        <v>642</v>
      </c>
    </row>
    <row r="11" spans="1:3" x14ac:dyDescent="0.25">
      <c r="A11" s="292" t="s">
        <v>489</v>
      </c>
      <c r="B11" s="292" t="s">
        <v>643</v>
      </c>
    </row>
    <row r="12" spans="1:3" x14ac:dyDescent="0.25">
      <c r="A12" s="292" t="s">
        <v>490</v>
      </c>
      <c r="B12" s="292" t="s">
        <v>644</v>
      </c>
    </row>
    <row r="13" spans="1:3" x14ac:dyDescent="0.25">
      <c r="A13" s="292" t="s">
        <v>491</v>
      </c>
      <c r="B13" s="292" t="s">
        <v>645</v>
      </c>
    </row>
    <row r="14" spans="1:3" x14ac:dyDescent="0.25">
      <c r="A14" s="292" t="s">
        <v>492</v>
      </c>
      <c r="B14" s="292" t="s">
        <v>646</v>
      </c>
    </row>
    <row r="15" spans="1:3" x14ac:dyDescent="0.25">
      <c r="A15" s="292" t="s">
        <v>493</v>
      </c>
      <c r="B15" s="292" t="s">
        <v>647</v>
      </c>
    </row>
    <row r="16" spans="1:3" x14ac:dyDescent="0.25">
      <c r="A16" s="292" t="s">
        <v>494</v>
      </c>
      <c r="B16" s="292" t="s">
        <v>648</v>
      </c>
    </row>
    <row r="17" spans="1:2" x14ac:dyDescent="0.25">
      <c r="A17" s="292" t="s">
        <v>495</v>
      </c>
      <c r="B17" s="292" t="s">
        <v>649</v>
      </c>
    </row>
    <row r="18" spans="1:2" x14ac:dyDescent="0.25">
      <c r="A18" s="292" t="s">
        <v>496</v>
      </c>
      <c r="B18" s="292" t="s">
        <v>650</v>
      </c>
    </row>
    <row r="19" spans="1:2" x14ac:dyDescent="0.25">
      <c r="A19" s="292" t="s">
        <v>497</v>
      </c>
      <c r="B19" s="292" t="s">
        <v>651</v>
      </c>
    </row>
    <row r="20" spans="1:2" x14ac:dyDescent="0.25">
      <c r="A20" s="292" t="s">
        <v>498</v>
      </c>
      <c r="B20" s="292" t="s">
        <v>652</v>
      </c>
    </row>
    <row r="21" spans="1:2" x14ac:dyDescent="0.25">
      <c r="A21" s="292" t="s">
        <v>499</v>
      </c>
      <c r="B21" s="292" t="s">
        <v>653</v>
      </c>
    </row>
    <row r="22" spans="1:2" x14ac:dyDescent="0.25">
      <c r="A22" s="292" t="s">
        <v>500</v>
      </c>
      <c r="B22" s="292" t="s">
        <v>654</v>
      </c>
    </row>
    <row r="23" spans="1:2" x14ac:dyDescent="0.25">
      <c r="A23" s="292" t="s">
        <v>655</v>
      </c>
      <c r="B23" s="292" t="s">
        <v>656</v>
      </c>
    </row>
    <row r="24" spans="1:2" x14ac:dyDescent="0.25">
      <c r="A24" s="292" t="s">
        <v>501</v>
      </c>
      <c r="B24" s="292" t="s">
        <v>657</v>
      </c>
    </row>
    <row r="25" spans="1:2" x14ac:dyDescent="0.25">
      <c r="A25" s="292" t="s">
        <v>502</v>
      </c>
      <c r="B25" s="292" t="s">
        <v>658</v>
      </c>
    </row>
    <row r="26" spans="1:2" x14ac:dyDescent="0.25">
      <c r="A26" s="292" t="s">
        <v>503</v>
      </c>
      <c r="B26" s="292" t="s">
        <v>659</v>
      </c>
    </row>
    <row r="27" spans="1:2" x14ac:dyDescent="0.25">
      <c r="A27" s="292" t="s">
        <v>504</v>
      </c>
      <c r="B27" s="292" t="s">
        <v>660</v>
      </c>
    </row>
    <row r="28" spans="1:2" x14ac:dyDescent="0.25">
      <c r="A28" s="292" t="s">
        <v>505</v>
      </c>
      <c r="B28" s="292" t="s">
        <v>661</v>
      </c>
    </row>
    <row r="29" spans="1:2" x14ac:dyDescent="0.25">
      <c r="A29" s="292" t="s">
        <v>506</v>
      </c>
      <c r="B29" s="292" t="s">
        <v>662</v>
      </c>
    </row>
    <row r="30" spans="1:2" x14ac:dyDescent="0.25">
      <c r="A30" s="292" t="s">
        <v>507</v>
      </c>
      <c r="B30" s="292" t="s">
        <v>663</v>
      </c>
    </row>
    <row r="31" spans="1:2" x14ac:dyDescent="0.25">
      <c r="A31" s="292" t="s">
        <v>508</v>
      </c>
      <c r="B31" s="292" t="s">
        <v>664</v>
      </c>
    </row>
    <row r="32" spans="1:2" x14ac:dyDescent="0.25">
      <c r="A32" s="292" t="s">
        <v>665</v>
      </c>
      <c r="B32" s="292" t="s">
        <v>666</v>
      </c>
    </row>
    <row r="33" spans="1:2" x14ac:dyDescent="0.25">
      <c r="A33" s="292" t="s">
        <v>509</v>
      </c>
      <c r="B33" s="292" t="s">
        <v>667</v>
      </c>
    </row>
    <row r="34" spans="1:2" x14ac:dyDescent="0.25">
      <c r="A34" s="292" t="s">
        <v>668</v>
      </c>
      <c r="B34" s="292" t="s">
        <v>669</v>
      </c>
    </row>
    <row r="35" spans="1:2" x14ac:dyDescent="0.25">
      <c r="A35" s="292" t="s">
        <v>670</v>
      </c>
      <c r="B35" s="292" t="s">
        <v>671</v>
      </c>
    </row>
    <row r="36" spans="1:2" x14ac:dyDescent="0.25">
      <c r="A36" s="292" t="s">
        <v>510</v>
      </c>
      <c r="B36" s="292" t="s">
        <v>672</v>
      </c>
    </row>
    <row r="37" spans="1:2" x14ac:dyDescent="0.25">
      <c r="A37" s="292" t="s">
        <v>511</v>
      </c>
      <c r="B37" s="292" t="s">
        <v>673</v>
      </c>
    </row>
    <row r="38" spans="1:2" x14ac:dyDescent="0.25">
      <c r="A38" s="292" t="s">
        <v>512</v>
      </c>
      <c r="B38" s="292" t="s">
        <v>674</v>
      </c>
    </row>
    <row r="39" spans="1:2" x14ac:dyDescent="0.25">
      <c r="A39" s="292" t="s">
        <v>675</v>
      </c>
      <c r="B39" s="292" t="s">
        <v>676</v>
      </c>
    </row>
    <row r="40" spans="1:2" x14ac:dyDescent="0.25">
      <c r="A40" s="292" t="s">
        <v>513</v>
      </c>
      <c r="B40" s="292" t="s">
        <v>677</v>
      </c>
    </row>
    <row r="41" spans="1:2" x14ac:dyDescent="0.25">
      <c r="A41" s="292" t="s">
        <v>514</v>
      </c>
      <c r="B41" s="292" t="s">
        <v>678</v>
      </c>
    </row>
    <row r="42" spans="1:2" x14ac:dyDescent="0.25">
      <c r="A42" s="292" t="s">
        <v>515</v>
      </c>
      <c r="B42" s="292" t="s">
        <v>679</v>
      </c>
    </row>
    <row r="43" spans="1:2" x14ac:dyDescent="0.25">
      <c r="A43" s="292" t="s">
        <v>516</v>
      </c>
      <c r="B43" s="292" t="s">
        <v>680</v>
      </c>
    </row>
    <row r="44" spans="1:2" x14ac:dyDescent="0.25">
      <c r="A44" s="292" t="s">
        <v>517</v>
      </c>
      <c r="B44" s="292" t="s">
        <v>681</v>
      </c>
    </row>
    <row r="45" spans="1:2" x14ac:dyDescent="0.25">
      <c r="A45" s="292" t="s">
        <v>518</v>
      </c>
      <c r="B45" s="292" t="s">
        <v>682</v>
      </c>
    </row>
    <row r="46" spans="1:2" x14ac:dyDescent="0.25">
      <c r="A46" s="292" t="s">
        <v>519</v>
      </c>
      <c r="B46" s="292" t="s">
        <v>683</v>
      </c>
    </row>
    <row r="47" spans="1:2" x14ac:dyDescent="0.25">
      <c r="A47" s="292" t="s">
        <v>520</v>
      </c>
      <c r="B47" s="292" t="s">
        <v>684</v>
      </c>
    </row>
    <row r="48" spans="1:2" x14ac:dyDescent="0.25">
      <c r="A48" s="292" t="s">
        <v>521</v>
      </c>
      <c r="B48" s="292" t="s">
        <v>685</v>
      </c>
    </row>
    <row r="49" spans="1:2" x14ac:dyDescent="0.25">
      <c r="A49" s="292" t="s">
        <v>522</v>
      </c>
      <c r="B49" s="292" t="s">
        <v>686</v>
      </c>
    </row>
    <row r="50" spans="1:2" x14ac:dyDescent="0.25">
      <c r="A50" s="292" t="s">
        <v>523</v>
      </c>
      <c r="B50" s="292" t="s">
        <v>687</v>
      </c>
    </row>
    <row r="51" spans="1:2" x14ac:dyDescent="0.25">
      <c r="A51" s="292" t="s">
        <v>524</v>
      </c>
      <c r="B51" s="292" t="s">
        <v>688</v>
      </c>
    </row>
    <row r="52" spans="1:2" x14ac:dyDescent="0.25">
      <c r="A52" s="292" t="s">
        <v>526</v>
      </c>
      <c r="B52" s="292" t="s">
        <v>690</v>
      </c>
    </row>
    <row r="53" spans="1:2" x14ac:dyDescent="0.25">
      <c r="A53" s="292" t="s">
        <v>527</v>
      </c>
      <c r="B53" s="292" t="s">
        <v>691</v>
      </c>
    </row>
    <row r="54" spans="1:2" x14ac:dyDescent="0.25">
      <c r="A54" s="292" t="s">
        <v>528</v>
      </c>
      <c r="B54" s="292" t="s">
        <v>692</v>
      </c>
    </row>
    <row r="55" spans="1:2" x14ac:dyDescent="0.25">
      <c r="A55" s="292" t="s">
        <v>529</v>
      </c>
      <c r="B55" s="292" t="s">
        <v>693</v>
      </c>
    </row>
    <row r="56" spans="1:2" x14ac:dyDescent="0.25">
      <c r="A56" s="292" t="s">
        <v>530</v>
      </c>
      <c r="B56" s="292" t="s">
        <v>694</v>
      </c>
    </row>
    <row r="57" spans="1:2" x14ac:dyDescent="0.25">
      <c r="A57" s="292" t="s">
        <v>531</v>
      </c>
      <c r="B57" s="292" t="s">
        <v>695</v>
      </c>
    </row>
    <row r="58" spans="1:2" x14ac:dyDescent="0.25">
      <c r="A58" s="292" t="s">
        <v>532</v>
      </c>
      <c r="B58" s="292" t="s">
        <v>696</v>
      </c>
    </row>
    <row r="59" spans="1:2" x14ac:dyDescent="0.25">
      <c r="A59" s="292" t="s">
        <v>533</v>
      </c>
      <c r="B59" s="292" t="s">
        <v>697</v>
      </c>
    </row>
    <row r="60" spans="1:2" x14ac:dyDescent="0.25">
      <c r="A60" s="292" t="s">
        <v>534</v>
      </c>
      <c r="B60" s="292" t="s">
        <v>698</v>
      </c>
    </row>
    <row r="61" spans="1:2" x14ac:dyDescent="0.25">
      <c r="A61" s="292" t="s">
        <v>535</v>
      </c>
      <c r="B61" s="292" t="s">
        <v>699</v>
      </c>
    </row>
    <row r="62" spans="1:2" x14ac:dyDescent="0.25">
      <c r="A62" s="292" t="s">
        <v>536</v>
      </c>
      <c r="B62" s="292" t="s">
        <v>700</v>
      </c>
    </row>
    <row r="63" spans="1:2" x14ac:dyDescent="0.25">
      <c r="A63" s="292" t="s">
        <v>537</v>
      </c>
      <c r="B63" s="292" t="s">
        <v>701</v>
      </c>
    </row>
    <row r="64" spans="1:2" x14ac:dyDescent="0.25">
      <c r="A64" s="292" t="s">
        <v>538</v>
      </c>
      <c r="B64" s="292" t="s">
        <v>702</v>
      </c>
    </row>
    <row r="65" spans="1:2" x14ac:dyDescent="0.25">
      <c r="A65" s="292" t="s">
        <v>539</v>
      </c>
      <c r="B65" s="292" t="s">
        <v>703</v>
      </c>
    </row>
    <row r="66" spans="1:2" x14ac:dyDescent="0.25">
      <c r="A66" s="292" t="s">
        <v>540</v>
      </c>
      <c r="B66" s="292" t="s">
        <v>704</v>
      </c>
    </row>
    <row r="67" spans="1:2" x14ac:dyDescent="0.25">
      <c r="A67" s="292" t="s">
        <v>541</v>
      </c>
      <c r="B67" s="292" t="s">
        <v>705</v>
      </c>
    </row>
    <row r="68" spans="1:2" x14ac:dyDescent="0.25">
      <c r="A68" s="292" t="s">
        <v>542</v>
      </c>
      <c r="B68" s="292" t="s">
        <v>706</v>
      </c>
    </row>
    <row r="69" spans="1:2" x14ac:dyDescent="0.25">
      <c r="A69" s="292" t="s">
        <v>543</v>
      </c>
      <c r="B69" s="292" t="s">
        <v>707</v>
      </c>
    </row>
    <row r="70" spans="1:2" x14ac:dyDescent="0.25">
      <c r="A70" s="292" t="s">
        <v>544</v>
      </c>
      <c r="B70" s="292" t="s">
        <v>708</v>
      </c>
    </row>
    <row r="71" spans="1:2" x14ac:dyDescent="0.25">
      <c r="A71" s="292" t="s">
        <v>545</v>
      </c>
      <c r="B71" s="292" t="s">
        <v>709</v>
      </c>
    </row>
    <row r="72" spans="1:2" x14ac:dyDescent="0.25">
      <c r="A72" s="292" t="s">
        <v>546</v>
      </c>
      <c r="B72" s="292" t="s">
        <v>710</v>
      </c>
    </row>
    <row r="73" spans="1:2" x14ac:dyDescent="0.25">
      <c r="A73" s="292" t="s">
        <v>547</v>
      </c>
      <c r="B73" s="292" t="s">
        <v>711</v>
      </c>
    </row>
    <row r="74" spans="1:2" x14ac:dyDescent="0.25">
      <c r="A74" s="292" t="s">
        <v>548</v>
      </c>
      <c r="B74" s="292" t="s">
        <v>712</v>
      </c>
    </row>
    <row r="75" spans="1:2" x14ac:dyDescent="0.25">
      <c r="A75" s="292" t="s">
        <v>549</v>
      </c>
      <c r="B75" s="292" t="s">
        <v>713</v>
      </c>
    </row>
    <row r="76" spans="1:2" x14ac:dyDescent="0.25">
      <c r="A76" s="292" t="s">
        <v>550</v>
      </c>
      <c r="B76" s="292" t="s">
        <v>714</v>
      </c>
    </row>
    <row r="77" spans="1:2" x14ac:dyDescent="0.25">
      <c r="A77" s="292" t="s">
        <v>551</v>
      </c>
      <c r="B77" s="292" t="s">
        <v>715</v>
      </c>
    </row>
    <row r="78" spans="1:2" x14ac:dyDescent="0.25">
      <c r="A78" s="292" t="s">
        <v>552</v>
      </c>
      <c r="B78" s="292" t="s">
        <v>716</v>
      </c>
    </row>
    <row r="79" spans="1:2" x14ac:dyDescent="0.25">
      <c r="A79" s="292" t="s">
        <v>553</v>
      </c>
      <c r="B79" s="292" t="s">
        <v>717</v>
      </c>
    </row>
    <row r="80" spans="1:2" x14ac:dyDescent="0.25">
      <c r="A80" s="292" t="s">
        <v>554</v>
      </c>
      <c r="B80" s="292" t="s">
        <v>718</v>
      </c>
    </row>
    <row r="81" spans="1:2" x14ac:dyDescent="0.25">
      <c r="A81" s="292" t="s">
        <v>555</v>
      </c>
      <c r="B81" s="292" t="s">
        <v>719</v>
      </c>
    </row>
    <row r="82" spans="1:2" x14ac:dyDescent="0.25">
      <c r="A82" s="292" t="s">
        <v>556</v>
      </c>
      <c r="B82" s="292" t="s">
        <v>720</v>
      </c>
    </row>
    <row r="83" spans="1:2" x14ac:dyDescent="0.25">
      <c r="A83" s="292" t="s">
        <v>557</v>
      </c>
      <c r="B83" s="292" t="s">
        <v>721</v>
      </c>
    </row>
    <row r="84" spans="1:2" x14ac:dyDescent="0.25">
      <c r="A84" s="292" t="s">
        <v>558</v>
      </c>
      <c r="B84" s="292" t="s">
        <v>722</v>
      </c>
    </row>
    <row r="85" spans="1:2" x14ac:dyDescent="0.25">
      <c r="A85" s="292" t="s">
        <v>559</v>
      </c>
      <c r="B85" s="292" t="s">
        <v>723</v>
      </c>
    </row>
    <row r="86" spans="1:2" x14ac:dyDescent="0.25">
      <c r="A86" s="292" t="s">
        <v>560</v>
      </c>
      <c r="B86" s="292" t="s">
        <v>724</v>
      </c>
    </row>
    <row r="87" spans="1:2" x14ac:dyDescent="0.25">
      <c r="A87" s="292" t="s">
        <v>561</v>
      </c>
      <c r="B87" s="292" t="s">
        <v>725</v>
      </c>
    </row>
    <row r="88" spans="1:2" x14ac:dyDescent="0.25">
      <c r="A88" s="292" t="s">
        <v>562</v>
      </c>
      <c r="B88" s="292" t="s">
        <v>726</v>
      </c>
    </row>
    <row r="89" spans="1:2" x14ac:dyDescent="0.25">
      <c r="A89" s="292" t="s">
        <v>563</v>
      </c>
      <c r="B89" s="292" t="s">
        <v>727</v>
      </c>
    </row>
    <row r="90" spans="1:2" x14ac:dyDescent="0.25">
      <c r="A90" s="292" t="s">
        <v>564</v>
      </c>
      <c r="B90" s="292" t="s">
        <v>728</v>
      </c>
    </row>
    <row r="91" spans="1:2" x14ac:dyDescent="0.25">
      <c r="A91" s="292" t="s">
        <v>565</v>
      </c>
      <c r="B91" s="292" t="s">
        <v>729</v>
      </c>
    </row>
    <row r="92" spans="1:2" x14ac:dyDescent="0.25">
      <c r="A92" s="292" t="s">
        <v>566</v>
      </c>
      <c r="B92" s="292" t="s">
        <v>730</v>
      </c>
    </row>
    <row r="93" spans="1:2" x14ac:dyDescent="0.25">
      <c r="A93" s="292" t="s">
        <v>567</v>
      </c>
      <c r="B93" s="292" t="s">
        <v>731</v>
      </c>
    </row>
    <row r="94" spans="1:2" x14ac:dyDescent="0.25">
      <c r="A94" s="292" t="s">
        <v>568</v>
      </c>
      <c r="B94" s="292" t="s">
        <v>732</v>
      </c>
    </row>
    <row r="95" spans="1:2" x14ac:dyDescent="0.25">
      <c r="A95" s="292" t="s">
        <v>569</v>
      </c>
      <c r="B95" s="292" t="s">
        <v>733</v>
      </c>
    </row>
    <row r="96" spans="1:2" x14ac:dyDescent="0.25">
      <c r="A96" s="292" t="s">
        <v>570</v>
      </c>
      <c r="B96" s="292" t="s">
        <v>734</v>
      </c>
    </row>
    <row r="97" spans="1:2" x14ac:dyDescent="0.25">
      <c r="A97" s="292" t="s">
        <v>571</v>
      </c>
      <c r="B97" s="292" t="s">
        <v>735</v>
      </c>
    </row>
    <row r="98" spans="1:2" x14ac:dyDescent="0.25">
      <c r="A98" s="292" t="s">
        <v>572</v>
      </c>
      <c r="B98" s="292" t="s">
        <v>736</v>
      </c>
    </row>
    <row r="99" spans="1:2" x14ac:dyDescent="0.25">
      <c r="A99" s="292" t="s">
        <v>573</v>
      </c>
      <c r="B99" s="292" t="s">
        <v>737</v>
      </c>
    </row>
    <row r="100" spans="1:2" x14ac:dyDescent="0.25">
      <c r="A100" s="292" t="s">
        <v>574</v>
      </c>
      <c r="B100" s="292" t="s">
        <v>738</v>
      </c>
    </row>
    <row r="101" spans="1:2" x14ac:dyDescent="0.25">
      <c r="A101" s="292" t="s">
        <v>575</v>
      </c>
      <c r="B101" s="292" t="s">
        <v>739</v>
      </c>
    </row>
    <row r="102" spans="1:2" x14ac:dyDescent="0.25">
      <c r="A102" s="292" t="s">
        <v>576</v>
      </c>
      <c r="B102" s="292" t="s">
        <v>740</v>
      </c>
    </row>
    <row r="103" spans="1:2" x14ac:dyDescent="0.25">
      <c r="A103" s="292" t="s">
        <v>741</v>
      </c>
      <c r="B103" s="292" t="s">
        <v>742</v>
      </c>
    </row>
    <row r="104" spans="1:2" x14ac:dyDescent="0.25">
      <c r="A104" s="292" t="s">
        <v>577</v>
      </c>
      <c r="B104" s="292" t="s">
        <v>743</v>
      </c>
    </row>
    <row r="105" spans="1:2" x14ac:dyDescent="0.25">
      <c r="A105" s="292" t="s">
        <v>578</v>
      </c>
      <c r="B105" s="292" t="s">
        <v>744</v>
      </c>
    </row>
    <row r="106" spans="1:2" x14ac:dyDescent="0.25">
      <c r="A106" s="292" t="s">
        <v>579</v>
      </c>
      <c r="B106" s="292" t="s">
        <v>745</v>
      </c>
    </row>
    <row r="107" spans="1:2" x14ac:dyDescent="0.25">
      <c r="A107" s="292" t="s">
        <v>580</v>
      </c>
      <c r="B107" s="292" t="s">
        <v>746</v>
      </c>
    </row>
    <row r="108" spans="1:2" x14ac:dyDescent="0.25">
      <c r="A108" s="292" t="s">
        <v>581</v>
      </c>
      <c r="B108" s="292" t="s">
        <v>747</v>
      </c>
    </row>
    <row r="109" spans="1:2" x14ac:dyDescent="0.25">
      <c r="A109" s="292" t="s">
        <v>582</v>
      </c>
      <c r="B109" s="292" t="s">
        <v>748</v>
      </c>
    </row>
    <row r="110" spans="1:2" x14ac:dyDescent="0.25">
      <c r="A110" s="292" t="s">
        <v>583</v>
      </c>
      <c r="B110" s="292" t="s">
        <v>749</v>
      </c>
    </row>
    <row r="111" spans="1:2" x14ac:dyDescent="0.25">
      <c r="A111" s="292" t="s">
        <v>584</v>
      </c>
      <c r="B111" s="292" t="s">
        <v>585</v>
      </c>
    </row>
    <row r="112" spans="1:2" x14ac:dyDescent="0.25">
      <c r="A112" s="292" t="s">
        <v>586</v>
      </c>
      <c r="B112" s="292" t="s">
        <v>750</v>
      </c>
    </row>
    <row r="113" spans="1:2" x14ac:dyDescent="0.25">
      <c r="A113" s="292" t="s">
        <v>587</v>
      </c>
      <c r="B113" s="292" t="s">
        <v>751</v>
      </c>
    </row>
    <row r="114" spans="1:2" x14ac:dyDescent="0.25">
      <c r="A114" s="292" t="s">
        <v>588</v>
      </c>
      <c r="B114" s="292" t="s">
        <v>752</v>
      </c>
    </row>
    <row r="115" spans="1:2" x14ac:dyDescent="0.25">
      <c r="A115" s="292" t="s">
        <v>589</v>
      </c>
      <c r="B115" s="292" t="s">
        <v>753</v>
      </c>
    </row>
    <row r="116" spans="1:2" x14ac:dyDescent="0.25">
      <c r="A116" s="292" t="s">
        <v>590</v>
      </c>
      <c r="B116" s="292" t="s">
        <v>754</v>
      </c>
    </row>
    <row r="117" spans="1:2" x14ac:dyDescent="0.25">
      <c r="A117" s="292" t="s">
        <v>591</v>
      </c>
      <c r="B117" s="292" t="s">
        <v>755</v>
      </c>
    </row>
    <row r="118" spans="1:2" x14ac:dyDescent="0.25">
      <c r="A118" s="292" t="s">
        <v>592</v>
      </c>
      <c r="B118" s="292" t="s">
        <v>756</v>
      </c>
    </row>
    <row r="119" spans="1:2" x14ac:dyDescent="0.25">
      <c r="A119" s="292" t="s">
        <v>593</v>
      </c>
      <c r="B119" s="292" t="s">
        <v>758</v>
      </c>
    </row>
    <row r="120" spans="1:2" x14ac:dyDescent="0.25">
      <c r="A120" s="292" t="s">
        <v>594</v>
      </c>
      <c r="B120" s="292" t="s">
        <v>759</v>
      </c>
    </row>
    <row r="121" spans="1:2" x14ac:dyDescent="0.25">
      <c r="A121" s="292" t="s">
        <v>595</v>
      </c>
      <c r="B121" s="292" t="s">
        <v>760</v>
      </c>
    </row>
    <row r="122" spans="1:2" x14ac:dyDescent="0.25">
      <c r="A122" s="292" t="s">
        <v>596</v>
      </c>
      <c r="B122" s="292" t="s">
        <v>761</v>
      </c>
    </row>
    <row r="123" spans="1:2" x14ac:dyDescent="0.25">
      <c r="A123" s="292" t="s">
        <v>597</v>
      </c>
      <c r="B123" s="292" t="s">
        <v>762</v>
      </c>
    </row>
    <row r="124" spans="1:2" x14ac:dyDescent="0.25">
      <c r="A124" s="292" t="s">
        <v>598</v>
      </c>
      <c r="B124" s="292" t="s">
        <v>763</v>
      </c>
    </row>
    <row r="125" spans="1:2" x14ac:dyDescent="0.25">
      <c r="A125" s="292" t="s">
        <v>599</v>
      </c>
      <c r="B125" s="292" t="s">
        <v>764</v>
      </c>
    </row>
    <row r="126" spans="1:2" x14ac:dyDescent="0.25">
      <c r="A126" s="292" t="s">
        <v>600</v>
      </c>
      <c r="B126" s="292" t="s">
        <v>765</v>
      </c>
    </row>
    <row r="127" spans="1:2" x14ac:dyDescent="0.25">
      <c r="A127" s="292" t="s">
        <v>601</v>
      </c>
      <c r="B127" s="292" t="s">
        <v>766</v>
      </c>
    </row>
    <row r="128" spans="1:2" x14ac:dyDescent="0.25">
      <c r="A128" s="292" t="s">
        <v>602</v>
      </c>
      <c r="B128" s="292" t="s">
        <v>767</v>
      </c>
    </row>
    <row r="129" spans="1:2" x14ac:dyDescent="0.25">
      <c r="A129" s="292" t="s">
        <v>603</v>
      </c>
      <c r="B129" s="292" t="s">
        <v>768</v>
      </c>
    </row>
    <row r="130" spans="1:2" x14ac:dyDescent="0.25">
      <c r="A130" s="292" t="s">
        <v>604</v>
      </c>
      <c r="B130" s="292" t="s">
        <v>769</v>
      </c>
    </row>
    <row r="131" spans="1:2" x14ac:dyDescent="0.25">
      <c r="A131" s="292" t="s">
        <v>605</v>
      </c>
      <c r="B131" s="292" t="s">
        <v>770</v>
      </c>
    </row>
    <row r="132" spans="1:2" x14ac:dyDescent="0.25">
      <c r="A132" s="292" t="s">
        <v>606</v>
      </c>
      <c r="B132" s="292" t="s">
        <v>771</v>
      </c>
    </row>
    <row r="133" spans="1:2" x14ac:dyDescent="0.25">
      <c r="A133" s="292" t="s">
        <v>607</v>
      </c>
      <c r="B133" s="292" t="s">
        <v>772</v>
      </c>
    </row>
    <row r="134" spans="1:2" x14ac:dyDescent="0.25">
      <c r="A134" s="292" t="s">
        <v>773</v>
      </c>
      <c r="B134" s="292" t="s">
        <v>774</v>
      </c>
    </row>
    <row r="135" spans="1:2" x14ac:dyDescent="0.25">
      <c r="A135" s="292" t="s">
        <v>608</v>
      </c>
      <c r="B135" s="292" t="s">
        <v>775</v>
      </c>
    </row>
    <row r="136" spans="1:2" x14ac:dyDescent="0.25">
      <c r="A136" s="292" t="s">
        <v>609</v>
      </c>
      <c r="B136" s="292" t="s">
        <v>776</v>
      </c>
    </row>
    <row r="137" spans="1:2" x14ac:dyDescent="0.25">
      <c r="A137" s="292" t="s">
        <v>610</v>
      </c>
      <c r="B137" s="292" t="s">
        <v>777</v>
      </c>
    </row>
    <row r="138" spans="1:2" x14ac:dyDescent="0.25">
      <c r="A138" s="292" t="s">
        <v>611</v>
      </c>
      <c r="B138" s="292" t="s">
        <v>778</v>
      </c>
    </row>
    <row r="139" spans="1:2" x14ac:dyDescent="0.25">
      <c r="A139" s="292" t="s">
        <v>612</v>
      </c>
      <c r="B139" s="292" t="s">
        <v>779</v>
      </c>
    </row>
    <row r="140" spans="1:2" x14ac:dyDescent="0.25">
      <c r="A140" s="292" t="s">
        <v>613</v>
      </c>
      <c r="B140" s="292" t="s">
        <v>780</v>
      </c>
    </row>
    <row r="141" spans="1:2" x14ac:dyDescent="0.25">
      <c r="A141" s="292" t="s">
        <v>614</v>
      </c>
      <c r="B141" s="292" t="s">
        <v>781</v>
      </c>
    </row>
    <row r="142" spans="1:2" x14ac:dyDescent="0.25">
      <c r="A142" s="292" t="s">
        <v>615</v>
      </c>
      <c r="B142" s="292" t="s">
        <v>782</v>
      </c>
    </row>
    <row r="143" spans="1:2" x14ac:dyDescent="0.25">
      <c r="A143" s="292" t="s">
        <v>616</v>
      </c>
      <c r="B143" s="292" t="s">
        <v>783</v>
      </c>
    </row>
    <row r="144" spans="1:2" x14ac:dyDescent="0.25">
      <c r="A144" s="292" t="s">
        <v>617</v>
      </c>
      <c r="B144" s="292" t="s">
        <v>784</v>
      </c>
    </row>
    <row r="145" spans="1:2" x14ac:dyDescent="0.25">
      <c r="A145" s="292" t="s">
        <v>618</v>
      </c>
      <c r="B145" s="292" t="s">
        <v>785</v>
      </c>
    </row>
    <row r="146" spans="1:2" x14ac:dyDescent="0.25">
      <c r="A146" s="292" t="s">
        <v>619</v>
      </c>
      <c r="B146" s="292" t="s">
        <v>786</v>
      </c>
    </row>
    <row r="147" spans="1:2" x14ac:dyDescent="0.25">
      <c r="A147" s="292" t="s">
        <v>620</v>
      </c>
      <c r="B147" s="292" t="s">
        <v>787</v>
      </c>
    </row>
    <row r="148" spans="1:2" x14ac:dyDescent="0.25">
      <c r="A148" s="292" t="s">
        <v>621</v>
      </c>
      <c r="B148" s="292" t="s">
        <v>788</v>
      </c>
    </row>
    <row r="149" spans="1:2" x14ac:dyDescent="0.25">
      <c r="A149" s="292" t="s">
        <v>622</v>
      </c>
      <c r="B149" s="292" t="s">
        <v>789</v>
      </c>
    </row>
    <row r="150" spans="1:2" x14ac:dyDescent="0.25">
      <c r="A150" s="292" t="s">
        <v>790</v>
      </c>
      <c r="B150" s="292" t="s">
        <v>791</v>
      </c>
    </row>
    <row r="151" spans="1:2" x14ac:dyDescent="0.25">
      <c r="A151" s="292" t="s">
        <v>792</v>
      </c>
      <c r="B151" s="292" t="s">
        <v>793</v>
      </c>
    </row>
    <row r="152" spans="1:2" x14ac:dyDescent="0.25">
      <c r="A152" s="292" t="s">
        <v>624</v>
      </c>
      <c r="B152" s="292" t="s">
        <v>794</v>
      </c>
    </row>
    <row r="153" spans="1:2" x14ac:dyDescent="0.25">
      <c r="A153" s="292" t="s">
        <v>795</v>
      </c>
      <c r="B153" s="292" t="s">
        <v>796</v>
      </c>
    </row>
    <row r="154" spans="1:2" x14ac:dyDescent="0.25">
      <c r="A154" s="292" t="s">
        <v>625</v>
      </c>
      <c r="B154" s="292" t="s">
        <v>797</v>
      </c>
    </row>
    <row r="155" spans="1:2" x14ac:dyDescent="0.25">
      <c r="A155" s="292" t="s">
        <v>798</v>
      </c>
      <c r="B155" s="292" t="s">
        <v>799</v>
      </c>
    </row>
    <row r="156" spans="1:2" x14ac:dyDescent="0.25">
      <c r="A156" s="292" t="s">
        <v>626</v>
      </c>
      <c r="B156" s="292" t="s">
        <v>800</v>
      </c>
    </row>
    <row r="157" spans="1:2" x14ac:dyDescent="0.25">
      <c r="A157" s="292" t="s">
        <v>627</v>
      </c>
      <c r="B157" s="292" t="s">
        <v>801</v>
      </c>
    </row>
    <row r="158" spans="1:2" x14ac:dyDescent="0.25">
      <c r="A158" s="292" t="s">
        <v>628</v>
      </c>
      <c r="B158" s="292" t="s">
        <v>802</v>
      </c>
    </row>
    <row r="159" spans="1:2" x14ac:dyDescent="0.25">
      <c r="A159" s="292" t="s">
        <v>629</v>
      </c>
      <c r="B159" s="292" t="s">
        <v>803</v>
      </c>
    </row>
    <row r="160" spans="1:2" x14ac:dyDescent="0.25">
      <c r="A160" s="292" t="s">
        <v>804</v>
      </c>
      <c r="B160" s="292" t="s">
        <v>805</v>
      </c>
    </row>
    <row r="161" spans="1:2" x14ac:dyDescent="0.25">
      <c r="A161" s="292" t="s">
        <v>806</v>
      </c>
      <c r="B161" s="292" t="s">
        <v>807</v>
      </c>
    </row>
    <row r="162" spans="1:2" x14ac:dyDescent="0.25">
      <c r="A162" s="292" t="s">
        <v>808</v>
      </c>
      <c r="B162" s="292" t="s">
        <v>809</v>
      </c>
    </row>
    <row r="163" spans="1:2" x14ac:dyDescent="0.25">
      <c r="A163" s="292" t="s">
        <v>810</v>
      </c>
      <c r="B163" s="292" t="s">
        <v>811</v>
      </c>
    </row>
    <row r="164" spans="1:2" x14ac:dyDescent="0.25">
      <c r="A164" s="292" t="s">
        <v>812</v>
      </c>
      <c r="B164" s="292" t="s">
        <v>813</v>
      </c>
    </row>
    <row r="165" spans="1:2" x14ac:dyDescent="0.25">
      <c r="A165" s="292" t="s">
        <v>814</v>
      </c>
      <c r="B165" s="292" t="s">
        <v>815</v>
      </c>
    </row>
    <row r="166" spans="1:2" x14ac:dyDescent="0.25">
      <c r="A166" s="292" t="s">
        <v>630</v>
      </c>
      <c r="B166" s="292" t="s">
        <v>816</v>
      </c>
    </row>
    <row r="167" spans="1:2" x14ac:dyDescent="0.25">
      <c r="A167" s="292" t="s">
        <v>631</v>
      </c>
      <c r="B167" s="292" t="s">
        <v>817</v>
      </c>
    </row>
    <row r="168" spans="1:2" x14ac:dyDescent="0.25">
      <c r="A168" s="292" t="s">
        <v>632</v>
      </c>
      <c r="B168" s="292" t="s">
        <v>818</v>
      </c>
    </row>
    <row r="169" spans="1:2" x14ac:dyDescent="0.25">
      <c r="A169" s="292" t="s">
        <v>819</v>
      </c>
      <c r="B169" s="292" t="s">
        <v>820</v>
      </c>
    </row>
    <row r="170" spans="1:2" x14ac:dyDescent="0.25">
      <c r="A170" s="292" t="s">
        <v>633</v>
      </c>
      <c r="B170" s="292" t="s">
        <v>821</v>
      </c>
    </row>
    <row r="171" spans="1:2" x14ac:dyDescent="0.25">
      <c r="A171" s="292" t="s">
        <v>822</v>
      </c>
      <c r="B171" s="292" t="s">
        <v>823</v>
      </c>
    </row>
    <row r="172" spans="1:2" x14ac:dyDescent="0.25">
      <c r="A172" s="292" t="s">
        <v>824</v>
      </c>
      <c r="B172" s="292" t="s">
        <v>825</v>
      </c>
    </row>
    <row r="173" spans="1:2" x14ac:dyDescent="0.25">
      <c r="A173" s="292" t="s">
        <v>826</v>
      </c>
      <c r="B173" s="292" t="s">
        <v>827</v>
      </c>
    </row>
    <row r="174" spans="1:2" x14ac:dyDescent="0.25">
      <c r="A174" s="292" t="s">
        <v>828</v>
      </c>
      <c r="B174" s="292" t="s">
        <v>829</v>
      </c>
    </row>
    <row r="175" spans="1:2" x14ac:dyDescent="0.25">
      <c r="A175" s="292" t="s">
        <v>830</v>
      </c>
      <c r="B175" s="292" t="s">
        <v>831</v>
      </c>
    </row>
    <row r="176" spans="1:2" x14ac:dyDescent="0.25">
      <c r="A176" s="292" t="s">
        <v>634</v>
      </c>
      <c r="B176" s="292" t="s">
        <v>832</v>
      </c>
    </row>
    <row r="177" spans="1:2" x14ac:dyDescent="0.25">
      <c r="A177" s="292" t="s">
        <v>635</v>
      </c>
      <c r="B177" s="292" t="s">
        <v>833</v>
      </c>
    </row>
    <row r="178" spans="1:2" x14ac:dyDescent="0.25">
      <c r="A178" s="292" t="s">
        <v>636</v>
      </c>
      <c r="B178" s="292" t="s">
        <v>834</v>
      </c>
    </row>
    <row r="179" spans="1:2" x14ac:dyDescent="0.25">
      <c r="A179" s="292" t="s">
        <v>835</v>
      </c>
      <c r="B179" s="292" t="s">
        <v>836</v>
      </c>
    </row>
  </sheetData>
  <hyperlinks>
    <hyperlink ref="C1" location="Indice!A1" display="Índice"/>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A64" workbookViewId="0">
      <selection activeCell="D61" sqref="D61"/>
    </sheetView>
  </sheetViews>
  <sheetFormatPr baseColWidth="10" defaultColWidth="11.42578125" defaultRowHeight="15" x14ac:dyDescent="0.25"/>
  <cols>
    <col min="1" max="1" width="85" style="536" bestFit="1" customWidth="1"/>
    <col min="2" max="2" width="12.85546875" style="536" bestFit="1" customWidth="1"/>
    <col min="3" max="3" width="12.85546875" style="536" customWidth="1"/>
    <col min="4" max="5" width="11.42578125" style="536"/>
    <col min="6" max="6" width="14.7109375" style="536" bestFit="1" customWidth="1"/>
    <col min="7" max="16384" width="11.42578125" style="536"/>
  </cols>
  <sheetData>
    <row r="1" spans="1:6" x14ac:dyDescent="0.25">
      <c r="A1" s="10"/>
      <c r="B1" s="10"/>
      <c r="C1" s="10"/>
      <c r="D1" s="10"/>
    </row>
    <row r="2" spans="1:6" x14ac:dyDescent="0.25">
      <c r="A2" s="12" t="s">
        <v>1067</v>
      </c>
      <c r="B2" s="10"/>
      <c r="C2" s="10"/>
      <c r="D2" s="10"/>
    </row>
    <row r="3" spans="1:6" x14ac:dyDescent="0.25">
      <c r="A3" s="374" t="s">
        <v>879</v>
      </c>
      <c r="B3" s="375">
        <v>44377</v>
      </c>
      <c r="C3" s="561"/>
      <c r="D3" s="388"/>
    </row>
    <row r="4" spans="1:6" ht="51" x14ac:dyDescent="0.25">
      <c r="A4" s="373" t="s">
        <v>292</v>
      </c>
      <c r="B4" s="108" t="s">
        <v>882</v>
      </c>
      <c r="C4" s="108" t="s">
        <v>1068</v>
      </c>
      <c r="D4" s="108" t="s">
        <v>886</v>
      </c>
    </row>
    <row r="5" spans="1:6" x14ac:dyDescent="0.25">
      <c r="A5" s="9" t="s">
        <v>8</v>
      </c>
      <c r="B5" s="379">
        <f>+'Nota 5'!G11</f>
        <v>294061989.41399997</v>
      </c>
      <c r="C5" s="562">
        <f>+B5*D5</f>
        <v>128122808.78767978</v>
      </c>
      <c r="D5" s="558">
        <f>+'Nota 5'!H11</f>
        <v>0.43569999999999998</v>
      </c>
    </row>
    <row r="6" spans="1:6" x14ac:dyDescent="0.25">
      <c r="A6" s="247" t="s">
        <v>12</v>
      </c>
      <c r="B6" s="243">
        <f>+B8+B9+B10</f>
        <v>278908400.245</v>
      </c>
      <c r="C6" s="563"/>
      <c r="D6" s="386"/>
    </row>
    <row r="7" spans="1:6" x14ac:dyDescent="0.25">
      <c r="A7" s="387" t="s">
        <v>102</v>
      </c>
      <c r="B7" s="243"/>
      <c r="C7" s="563"/>
      <c r="D7" s="386"/>
      <c r="F7" s="640"/>
    </row>
    <row r="8" spans="1:6" x14ac:dyDescent="0.25">
      <c r="A8" s="245" t="s">
        <v>9</v>
      </c>
      <c r="B8" s="243">
        <f>+'Nota 5'!G14</f>
        <v>131498509.127</v>
      </c>
      <c r="C8" s="563">
        <f>+B8*D8</f>
        <v>1314985.09127</v>
      </c>
      <c r="D8" s="737">
        <f>+'Nota 5'!H14</f>
        <v>0.01</v>
      </c>
      <c r="F8" s="640"/>
    </row>
    <row r="9" spans="1:6" x14ac:dyDescent="0.25">
      <c r="A9" s="245" t="s">
        <v>10</v>
      </c>
      <c r="B9" s="243">
        <f>+'Nota 5'!G15</f>
        <v>47702075.273000002</v>
      </c>
      <c r="C9" s="563">
        <f>+B9*D9</f>
        <v>1020824.4108422</v>
      </c>
      <c r="D9" s="737">
        <f>+'Nota 5'!H15</f>
        <v>2.1399999999999999E-2</v>
      </c>
      <c r="F9" s="742"/>
    </row>
    <row r="10" spans="1:6" x14ac:dyDescent="0.25">
      <c r="A10" s="245" t="s">
        <v>11</v>
      </c>
      <c r="B10" s="243">
        <f>+'Nota 5'!G16</f>
        <v>99707815.844999999</v>
      </c>
      <c r="C10" s="563">
        <f>+B10*D10</f>
        <v>32974518.348589242</v>
      </c>
      <c r="D10" s="737">
        <f>+'Nota 5'!H16</f>
        <v>0.33071147000000001</v>
      </c>
      <c r="F10" s="742"/>
    </row>
    <row r="11" spans="1:6" x14ac:dyDescent="0.25">
      <c r="A11" s="9"/>
      <c r="B11" s="124"/>
      <c r="C11" s="124"/>
      <c r="D11" s="380"/>
      <c r="F11" s="742"/>
    </row>
    <row r="12" spans="1:6" x14ac:dyDescent="0.25">
      <c r="A12" s="381" t="s">
        <v>880</v>
      </c>
      <c r="B12" s="7">
        <f>B5+B6</f>
        <v>572970389.65899992</v>
      </c>
      <c r="C12" s="382">
        <f>SUM(C5:C10)</f>
        <v>163433136.63838121</v>
      </c>
      <c r="D12" s="382"/>
      <c r="F12" s="742"/>
    </row>
    <row r="13" spans="1:6" x14ac:dyDescent="0.25">
      <c r="A13" s="9"/>
      <c r="B13" s="124"/>
      <c r="C13" s="124"/>
      <c r="D13" s="380"/>
      <c r="F13" s="742"/>
    </row>
    <row r="14" spans="1:6" x14ac:dyDescent="0.25">
      <c r="A14" s="383" t="s">
        <v>881</v>
      </c>
      <c r="B14" s="8">
        <f>-((B5*D5)+(SUMPRODUCT(B8:B10,D8:D10)))</f>
        <v>-163433136.63838121</v>
      </c>
      <c r="C14" s="564"/>
      <c r="D14" s="109"/>
      <c r="F14" s="554"/>
    </row>
    <row r="15" spans="1:6" x14ac:dyDescent="0.25">
      <c r="A15" s="370"/>
      <c r="B15" s="371"/>
      <c r="C15" s="371"/>
      <c r="D15" s="372"/>
      <c r="F15" s="742"/>
    </row>
    <row r="16" spans="1:6" x14ac:dyDescent="0.25">
      <c r="A16" s="384" t="s">
        <v>883</v>
      </c>
      <c r="B16" s="385">
        <f>B12+B14</f>
        <v>409537253.02061868</v>
      </c>
      <c r="C16" s="385"/>
      <c r="D16" s="7"/>
      <c r="F16" s="640"/>
    </row>
    <row r="17" spans="1:6" x14ac:dyDescent="0.25">
      <c r="A17" s="9"/>
      <c r="B17" s="376"/>
      <c r="C17" s="15"/>
      <c r="D17" s="15"/>
      <c r="F17" s="640"/>
    </row>
    <row r="18" spans="1:6" x14ac:dyDescent="0.25">
      <c r="A18" s="6" t="s">
        <v>13</v>
      </c>
      <c r="B18" s="377"/>
      <c r="C18" s="377"/>
      <c r="D18" s="377"/>
    </row>
    <row r="19" spans="1:6" x14ac:dyDescent="0.25">
      <c r="A19" s="125" t="s">
        <v>14</v>
      </c>
      <c r="B19" s="378" t="s">
        <v>884</v>
      </c>
      <c r="C19" s="378"/>
      <c r="D19" s="378" t="s">
        <v>885</v>
      </c>
    </row>
    <row r="20" spans="1:6" x14ac:dyDescent="0.25">
      <c r="A20" s="9" t="s">
        <v>9</v>
      </c>
      <c r="B20" s="246">
        <v>1</v>
      </c>
      <c r="C20" s="246"/>
      <c r="D20" s="246">
        <v>30</v>
      </c>
    </row>
    <row r="21" spans="1:6" x14ac:dyDescent="0.25">
      <c r="A21" s="9" t="s">
        <v>10</v>
      </c>
      <c r="B21" s="246">
        <v>31</v>
      </c>
      <c r="C21" s="246"/>
      <c r="D21" s="246">
        <v>60</v>
      </c>
    </row>
    <row r="22" spans="1:6" x14ac:dyDescent="0.25">
      <c r="A22" s="9" t="s">
        <v>11</v>
      </c>
      <c r="B22" s="246">
        <v>61</v>
      </c>
      <c r="C22" s="246"/>
      <c r="D22" s="246">
        <v>10000</v>
      </c>
    </row>
    <row r="23" spans="1:6" x14ac:dyDescent="0.25">
      <c r="A23" s="10"/>
      <c r="B23" s="10"/>
      <c r="C23" s="10"/>
      <c r="D23" s="10"/>
    </row>
    <row r="24" spans="1:6" x14ac:dyDescent="0.25">
      <c r="A24" s="565" t="s">
        <v>1061</v>
      </c>
      <c r="B24" s="10"/>
      <c r="C24" s="10"/>
      <c r="D24" s="10"/>
    </row>
    <row r="25" spans="1:6" x14ac:dyDescent="0.25">
      <c r="A25" s="10"/>
      <c r="B25" s="10"/>
      <c r="C25" s="10"/>
      <c r="D25" s="10"/>
    </row>
    <row r="26" spans="1:6" x14ac:dyDescent="0.25">
      <c r="A26" s="559" t="s">
        <v>1062</v>
      </c>
      <c r="B26" s="10"/>
      <c r="C26" s="10"/>
      <c r="D26" s="10"/>
    </row>
    <row r="27" spans="1:6" x14ac:dyDescent="0.25">
      <c r="A27" s="559" t="s">
        <v>1063</v>
      </c>
      <c r="B27" s="10"/>
      <c r="C27" s="10"/>
      <c r="D27" s="10"/>
    </row>
    <row r="28" spans="1:6" x14ac:dyDescent="0.25">
      <c r="A28" s="10"/>
      <c r="B28" s="10"/>
      <c r="C28" s="10"/>
      <c r="D28" s="10"/>
    </row>
    <row r="29" spans="1:6" x14ac:dyDescent="0.25">
      <c r="A29" s="10"/>
      <c r="B29" s="10"/>
      <c r="C29" s="10"/>
      <c r="D29" s="10"/>
    </row>
    <row r="30" spans="1:6" x14ac:dyDescent="0.25">
      <c r="A30" s="10"/>
      <c r="B30" s="10"/>
      <c r="C30" s="10"/>
      <c r="D30" s="10"/>
    </row>
    <row r="31" spans="1:6" x14ac:dyDescent="0.25">
      <c r="A31" s="10"/>
      <c r="B31" s="10"/>
      <c r="C31" s="10"/>
      <c r="D31" s="10"/>
    </row>
    <row r="32" spans="1:6" x14ac:dyDescent="0.25">
      <c r="A32" s="10"/>
      <c r="B32" s="10"/>
      <c r="C32" s="10"/>
      <c r="D32" s="10"/>
    </row>
    <row r="33" spans="1:8" x14ac:dyDescent="0.25">
      <c r="A33" s="10"/>
      <c r="B33" s="10"/>
      <c r="C33" s="10"/>
      <c r="D33" s="10"/>
    </row>
    <row r="34" spans="1:8" x14ac:dyDescent="0.25">
      <c r="A34" s="10"/>
      <c r="B34" s="10"/>
      <c r="C34" s="10"/>
      <c r="D34" s="10"/>
    </row>
    <row r="35" spans="1:8" x14ac:dyDescent="0.25">
      <c r="A35" s="10"/>
      <c r="B35" s="10"/>
      <c r="C35" s="10"/>
      <c r="D35" s="10"/>
    </row>
    <row r="36" spans="1:8" x14ac:dyDescent="0.25">
      <c r="A36" s="10"/>
      <c r="B36" s="10"/>
      <c r="C36" s="10"/>
      <c r="D36" s="10"/>
    </row>
    <row r="37" spans="1:8" x14ac:dyDescent="0.25">
      <c r="A37" s="10"/>
      <c r="B37" s="10"/>
      <c r="C37" s="10"/>
      <c r="D37" s="10"/>
    </row>
    <row r="38" spans="1:8" x14ac:dyDescent="0.25">
      <c r="A38" s="10"/>
      <c r="B38" s="10"/>
      <c r="C38" s="10"/>
      <c r="D38" s="10"/>
    </row>
    <row r="39" spans="1:8" x14ac:dyDescent="0.25">
      <c r="A39" s="10"/>
      <c r="B39" s="10"/>
      <c r="C39" s="10"/>
      <c r="D39" s="10"/>
    </row>
    <row r="40" spans="1:8" x14ac:dyDescent="0.25">
      <c r="A40" s="560" t="s">
        <v>1064</v>
      </c>
      <c r="B40" s="10"/>
      <c r="C40" s="10"/>
      <c r="D40" s="10"/>
    </row>
    <row r="41" spans="1:8" x14ac:dyDescent="0.25">
      <c r="A41" s="559" t="s">
        <v>1065</v>
      </c>
      <c r="B41" s="10"/>
      <c r="C41" s="10"/>
      <c r="D41" s="10"/>
    </row>
    <row r="42" spans="1:8" x14ac:dyDescent="0.25">
      <c r="A42" s="10" t="s">
        <v>1066</v>
      </c>
      <c r="B42" s="10"/>
      <c r="C42" s="10"/>
      <c r="D42" s="10"/>
    </row>
    <row r="43" spans="1:8" x14ac:dyDescent="0.25">
      <c r="A43" s="10"/>
      <c r="B43" s="10"/>
      <c r="C43" s="10"/>
      <c r="D43" s="10"/>
    </row>
    <row r="44" spans="1:8" x14ac:dyDescent="0.25">
      <c r="A44" s="10"/>
      <c r="B44" s="10"/>
      <c r="C44" s="10"/>
      <c r="D44" s="10"/>
    </row>
    <row r="46" spans="1:8" x14ac:dyDescent="0.25">
      <c r="A46" s="719"/>
      <c r="B46" s="455"/>
      <c r="C46" s="455"/>
      <c r="D46" s="455"/>
      <c r="E46" s="455"/>
      <c r="F46" s="455"/>
      <c r="G46" s="10"/>
      <c r="H46" s="10"/>
    </row>
    <row r="47" spans="1:8" x14ac:dyDescent="0.25">
      <c r="A47" s="719" t="s">
        <v>1294</v>
      </c>
      <c r="B47" s="719" t="s">
        <v>1295</v>
      </c>
      <c r="C47" s="455"/>
      <c r="D47" s="455"/>
      <c r="E47" s="455"/>
      <c r="F47" s="455"/>
      <c r="G47" s="10"/>
      <c r="H47" s="10"/>
    </row>
    <row r="48" spans="1:8" x14ac:dyDescent="0.25">
      <c r="A48" s="725">
        <v>44348</v>
      </c>
      <c r="B48" s="455"/>
      <c r="C48" s="455"/>
      <c r="D48" s="455"/>
      <c r="E48" s="455"/>
      <c r="F48" s="455"/>
      <c r="G48" s="10"/>
      <c r="H48" s="10"/>
    </row>
    <row r="49" spans="1:8" x14ac:dyDescent="0.25">
      <c r="A49" s="719" t="s">
        <v>1296</v>
      </c>
      <c r="B49" s="719" t="s">
        <v>1297</v>
      </c>
      <c r="C49" s="719" t="s">
        <v>1298</v>
      </c>
      <c r="D49" s="719" t="s">
        <v>1299</v>
      </c>
      <c r="E49" s="719" t="s">
        <v>1300</v>
      </c>
      <c r="F49" s="719" t="s">
        <v>1301</v>
      </c>
      <c r="G49" s="10"/>
      <c r="H49" s="10"/>
    </row>
    <row r="50" spans="1:8" x14ac:dyDescent="0.25">
      <c r="A50" s="719">
        <v>1</v>
      </c>
      <c r="B50" s="723">
        <v>473245119.81400001</v>
      </c>
      <c r="C50" s="723">
        <v>355911648.62099999</v>
      </c>
      <c r="D50" s="723">
        <v>117333471.193</v>
      </c>
      <c r="E50" s="723">
        <v>0</v>
      </c>
      <c r="F50" s="723">
        <v>117333471.193</v>
      </c>
      <c r="G50" s="10"/>
      <c r="H50" s="10"/>
    </row>
    <row r="51" spans="1:8" x14ac:dyDescent="0.25">
      <c r="A51" s="719">
        <v>2</v>
      </c>
      <c r="B51" s="723">
        <v>25872148.427999999</v>
      </c>
      <c r="C51" s="723">
        <v>20485444.353999998</v>
      </c>
      <c r="D51" s="723">
        <v>5386704.074</v>
      </c>
      <c r="E51" s="723">
        <v>1024269.904</v>
      </c>
      <c r="F51" s="723">
        <v>6410973.9780000001</v>
      </c>
      <c r="G51" s="10"/>
      <c r="H51" s="10"/>
    </row>
    <row r="52" spans="1:8" x14ac:dyDescent="0.25">
      <c r="A52" s="719">
        <v>3</v>
      </c>
      <c r="B52" s="723">
        <v>26032613.699999999</v>
      </c>
      <c r="C52" s="723">
        <v>20007872.899</v>
      </c>
      <c r="D52" s="723">
        <v>6024740.801</v>
      </c>
      <c r="E52" s="723">
        <v>5001966.3899999997</v>
      </c>
      <c r="F52" s="723">
        <v>11026707.191</v>
      </c>
      <c r="G52" s="10"/>
      <c r="H52" s="10"/>
    </row>
    <row r="53" spans="1:8" x14ac:dyDescent="0.25">
      <c r="A53" s="719">
        <v>4</v>
      </c>
      <c r="B53" s="723">
        <v>12076100.497</v>
      </c>
      <c r="C53" s="723">
        <v>9181869.1309999991</v>
      </c>
      <c r="D53" s="723">
        <v>2894231.3659999999</v>
      </c>
      <c r="E53" s="723">
        <v>4590933.99</v>
      </c>
      <c r="F53" s="723">
        <v>7485165.3559999997</v>
      </c>
      <c r="G53" s="10"/>
      <c r="H53" s="10"/>
    </row>
    <row r="54" spans="1:8" x14ac:dyDescent="0.25">
      <c r="A54" s="719">
        <v>5</v>
      </c>
      <c r="B54" s="723">
        <v>23011423.063000001</v>
      </c>
      <c r="C54" s="723">
        <v>17556628.351</v>
      </c>
      <c r="D54" s="723">
        <v>5454794.7120000003</v>
      </c>
      <c r="E54" s="723">
        <v>13167469.486</v>
      </c>
      <c r="F54" s="723">
        <v>18622264.197999999</v>
      </c>
      <c r="G54" s="10"/>
      <c r="H54" s="10"/>
    </row>
    <row r="55" spans="1:8" x14ac:dyDescent="0.25">
      <c r="A55" s="719">
        <v>6</v>
      </c>
      <c r="B55" s="723">
        <v>11596425.447000001</v>
      </c>
      <c r="C55" s="723">
        <v>9074818.5219999999</v>
      </c>
      <c r="D55" s="723">
        <v>2521606.9249999998</v>
      </c>
      <c r="E55" s="723">
        <v>9074818.5219999999</v>
      </c>
      <c r="F55" s="723">
        <v>11596425.447000001</v>
      </c>
      <c r="G55" s="10"/>
      <c r="H55" s="10"/>
    </row>
    <row r="56" spans="1:8" x14ac:dyDescent="0.25">
      <c r="A56" s="719" t="s">
        <v>130</v>
      </c>
      <c r="B56" s="723">
        <v>571833830.949</v>
      </c>
      <c r="C56" s="723">
        <v>432218281.87800002</v>
      </c>
      <c r="D56" s="723">
        <v>139615549.07100001</v>
      </c>
      <c r="E56" s="723">
        <v>32859458.291999999</v>
      </c>
      <c r="F56" s="723">
        <v>172475007.36300001</v>
      </c>
      <c r="G56" s="10">
        <v>1000</v>
      </c>
      <c r="H56" s="10"/>
    </row>
    <row r="57" spans="1:8" x14ac:dyDescent="0.25">
      <c r="A57" s="719"/>
      <c r="B57" s="723">
        <v>1136558.71</v>
      </c>
      <c r="C57" s="455"/>
      <c r="D57" s="455"/>
      <c r="E57" s="455"/>
      <c r="F57" s="455"/>
      <c r="G57" s="10"/>
      <c r="H57" s="10"/>
    </row>
    <row r="58" spans="1:8" x14ac:dyDescent="0.25">
      <c r="A58" s="99" t="s">
        <v>1302</v>
      </c>
      <c r="B58" s="723">
        <v>572970389.65900004</v>
      </c>
      <c r="C58" s="455"/>
      <c r="D58" s="455"/>
      <c r="E58" s="455"/>
      <c r="F58" s="455" t="s">
        <v>1303</v>
      </c>
      <c r="G58" s="10"/>
      <c r="H58" s="10"/>
    </row>
    <row r="59" spans="1:8" x14ac:dyDescent="0.25">
      <c r="A59" s="719" t="s">
        <v>1304</v>
      </c>
      <c r="B59" s="723">
        <v>98588711.135000005</v>
      </c>
      <c r="C59" s="455"/>
      <c r="D59" s="455"/>
      <c r="E59" s="455"/>
      <c r="F59" s="455"/>
      <c r="G59" s="10"/>
      <c r="H59" s="10"/>
    </row>
    <row r="60" spans="1:8" x14ac:dyDescent="0.25">
      <c r="A60" s="149" t="s">
        <v>1305</v>
      </c>
      <c r="B60" s="747">
        <f>+B59/B58</f>
        <v>0.17206597917507482</v>
      </c>
      <c r="C60" s="455"/>
      <c r="D60" s="455"/>
      <c r="E60" s="455"/>
      <c r="F60" s="455"/>
      <c r="G60" s="10"/>
      <c r="H60" s="10"/>
    </row>
    <row r="61" spans="1:8" x14ac:dyDescent="0.25">
      <c r="A61" s="24" t="s">
        <v>1306</v>
      </c>
      <c r="B61" s="518">
        <v>32859458.291999999</v>
      </c>
      <c r="C61" s="736"/>
      <c r="D61" s="455"/>
      <c r="E61" s="455"/>
      <c r="F61" s="455"/>
      <c r="G61" s="10"/>
      <c r="H61" s="10"/>
    </row>
    <row r="62" spans="1:8" x14ac:dyDescent="0.25">
      <c r="A62" s="24" t="s">
        <v>1307</v>
      </c>
      <c r="B62" s="748">
        <v>130573679.073</v>
      </c>
      <c r="C62" s="455"/>
      <c r="D62" s="455"/>
      <c r="E62" s="455"/>
      <c r="F62" s="455"/>
      <c r="G62" s="10"/>
      <c r="H62" s="10"/>
    </row>
    <row r="63" spans="1:8" x14ac:dyDescent="0.25">
      <c r="A63" s="149" t="s">
        <v>130</v>
      </c>
      <c r="B63" s="748">
        <v>163433137.36500001</v>
      </c>
      <c r="C63" s="455"/>
      <c r="D63" s="455"/>
      <c r="E63" s="455"/>
      <c r="F63" s="455"/>
      <c r="G63" s="10"/>
      <c r="H63" s="10"/>
    </row>
    <row r="64" spans="1:8" x14ac:dyDescent="0.25">
      <c r="A64" s="149" t="s">
        <v>1308</v>
      </c>
      <c r="B64" s="748">
        <v>30059427.421999998</v>
      </c>
      <c r="C64" s="455"/>
      <c r="D64" s="455"/>
      <c r="E64" s="455"/>
      <c r="F64" s="455"/>
      <c r="G64" s="10"/>
      <c r="H64" s="10"/>
    </row>
    <row r="65" spans="1:8" x14ac:dyDescent="0.25">
      <c r="A65" s="149" t="s">
        <v>1309</v>
      </c>
      <c r="B65" s="518">
        <v>160633106.495</v>
      </c>
      <c r="C65" s="455"/>
      <c r="D65" s="455"/>
      <c r="E65" s="455"/>
      <c r="F65" s="455"/>
      <c r="G65" s="10"/>
      <c r="H65" s="10"/>
    </row>
    <row r="66" spans="1:8" ht="15.75" thickBot="1" x14ac:dyDescent="0.3">
      <c r="A66" s="99" t="s">
        <v>1310</v>
      </c>
      <c r="B66" s="455"/>
      <c r="C66" s="455"/>
      <c r="D66" s="455"/>
      <c r="E66" s="455"/>
      <c r="F66" s="455"/>
      <c r="G66" s="10"/>
      <c r="H66" s="10"/>
    </row>
    <row r="67" spans="1:8" ht="15.75" thickBot="1" x14ac:dyDescent="0.3">
      <c r="A67" s="726" t="s">
        <v>1311</v>
      </c>
      <c r="B67" s="726" t="s">
        <v>1312</v>
      </c>
      <c r="C67" s="726" t="s">
        <v>1313</v>
      </c>
      <c r="D67" s="727" t="s">
        <v>1314</v>
      </c>
      <c r="E67" s="455"/>
      <c r="F67" s="455"/>
      <c r="G67" s="10"/>
      <c r="H67" s="10"/>
    </row>
    <row r="68" spans="1:8" x14ac:dyDescent="0.25">
      <c r="A68" s="728">
        <v>1</v>
      </c>
      <c r="B68" s="728" t="s">
        <v>1315</v>
      </c>
      <c r="C68" s="728" t="s">
        <v>1315</v>
      </c>
      <c r="D68" s="729" t="s">
        <v>1316</v>
      </c>
      <c r="E68" s="455"/>
      <c r="F68" s="455"/>
      <c r="G68" s="10"/>
      <c r="H68" s="10"/>
    </row>
    <row r="69" spans="1:8" x14ac:dyDescent="0.25">
      <c r="A69" s="728">
        <v>2</v>
      </c>
      <c r="B69" s="728" t="s">
        <v>1317</v>
      </c>
      <c r="C69" s="728" t="s">
        <v>1317</v>
      </c>
      <c r="D69" s="730">
        <v>0.05</v>
      </c>
      <c r="E69" s="455"/>
      <c r="F69" s="455"/>
      <c r="G69" s="10"/>
      <c r="H69" s="10"/>
    </row>
    <row r="70" spans="1:8" x14ac:dyDescent="0.25">
      <c r="A70" s="731">
        <v>3</v>
      </c>
      <c r="B70" s="731" t="s">
        <v>1318</v>
      </c>
      <c r="C70" s="731" t="s">
        <v>1319</v>
      </c>
      <c r="D70" s="732">
        <v>0.25</v>
      </c>
      <c r="E70" s="455"/>
      <c r="F70" s="455"/>
      <c r="G70" s="10"/>
      <c r="H70" s="10"/>
    </row>
    <row r="71" spans="1:8" x14ac:dyDescent="0.25">
      <c r="A71" s="731">
        <v>4</v>
      </c>
      <c r="B71" s="731" t="s">
        <v>1320</v>
      </c>
      <c r="C71" s="731" t="s">
        <v>1321</v>
      </c>
      <c r="D71" s="732">
        <v>0.5</v>
      </c>
      <c r="E71" s="455"/>
      <c r="F71" s="455"/>
      <c r="G71" s="10"/>
      <c r="H71" s="10"/>
    </row>
    <row r="72" spans="1:8" x14ac:dyDescent="0.25">
      <c r="A72" s="731">
        <v>5</v>
      </c>
      <c r="B72" s="731" t="s">
        <v>1322</v>
      </c>
      <c r="C72" s="731" t="s">
        <v>1320</v>
      </c>
      <c r="D72" s="732">
        <v>0.75</v>
      </c>
      <c r="E72" s="455"/>
      <c r="F72" s="455"/>
      <c r="G72" s="10"/>
      <c r="H72" s="10"/>
    </row>
    <row r="73" spans="1:8" ht="15.75" thickBot="1" x14ac:dyDescent="0.3">
      <c r="A73" s="733">
        <v>6</v>
      </c>
      <c r="B73" s="733" t="s">
        <v>1323</v>
      </c>
      <c r="C73" s="733" t="s">
        <v>1324</v>
      </c>
      <c r="D73" s="734">
        <v>1</v>
      </c>
      <c r="E73" s="455"/>
      <c r="F73" s="455"/>
      <c r="G73" s="10"/>
      <c r="H73" s="10"/>
    </row>
    <row r="74" spans="1:8" x14ac:dyDescent="0.25">
      <c r="A74" s="719"/>
      <c r="B74" s="455"/>
      <c r="C74" s="455"/>
      <c r="D74" s="455"/>
      <c r="E74" s="455"/>
      <c r="F74" s="455"/>
      <c r="G74" s="10"/>
      <c r="H74" s="10"/>
    </row>
  </sheetData>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abSelected="1" workbookViewId="0">
      <selection activeCell="G15" sqref="G15"/>
    </sheetView>
  </sheetViews>
  <sheetFormatPr baseColWidth="10" defaultRowHeight="15" x14ac:dyDescent="0.25"/>
  <cols>
    <col min="5" max="5" width="52.140625" bestFit="1" customWidth="1"/>
  </cols>
  <sheetData>
    <row r="1" spans="1:9" x14ac:dyDescent="0.25">
      <c r="A1" s="720"/>
      <c r="B1" s="720"/>
      <c r="C1" s="720"/>
      <c r="D1" s="720"/>
      <c r="E1" s="720"/>
      <c r="F1" s="720"/>
      <c r="G1" s="720"/>
      <c r="H1" s="720"/>
      <c r="I1" s="720"/>
    </row>
    <row r="2" spans="1:9" ht="15.75" x14ac:dyDescent="0.25">
      <c r="A2" s="567" t="s">
        <v>1081</v>
      </c>
      <c r="B2" s="566"/>
      <c r="C2" s="566"/>
      <c r="D2" s="566"/>
      <c r="E2" s="566"/>
      <c r="F2" s="566"/>
      <c r="G2" s="566"/>
      <c r="H2" s="566"/>
      <c r="I2" s="566"/>
    </row>
    <row r="3" spans="1:9" ht="15.75" x14ac:dyDescent="0.25">
      <c r="A3" s="566"/>
      <c r="B3" s="566"/>
      <c r="C3" s="566"/>
      <c r="D3" s="720"/>
      <c r="E3" s="567"/>
      <c r="F3" s="567"/>
      <c r="G3" s="567"/>
      <c r="H3" s="566"/>
      <c r="I3" s="566"/>
    </row>
    <row r="4" spans="1:9" x14ac:dyDescent="0.25">
      <c r="A4" s="566"/>
      <c r="B4" s="566"/>
      <c r="C4" s="566"/>
      <c r="D4" s="566"/>
      <c r="E4" s="566"/>
      <c r="F4" s="566"/>
      <c r="G4" s="566"/>
      <c r="H4" s="566"/>
      <c r="I4" s="566"/>
    </row>
    <row r="5" spans="1:9" ht="18.75" thickBot="1" x14ac:dyDescent="0.3">
      <c r="A5" s="911" t="s">
        <v>1082</v>
      </c>
      <c r="B5" s="912"/>
      <c r="C5" s="912"/>
      <c r="D5" s="912"/>
      <c r="E5" s="912"/>
      <c r="F5" s="912"/>
      <c r="G5" s="912"/>
      <c r="H5" s="912"/>
      <c r="I5" s="913"/>
    </row>
    <row r="6" spans="1:9" x14ac:dyDescent="0.25">
      <c r="A6" s="914" t="s">
        <v>1083</v>
      </c>
      <c r="B6" s="915"/>
      <c r="C6" s="915"/>
      <c r="D6" s="915"/>
      <c r="E6" s="915"/>
      <c r="F6" s="915"/>
      <c r="G6" s="915"/>
      <c r="H6" s="915"/>
      <c r="I6" s="916"/>
    </row>
    <row r="7" spans="1:9" x14ac:dyDescent="0.25">
      <c r="A7" s="568"/>
      <c r="B7" s="569"/>
      <c r="C7" s="569"/>
      <c r="D7" s="569"/>
      <c r="E7" s="569"/>
      <c r="F7" s="569"/>
      <c r="G7" s="569"/>
      <c r="H7" s="569"/>
      <c r="I7" s="570"/>
    </row>
    <row r="8" spans="1:9" x14ac:dyDescent="0.25">
      <c r="A8" s="571" t="s">
        <v>1084</v>
      </c>
      <c r="B8" s="572"/>
      <c r="C8" s="572"/>
      <c r="D8" s="572"/>
      <c r="E8" s="573"/>
      <c r="F8" s="573"/>
      <c r="G8" s="573"/>
      <c r="H8" s="573"/>
      <c r="I8" s="574"/>
    </row>
    <row r="9" spans="1:9" x14ac:dyDescent="0.25">
      <c r="A9" s="575"/>
      <c r="B9" s="576"/>
      <c r="C9" s="576"/>
      <c r="D9" s="576"/>
      <c r="E9" s="577"/>
      <c r="F9" s="577"/>
      <c r="G9" s="577"/>
      <c r="H9" s="577"/>
      <c r="I9" s="578"/>
    </row>
    <row r="10" spans="1:9" x14ac:dyDescent="0.25">
      <c r="A10" s="575" t="s">
        <v>1085</v>
      </c>
      <c r="B10" s="579"/>
      <c r="C10" s="579"/>
      <c r="D10" s="579"/>
      <c r="E10" s="579"/>
      <c r="F10" s="577"/>
      <c r="G10" s="577"/>
      <c r="H10" s="577"/>
      <c r="I10" s="578"/>
    </row>
    <row r="11" spans="1:9" x14ac:dyDescent="0.25">
      <c r="A11" s="580" t="s">
        <v>1086</v>
      </c>
      <c r="B11" s="577"/>
      <c r="C11" s="577"/>
      <c r="D11" s="577"/>
      <c r="E11" s="577"/>
      <c r="F11" s="577"/>
      <c r="G11" s="577"/>
      <c r="H11" s="577"/>
      <c r="I11" s="578"/>
    </row>
    <row r="12" spans="1:9" x14ac:dyDescent="0.25">
      <c r="A12" s="581" t="s">
        <v>1087</v>
      </c>
      <c r="B12" s="577"/>
      <c r="C12" s="577"/>
      <c r="D12" s="577"/>
      <c r="E12" s="577"/>
      <c r="F12" s="577"/>
      <c r="G12" s="577"/>
      <c r="H12" s="577"/>
      <c r="I12" s="578"/>
    </row>
    <row r="13" spans="1:9" x14ac:dyDescent="0.25">
      <c r="A13" s="581" t="s">
        <v>1088</v>
      </c>
      <c r="B13" s="577"/>
      <c r="C13" s="577"/>
      <c r="D13" s="577"/>
      <c r="E13" s="577"/>
      <c r="F13" s="577"/>
      <c r="G13" s="577"/>
      <c r="H13" s="577"/>
      <c r="I13" s="578"/>
    </row>
    <row r="14" spans="1:9" x14ac:dyDescent="0.25">
      <c r="A14" s="582" t="s">
        <v>1089</v>
      </c>
      <c r="B14" s="583"/>
      <c r="C14" s="583"/>
      <c r="D14" s="583"/>
      <c r="E14" s="583"/>
      <c r="F14" s="583"/>
      <c r="G14" s="583"/>
      <c r="H14" s="583"/>
      <c r="I14" s="578"/>
    </row>
    <row r="15" spans="1:9" x14ac:dyDescent="0.25">
      <c r="A15" s="582" t="s">
        <v>1090</v>
      </c>
      <c r="B15" s="583"/>
      <c r="C15" s="583"/>
      <c r="D15" s="583"/>
      <c r="E15" s="583"/>
      <c r="F15" s="583"/>
      <c r="G15" s="583"/>
      <c r="H15" s="583"/>
      <c r="I15" s="578"/>
    </row>
    <row r="16" spans="1:9" x14ac:dyDescent="0.25">
      <c r="A16" s="584" t="s">
        <v>1091</v>
      </c>
      <c r="B16" s="583"/>
      <c r="C16" s="583"/>
      <c r="D16" s="583"/>
      <c r="E16" s="583"/>
      <c r="F16" s="583"/>
      <c r="G16" s="583"/>
      <c r="H16" s="583"/>
      <c r="I16" s="578"/>
    </row>
    <row r="17" spans="1:9" x14ac:dyDescent="0.25">
      <c r="A17" s="581" t="s">
        <v>1092</v>
      </c>
      <c r="B17" s="577"/>
      <c r="C17" s="577"/>
      <c r="D17" s="577"/>
      <c r="E17" s="577"/>
      <c r="F17" s="577"/>
      <c r="G17" s="577"/>
      <c r="H17" s="577"/>
      <c r="I17" s="578"/>
    </row>
    <row r="18" spans="1:9" x14ac:dyDescent="0.25">
      <c r="A18" s="575"/>
      <c r="B18" s="577"/>
      <c r="C18" s="577"/>
      <c r="D18" s="577"/>
      <c r="E18" s="577"/>
      <c r="F18" s="577"/>
      <c r="G18" s="577"/>
      <c r="H18" s="577"/>
      <c r="I18" s="578"/>
    </row>
    <row r="19" spans="1:9" x14ac:dyDescent="0.25">
      <c r="A19" s="902" t="s">
        <v>1093</v>
      </c>
      <c r="B19" s="903"/>
      <c r="C19" s="903"/>
      <c r="D19" s="903"/>
      <c r="E19" s="903"/>
      <c r="F19" s="903"/>
      <c r="G19" s="903"/>
      <c r="H19" s="903"/>
      <c r="I19" s="904"/>
    </row>
    <row r="20" spans="1:9" x14ac:dyDescent="0.25">
      <c r="A20" s="905" t="s">
        <v>1094</v>
      </c>
      <c r="B20" s="905"/>
      <c r="C20" s="905"/>
      <c r="D20" s="905" t="s">
        <v>1095</v>
      </c>
      <c r="E20" s="905"/>
      <c r="F20" s="905" t="s">
        <v>1096</v>
      </c>
      <c r="G20" s="905"/>
      <c r="H20" s="917" t="s">
        <v>1097</v>
      </c>
      <c r="I20" s="917"/>
    </row>
    <row r="21" spans="1:9" x14ac:dyDescent="0.25">
      <c r="A21" s="901" t="s">
        <v>1098</v>
      </c>
      <c r="B21" s="901"/>
      <c r="C21" s="901"/>
      <c r="D21" s="908">
        <v>97000</v>
      </c>
      <c r="E21" s="909"/>
      <c r="F21" s="901" t="s">
        <v>1099</v>
      </c>
      <c r="G21" s="901"/>
      <c r="H21" s="910">
        <v>0.97</v>
      </c>
      <c r="I21" s="901"/>
    </row>
    <row r="22" spans="1:9" x14ac:dyDescent="0.25">
      <c r="A22" s="901" t="s">
        <v>1278</v>
      </c>
      <c r="B22" s="901" t="s">
        <v>962</v>
      </c>
      <c r="C22" s="901"/>
      <c r="D22" s="908">
        <v>28000</v>
      </c>
      <c r="E22" s="909"/>
      <c r="F22" s="901" t="s">
        <v>1099</v>
      </c>
      <c r="G22" s="901"/>
      <c r="H22" s="910">
        <v>0.28000000000000003</v>
      </c>
      <c r="I22" s="901"/>
    </row>
    <row r="23" spans="1:9" x14ac:dyDescent="0.25">
      <c r="A23" s="901"/>
      <c r="B23" s="901"/>
      <c r="C23" s="901"/>
      <c r="D23" s="901"/>
      <c r="E23" s="901"/>
      <c r="F23" s="901"/>
      <c r="G23" s="901"/>
      <c r="H23" s="901"/>
      <c r="I23" s="901"/>
    </row>
    <row r="24" spans="1:9" x14ac:dyDescent="0.25">
      <c r="A24" s="588" t="s">
        <v>1100</v>
      </c>
      <c r="B24" s="589"/>
      <c r="C24" s="589"/>
      <c r="D24" s="589"/>
      <c r="E24" s="589"/>
      <c r="F24" s="589"/>
      <c r="G24" s="589"/>
      <c r="H24" s="577"/>
      <c r="I24" s="578"/>
    </row>
    <row r="25" spans="1:9" x14ac:dyDescent="0.25">
      <c r="A25" s="588"/>
      <c r="B25" s="589"/>
      <c r="C25" s="589"/>
      <c r="D25" s="589"/>
      <c r="E25" s="589"/>
      <c r="F25" s="589"/>
      <c r="G25" s="589"/>
      <c r="H25" s="577"/>
      <c r="I25" s="578"/>
    </row>
    <row r="26" spans="1:9" x14ac:dyDescent="0.25">
      <c r="A26" s="902" t="s">
        <v>1101</v>
      </c>
      <c r="B26" s="903"/>
      <c r="C26" s="903"/>
      <c r="D26" s="903"/>
      <c r="E26" s="903"/>
      <c r="F26" s="903"/>
      <c r="G26" s="903"/>
      <c r="H26" s="903"/>
      <c r="I26" s="904"/>
    </row>
    <row r="27" spans="1:9" x14ac:dyDescent="0.25">
      <c r="A27" s="905" t="s">
        <v>1094</v>
      </c>
      <c r="B27" s="905"/>
      <c r="C27" s="905"/>
      <c r="D27" s="905" t="s">
        <v>1102</v>
      </c>
      <c r="E27" s="905"/>
      <c r="F27" s="905" t="s">
        <v>1103</v>
      </c>
      <c r="G27" s="905"/>
      <c r="H27" s="906" t="s">
        <v>1104</v>
      </c>
      <c r="I27" s="907"/>
    </row>
    <row r="28" spans="1:9" x14ac:dyDescent="0.25">
      <c r="A28" s="901"/>
      <c r="B28" s="901"/>
      <c r="C28" s="901"/>
      <c r="D28" s="901"/>
      <c r="E28" s="901"/>
      <c r="F28" s="901"/>
      <c r="G28" s="901"/>
      <c r="H28" s="901"/>
      <c r="I28" s="901"/>
    </row>
    <row r="29" spans="1:9" x14ac:dyDescent="0.25">
      <c r="A29" s="585" t="s">
        <v>1105</v>
      </c>
      <c r="B29" s="586"/>
      <c r="C29" s="587"/>
      <c r="D29" s="585"/>
      <c r="E29" s="587"/>
      <c r="F29" s="585"/>
      <c r="G29" s="587"/>
      <c r="H29" s="585"/>
      <c r="I29" s="587"/>
    </row>
    <row r="30" spans="1:9" x14ac:dyDescent="0.25">
      <c r="A30" s="901"/>
      <c r="B30" s="901"/>
      <c r="C30" s="901"/>
      <c r="D30" s="901"/>
      <c r="E30" s="901"/>
      <c r="F30" s="901"/>
      <c r="G30" s="901"/>
      <c r="H30" s="901"/>
      <c r="I30" s="901"/>
    </row>
    <row r="31" spans="1:9" x14ac:dyDescent="0.25">
      <c r="A31" s="588" t="s">
        <v>1106</v>
      </c>
      <c r="B31" s="577"/>
      <c r="C31" s="577"/>
      <c r="D31" s="577"/>
      <c r="E31" s="577"/>
      <c r="F31" s="577"/>
      <c r="G31" s="577"/>
      <c r="H31" s="577"/>
      <c r="I31" s="578"/>
    </row>
    <row r="32" spans="1:9" x14ac:dyDescent="0.25">
      <c r="A32" s="588"/>
      <c r="B32" s="577"/>
      <c r="C32" s="577"/>
      <c r="D32" s="577"/>
      <c r="E32" s="577"/>
      <c r="F32" s="577"/>
      <c r="G32" s="577"/>
      <c r="H32" s="577"/>
      <c r="I32" s="578"/>
    </row>
    <row r="33" spans="1:9" x14ac:dyDescent="0.25">
      <c r="A33" s="893" t="s">
        <v>1107</v>
      </c>
      <c r="B33" s="894"/>
      <c r="C33" s="894"/>
      <c r="D33" s="894"/>
      <c r="E33" s="894"/>
      <c r="F33" s="894"/>
      <c r="G33" s="894"/>
      <c r="H33" s="894"/>
      <c r="I33" s="895"/>
    </row>
    <row r="34" spans="1:9" x14ac:dyDescent="0.25">
      <c r="A34" s="896" t="s">
        <v>1108</v>
      </c>
      <c r="B34" s="897"/>
      <c r="C34" s="897"/>
      <c r="D34" s="897"/>
      <c r="E34" s="898"/>
      <c r="F34" s="896" t="s">
        <v>1109</v>
      </c>
      <c r="G34" s="897"/>
      <c r="H34" s="899"/>
      <c r="I34" s="900"/>
    </row>
    <row r="35" spans="1:9" x14ac:dyDescent="0.25">
      <c r="A35" s="590"/>
      <c r="B35" s="591"/>
      <c r="C35" s="592" t="s">
        <v>973</v>
      </c>
      <c r="D35" s="590"/>
      <c r="E35" s="591"/>
      <c r="F35" s="590"/>
      <c r="G35" s="592" t="s">
        <v>973</v>
      </c>
      <c r="H35" s="590"/>
      <c r="I35" s="592"/>
    </row>
    <row r="36" spans="1:9" x14ac:dyDescent="0.25">
      <c r="A36" s="901"/>
      <c r="B36" s="901"/>
      <c r="C36" s="901"/>
      <c r="D36" s="901"/>
      <c r="E36" s="901"/>
      <c r="F36" s="901"/>
      <c r="G36" s="901"/>
      <c r="H36" s="901"/>
      <c r="I36" s="901"/>
    </row>
    <row r="37" spans="1:9" x14ac:dyDescent="0.25">
      <c r="A37" s="580"/>
      <c r="B37" s="577"/>
      <c r="C37" s="577"/>
      <c r="D37" s="589"/>
      <c r="E37" s="577"/>
      <c r="F37" s="577"/>
      <c r="G37" s="577"/>
      <c r="H37" s="577"/>
      <c r="I37" s="578"/>
    </row>
    <row r="38" spans="1:9" x14ac:dyDescent="0.25">
      <c r="A38" s="593"/>
      <c r="B38" s="594"/>
      <c r="C38" s="594"/>
      <c r="D38" s="594"/>
      <c r="E38" s="594"/>
      <c r="F38" s="594"/>
      <c r="G38" s="577"/>
      <c r="H38" s="577"/>
      <c r="I38" s="578"/>
    </row>
    <row r="39" spans="1:9" x14ac:dyDescent="0.25">
      <c r="A39" s="575" t="s">
        <v>1110</v>
      </c>
      <c r="B39" s="589"/>
      <c r="C39" s="589"/>
      <c r="D39" s="589"/>
      <c r="E39" s="891"/>
      <c r="F39" s="892"/>
      <c r="G39" s="892"/>
      <c r="H39" s="892"/>
      <c r="I39" s="578"/>
    </row>
    <row r="40" spans="1:9" x14ac:dyDescent="0.25">
      <c r="A40" s="580"/>
      <c r="B40" s="577"/>
      <c r="C40" s="577"/>
      <c r="D40" s="577"/>
      <c r="E40" s="577" t="s">
        <v>1111</v>
      </c>
      <c r="F40" s="775">
        <v>44377</v>
      </c>
      <c r="G40" s="775">
        <v>44012</v>
      </c>
      <c r="H40" s="577"/>
      <c r="I40" s="578"/>
    </row>
    <row r="41" spans="1:9" s="720" customFormat="1" x14ac:dyDescent="0.25">
      <c r="A41" s="580"/>
      <c r="B41" s="577"/>
      <c r="C41" s="589" t="s">
        <v>1112</v>
      </c>
      <c r="D41" s="577"/>
      <c r="E41" s="577"/>
      <c r="F41" s="594"/>
      <c r="G41" s="594"/>
      <c r="H41" s="577"/>
      <c r="I41" s="578"/>
    </row>
    <row r="42" spans="1:9" x14ac:dyDescent="0.25">
      <c r="A42" s="575" t="s">
        <v>1113</v>
      </c>
      <c r="B42" s="577"/>
      <c r="C42" s="577"/>
      <c r="D42" s="577"/>
      <c r="E42" s="577"/>
      <c r="F42" s="594"/>
      <c r="G42" s="594"/>
      <c r="H42" s="577"/>
      <c r="I42" s="578"/>
    </row>
    <row r="43" spans="1:9" x14ac:dyDescent="0.25">
      <c r="A43" s="588" t="s">
        <v>1114</v>
      </c>
      <c r="B43" s="577"/>
      <c r="C43" s="577"/>
      <c r="D43" s="577"/>
      <c r="E43" s="577"/>
      <c r="F43" s="594"/>
      <c r="G43" s="594"/>
      <c r="H43" s="577"/>
      <c r="I43" s="578"/>
    </row>
    <row r="44" spans="1:9" x14ac:dyDescent="0.25">
      <c r="A44" s="581" t="s">
        <v>1115</v>
      </c>
      <c r="B44" s="577"/>
      <c r="C44" s="577"/>
      <c r="D44" s="577"/>
      <c r="E44" s="577"/>
      <c r="F44" s="594"/>
      <c r="G44" s="594"/>
      <c r="H44" s="577"/>
      <c r="I44" s="578"/>
    </row>
    <row r="45" spans="1:9" x14ac:dyDescent="0.25">
      <c r="A45" s="582" t="s">
        <v>1116</v>
      </c>
      <c r="B45" s="577"/>
      <c r="C45" s="595"/>
      <c r="D45" s="577"/>
      <c r="E45" s="577"/>
      <c r="F45" s="594"/>
      <c r="G45" s="594"/>
      <c r="H45" s="577"/>
      <c r="I45" s="578"/>
    </row>
    <row r="46" spans="1:9" x14ac:dyDescent="0.25">
      <c r="A46" s="584"/>
      <c r="B46" s="577"/>
      <c r="C46" s="595"/>
      <c r="D46" s="577"/>
      <c r="E46" s="577"/>
      <c r="F46" s="594"/>
      <c r="G46" s="594"/>
      <c r="H46" s="577"/>
      <c r="I46" s="578"/>
    </row>
    <row r="47" spans="1:9" x14ac:dyDescent="0.25">
      <c r="A47" s="575" t="s">
        <v>1117</v>
      </c>
      <c r="B47" s="577"/>
      <c r="C47" s="577"/>
      <c r="D47" s="577"/>
      <c r="E47" s="577"/>
      <c r="F47" s="594"/>
      <c r="G47" s="594"/>
      <c r="H47" s="577"/>
      <c r="I47" s="578"/>
    </row>
    <row r="48" spans="1:9" x14ac:dyDescent="0.25">
      <c r="A48" s="581" t="s">
        <v>1115</v>
      </c>
      <c r="B48" s="577"/>
      <c r="C48" s="577"/>
      <c r="D48" s="577"/>
      <c r="E48" s="577"/>
      <c r="F48" s="594"/>
      <c r="G48" s="594"/>
      <c r="H48" s="577"/>
      <c r="I48" s="578"/>
    </row>
    <row r="49" spans="1:9" x14ac:dyDescent="0.25">
      <c r="A49" s="581" t="s">
        <v>1118</v>
      </c>
      <c r="B49" s="577"/>
      <c r="C49" s="577"/>
      <c r="D49" s="577"/>
      <c r="E49" s="577"/>
      <c r="F49" s="594"/>
      <c r="G49" s="594"/>
      <c r="H49" s="577"/>
      <c r="I49" s="578"/>
    </row>
    <row r="50" spans="1:9" x14ac:dyDescent="0.25">
      <c r="A50" s="596" t="s">
        <v>1119</v>
      </c>
      <c r="B50" s="577"/>
      <c r="C50" s="720"/>
      <c r="D50" s="577"/>
      <c r="E50" s="577"/>
      <c r="F50" s="776">
        <v>55978.737999999998</v>
      </c>
      <c r="G50" s="776">
        <v>48584.502999999997</v>
      </c>
      <c r="H50" s="577"/>
      <c r="I50" s="578"/>
    </row>
    <row r="51" spans="1:9" x14ac:dyDescent="0.25">
      <c r="A51" s="584" t="s">
        <v>1120</v>
      </c>
      <c r="B51" s="577"/>
      <c r="C51" s="720"/>
      <c r="D51" s="577"/>
      <c r="E51" s="577"/>
      <c r="F51" s="776">
        <v>35186.635999999999</v>
      </c>
      <c r="G51" s="776">
        <v>30538.83</v>
      </c>
      <c r="H51" s="577"/>
      <c r="I51" s="578"/>
    </row>
    <row r="52" spans="1:9" x14ac:dyDescent="0.25">
      <c r="A52" s="580"/>
      <c r="B52" s="577"/>
      <c r="C52" s="577"/>
      <c r="D52" s="577"/>
      <c r="E52" s="577"/>
      <c r="F52" s="594"/>
      <c r="G52" s="594"/>
      <c r="H52" s="577"/>
      <c r="I52" s="578"/>
    </row>
    <row r="53" spans="1:9" x14ac:dyDescent="0.25">
      <c r="A53" s="581" t="s">
        <v>1121</v>
      </c>
      <c r="B53" s="577"/>
      <c r="C53" s="577"/>
      <c r="D53" s="577"/>
      <c r="E53" s="577"/>
      <c r="F53" s="594"/>
      <c r="G53" s="594"/>
      <c r="H53" s="577"/>
      <c r="I53" s="578"/>
    </row>
    <row r="54" spans="1:9" x14ac:dyDescent="0.25">
      <c r="A54" s="581"/>
      <c r="B54" s="577"/>
      <c r="C54" s="577"/>
      <c r="D54" s="577"/>
      <c r="E54" s="577"/>
      <c r="F54" s="594"/>
      <c r="G54" s="594"/>
      <c r="H54" s="577"/>
      <c r="I54" s="578"/>
    </row>
    <row r="55" spans="1:9" x14ac:dyDescent="0.25">
      <c r="A55" s="581" t="s">
        <v>1122</v>
      </c>
      <c r="B55" s="577"/>
      <c r="C55" s="577"/>
      <c r="D55" s="577"/>
      <c r="E55" s="577"/>
      <c r="F55" s="594"/>
      <c r="G55" s="594"/>
      <c r="H55" s="577"/>
      <c r="I55" s="578"/>
    </row>
    <row r="56" spans="1:9" x14ac:dyDescent="0.25">
      <c r="A56" s="582" t="s">
        <v>1123</v>
      </c>
      <c r="B56" s="577"/>
      <c r="C56" s="597" t="s">
        <v>1325</v>
      </c>
      <c r="D56" s="577"/>
      <c r="E56" s="577"/>
      <c r="F56" s="777">
        <v>5367498.5</v>
      </c>
      <c r="G56" s="776">
        <v>3442901.6719999998</v>
      </c>
      <c r="H56" s="595"/>
      <c r="I56" s="598"/>
    </row>
    <row r="57" spans="1:9" x14ac:dyDescent="0.25">
      <c r="A57" s="582" t="s">
        <v>1123</v>
      </c>
      <c r="B57" s="577"/>
      <c r="C57" s="597" t="s">
        <v>1326</v>
      </c>
      <c r="D57" s="577"/>
      <c r="E57" s="577"/>
      <c r="F57" s="777">
        <v>165125.44399999999</v>
      </c>
      <c r="G57" s="776">
        <v>383565.89199999999</v>
      </c>
      <c r="H57" s="595"/>
      <c r="I57" s="598"/>
    </row>
    <row r="58" spans="1:9" x14ac:dyDescent="0.25">
      <c r="A58" s="582" t="s">
        <v>1124</v>
      </c>
      <c r="B58" s="577"/>
      <c r="C58" s="597" t="s">
        <v>1325</v>
      </c>
      <c r="D58" s="577"/>
      <c r="E58" s="577"/>
      <c r="F58" s="777">
        <v>3478206.8629999999</v>
      </c>
      <c r="G58" s="776">
        <v>3442901.6719999998</v>
      </c>
      <c r="H58" s="595"/>
      <c r="I58" s="598"/>
    </row>
    <row r="59" spans="1:9" x14ac:dyDescent="0.25">
      <c r="A59" s="582" t="s">
        <v>1124</v>
      </c>
      <c r="B59" s="577"/>
      <c r="C59" s="597" t="s">
        <v>1326</v>
      </c>
      <c r="D59" s="577"/>
      <c r="E59" s="577"/>
      <c r="F59" s="777">
        <v>103793.137</v>
      </c>
      <c r="G59" s="776">
        <v>238145.69399999999</v>
      </c>
      <c r="H59" s="595"/>
      <c r="I59" s="598"/>
    </row>
    <row r="60" spans="1:9" x14ac:dyDescent="0.25">
      <c r="A60" s="582" t="s">
        <v>1125</v>
      </c>
      <c r="B60" s="577"/>
      <c r="C60" s="597" t="s">
        <v>1325</v>
      </c>
      <c r="D60" s="577"/>
      <c r="E60" s="577"/>
      <c r="F60" s="777">
        <v>188000</v>
      </c>
      <c r="G60" s="776">
        <v>282000</v>
      </c>
      <c r="H60" s="595"/>
      <c r="I60" s="598"/>
    </row>
    <row r="61" spans="1:9" x14ac:dyDescent="0.25">
      <c r="A61" s="582" t="s">
        <v>1143</v>
      </c>
      <c r="B61" s="577"/>
      <c r="C61" s="597" t="s">
        <v>1325</v>
      </c>
      <c r="D61" s="577"/>
      <c r="E61" s="577"/>
      <c r="F61" s="777">
        <v>94000</v>
      </c>
      <c r="G61" s="776">
        <v>0</v>
      </c>
      <c r="H61" s="595"/>
      <c r="I61" s="598"/>
    </row>
    <row r="62" spans="1:9" x14ac:dyDescent="0.25">
      <c r="A62" s="582" t="s">
        <v>1126</v>
      </c>
      <c r="B62" s="577"/>
      <c r="C62" s="597" t="s">
        <v>1327</v>
      </c>
      <c r="D62" s="577"/>
      <c r="E62" s="577"/>
      <c r="F62" s="777">
        <v>4730000</v>
      </c>
      <c r="G62" s="776">
        <v>3870000</v>
      </c>
      <c r="H62" s="595"/>
      <c r="I62" s="598"/>
    </row>
    <row r="63" spans="1:9" x14ac:dyDescent="0.25">
      <c r="A63" s="582" t="s">
        <v>1127</v>
      </c>
      <c r="B63" s="577"/>
      <c r="C63" s="597" t="s">
        <v>1325</v>
      </c>
      <c r="D63" s="577"/>
      <c r="E63" s="577"/>
      <c r="F63" s="777">
        <v>150000</v>
      </c>
      <c r="G63" s="776">
        <v>75000</v>
      </c>
      <c r="H63" s="595"/>
      <c r="I63" s="598"/>
    </row>
    <row r="64" spans="1:9" x14ac:dyDescent="0.25">
      <c r="A64" s="600" t="s">
        <v>1128</v>
      </c>
      <c r="B64" s="577"/>
      <c r="C64" s="597" t="s">
        <v>1325</v>
      </c>
      <c r="D64" s="577"/>
      <c r="E64" s="577"/>
      <c r="F64" s="777">
        <v>60000</v>
      </c>
      <c r="G64" s="776">
        <v>30000</v>
      </c>
      <c r="H64" s="595"/>
      <c r="I64" s="598"/>
    </row>
    <row r="65" spans="1:9" x14ac:dyDescent="0.25">
      <c r="A65" s="600" t="s">
        <v>1129</v>
      </c>
      <c r="B65" s="577"/>
      <c r="C65" s="597" t="s">
        <v>1325</v>
      </c>
      <c r="D65" s="577"/>
      <c r="E65" s="577"/>
      <c r="F65" s="777">
        <v>60000</v>
      </c>
      <c r="G65" s="776">
        <v>15000</v>
      </c>
      <c r="H65" s="595"/>
      <c r="I65" s="578"/>
    </row>
    <row r="66" spans="1:9" x14ac:dyDescent="0.25">
      <c r="A66" s="600" t="s">
        <v>1129</v>
      </c>
      <c r="B66" s="577"/>
      <c r="C66" s="597" t="s">
        <v>1328</v>
      </c>
      <c r="D66" s="577"/>
      <c r="E66" s="577"/>
      <c r="F66" s="777">
        <v>200000</v>
      </c>
      <c r="G66" s="776">
        <v>286985</v>
      </c>
      <c r="H66" s="577"/>
      <c r="I66" s="578"/>
    </row>
    <row r="67" spans="1:9" x14ac:dyDescent="0.25">
      <c r="A67" s="600" t="s">
        <v>1130</v>
      </c>
      <c r="B67" s="577"/>
      <c r="C67" s="597" t="s">
        <v>1325</v>
      </c>
      <c r="D67" s="577"/>
      <c r="E67" s="577"/>
      <c r="F67" s="777">
        <v>90000</v>
      </c>
      <c r="G67" s="776">
        <v>45000</v>
      </c>
      <c r="H67" s="577"/>
      <c r="I67" s="578"/>
    </row>
    <row r="68" spans="1:9" x14ac:dyDescent="0.25">
      <c r="A68" s="600" t="s">
        <v>1131</v>
      </c>
      <c r="B68" s="577"/>
      <c r="C68" s="597" t="s">
        <v>1325</v>
      </c>
      <c r="D68" s="577"/>
      <c r="E68" s="577"/>
      <c r="F68" s="777">
        <v>6000</v>
      </c>
      <c r="G68" s="776">
        <v>3000</v>
      </c>
      <c r="H68" s="577"/>
      <c r="I68" s="578"/>
    </row>
    <row r="69" spans="1:9" x14ac:dyDescent="0.25">
      <c r="A69" s="600"/>
      <c r="B69" s="577"/>
      <c r="C69" s="577"/>
      <c r="D69" s="577"/>
      <c r="E69" s="577"/>
      <c r="F69" s="597"/>
      <c r="G69" s="577"/>
      <c r="H69" s="577"/>
      <c r="I69" s="578"/>
    </row>
    <row r="70" spans="1:9" x14ac:dyDescent="0.25">
      <c r="A70" s="580" t="s">
        <v>1132</v>
      </c>
      <c r="B70" s="577"/>
      <c r="C70" s="577"/>
      <c r="D70" s="577"/>
      <c r="E70" s="577"/>
      <c r="F70" s="577"/>
      <c r="G70" s="577"/>
      <c r="H70" s="577"/>
      <c r="I70" s="578"/>
    </row>
    <row r="71" spans="1:9" x14ac:dyDescent="0.25">
      <c r="A71" s="581" t="s">
        <v>1133</v>
      </c>
      <c r="B71" s="577"/>
      <c r="C71" s="577"/>
      <c r="D71" s="577"/>
      <c r="E71" s="577"/>
      <c r="F71" s="577"/>
      <c r="G71" s="577"/>
      <c r="H71" s="577"/>
      <c r="I71" s="578"/>
    </row>
    <row r="72" spans="1:9" x14ac:dyDescent="0.25">
      <c r="A72" s="601"/>
      <c r="B72" s="602"/>
      <c r="C72" s="602"/>
      <c r="D72" s="602"/>
      <c r="E72" s="602"/>
      <c r="F72" s="602"/>
      <c r="G72" s="602"/>
      <c r="H72" s="602"/>
      <c r="I72" s="603"/>
    </row>
    <row r="73" spans="1:9" x14ac:dyDescent="0.25">
      <c r="A73" s="599" t="s">
        <v>1134</v>
      </c>
      <c r="B73" s="577"/>
      <c r="C73" s="577"/>
      <c r="D73" s="577"/>
      <c r="E73" s="577"/>
      <c r="F73" s="577"/>
      <c r="G73" s="577"/>
      <c r="H73" s="577"/>
      <c r="I73" s="577"/>
    </row>
    <row r="74" spans="1:9" x14ac:dyDescent="0.25">
      <c r="A74" s="566"/>
      <c r="B74" s="566"/>
      <c r="C74" s="566"/>
      <c r="D74" s="566"/>
      <c r="E74" s="566"/>
      <c r="F74" s="566"/>
      <c r="G74" s="566"/>
      <c r="H74" s="566"/>
      <c r="I74" s="566"/>
    </row>
    <row r="75" spans="1:9" x14ac:dyDescent="0.25">
      <c r="A75" s="566"/>
      <c r="B75" s="566"/>
      <c r="C75" s="566"/>
      <c r="D75" s="566"/>
      <c r="E75" s="566"/>
      <c r="F75" s="566"/>
      <c r="G75" s="566"/>
      <c r="H75" s="566"/>
      <c r="I75" s="566"/>
    </row>
    <row r="76" spans="1:9" x14ac:dyDescent="0.25">
      <c r="A76" s="566"/>
      <c r="B76" s="566"/>
      <c r="C76" s="566"/>
      <c r="D76" s="566"/>
      <c r="E76" s="566"/>
      <c r="F76" s="566"/>
      <c r="G76" s="566"/>
      <c r="H76" s="566"/>
      <c r="I76" s="566"/>
    </row>
    <row r="77" spans="1:9" x14ac:dyDescent="0.25">
      <c r="A77" s="589" t="s">
        <v>1135</v>
      </c>
      <c r="B77" s="577"/>
      <c r="C77" s="577"/>
      <c r="D77" s="577"/>
      <c r="E77" s="577"/>
      <c r="F77" s="577"/>
      <c r="G77" s="577"/>
      <c r="H77" s="577"/>
      <c r="I77" s="577"/>
    </row>
  </sheetData>
  <mergeCells count="42">
    <mergeCell ref="A5:I5"/>
    <mergeCell ref="A6:I6"/>
    <mergeCell ref="A19:I19"/>
    <mergeCell ref="A20:C20"/>
    <mergeCell ref="D20:E20"/>
    <mergeCell ref="F20:G20"/>
    <mergeCell ref="H20:I20"/>
    <mergeCell ref="A27:C27"/>
    <mergeCell ref="D27:E27"/>
    <mergeCell ref="F27:G27"/>
    <mergeCell ref="H27:I27"/>
    <mergeCell ref="A21:C21"/>
    <mergeCell ref="D21:E21"/>
    <mergeCell ref="F21:G21"/>
    <mergeCell ref="H21:I21"/>
    <mergeCell ref="A22:C22"/>
    <mergeCell ref="D22:E22"/>
    <mergeCell ref="F22:G22"/>
    <mergeCell ref="H22:I22"/>
    <mergeCell ref="A23:C23"/>
    <mergeCell ref="D23:E23"/>
    <mergeCell ref="F23:G23"/>
    <mergeCell ref="H23:I23"/>
    <mergeCell ref="A26:I26"/>
    <mergeCell ref="A28:C28"/>
    <mergeCell ref="D28:E28"/>
    <mergeCell ref="F28:G28"/>
    <mergeCell ref="H28:I28"/>
    <mergeCell ref="A30:C30"/>
    <mergeCell ref="D30:E30"/>
    <mergeCell ref="F30:G30"/>
    <mergeCell ref="H30:I30"/>
    <mergeCell ref="E39:H39"/>
    <mergeCell ref="A33:I33"/>
    <mergeCell ref="A34:C34"/>
    <mergeCell ref="D34:E34"/>
    <mergeCell ref="F34:G34"/>
    <mergeCell ref="H34:I34"/>
    <mergeCell ref="A36:C36"/>
    <mergeCell ref="D36:E36"/>
    <mergeCell ref="F36:G36"/>
    <mergeCell ref="H36:I3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7"/>
  <sheetViews>
    <sheetView showGridLines="0" topLeftCell="A33" zoomScale="90" zoomScaleNormal="90" workbookViewId="0">
      <selection activeCell="B20" sqref="B20"/>
    </sheetView>
  </sheetViews>
  <sheetFormatPr baseColWidth="10" defaultColWidth="10.85546875" defaultRowHeight="14.25" x14ac:dyDescent="0.2"/>
  <cols>
    <col min="1" max="1" width="78" style="663" customWidth="1"/>
    <col min="2" max="2" width="21.140625" style="73" customWidth="1"/>
    <col min="3" max="3" width="27.5703125" style="73" customWidth="1"/>
    <col min="4" max="4" width="2.42578125" style="453" customWidth="1"/>
    <col min="5" max="5" width="10.140625" style="453" bestFit="1" customWidth="1"/>
    <col min="6" max="6" width="2.28515625" style="453" customWidth="1"/>
    <col min="7" max="7" width="4.42578125" style="453" customWidth="1"/>
    <col min="8" max="16384" width="10.85546875" style="453"/>
  </cols>
  <sheetData>
    <row r="1" spans="1:6" x14ac:dyDescent="0.2">
      <c r="A1" s="663" t="str">
        <f>[1]Indice!C1</f>
        <v>NEGOFIN S.A.E.C.A.</v>
      </c>
    </row>
    <row r="2" spans="1:6" x14ac:dyDescent="0.2">
      <c r="A2" s="61"/>
      <c r="B2" s="62"/>
      <c r="C2" s="62"/>
    </row>
    <row r="3" spans="1:6" ht="13.9" hidden="1" customHeight="1" x14ac:dyDescent="0.2">
      <c r="A3" s="799"/>
      <c r="B3" s="799"/>
      <c r="C3" s="799"/>
    </row>
    <row r="4" spans="1:6" x14ac:dyDescent="0.2">
      <c r="A4" s="61"/>
      <c r="B4" s="62"/>
      <c r="C4" s="62"/>
    </row>
    <row r="5" spans="1:6" s="2" customFormat="1" ht="15" x14ac:dyDescent="0.25">
      <c r="A5" s="800" t="s">
        <v>878</v>
      </c>
      <c r="B5" s="800"/>
      <c r="C5" s="800"/>
    </row>
    <row r="6" spans="1:6" s="2" customFormat="1" ht="15" x14ac:dyDescent="0.25">
      <c r="A6" s="800" t="s">
        <v>1293</v>
      </c>
      <c r="B6" s="800"/>
      <c r="C6" s="800"/>
    </row>
    <row r="7" spans="1:6" s="2" customFormat="1" x14ac:dyDescent="0.2">
      <c r="A7" s="801" t="s">
        <v>303</v>
      </c>
      <c r="B7" s="801"/>
      <c r="C7" s="801"/>
    </row>
    <row r="8" spans="1:6" s="2" customFormat="1" x14ac:dyDescent="0.2">
      <c r="A8" s="801" t="s">
        <v>274</v>
      </c>
      <c r="B8" s="801"/>
      <c r="C8" s="801"/>
    </row>
    <row r="9" spans="1:6" s="2" customFormat="1" x14ac:dyDescent="0.2">
      <c r="A9" s="537"/>
      <c r="B9" s="537"/>
      <c r="C9" s="537"/>
    </row>
    <row r="10" spans="1:6" s="2" customFormat="1" x14ac:dyDescent="0.2">
      <c r="A10" s="537"/>
      <c r="B10" s="537"/>
      <c r="C10" s="537"/>
    </row>
    <row r="11" spans="1:6" s="2" customFormat="1" ht="15" x14ac:dyDescent="0.3">
      <c r="A11" s="106"/>
      <c r="B11" s="302">
        <f>IFERROR(IF([1]Indice!B6="","2XX2",YEAR([1]Indice!B6)),"2XX2")</f>
        <v>2021</v>
      </c>
      <c r="C11" s="302">
        <f>IFERROR(YEAR([1]Indice!B6-365),"2XX1")</f>
        <v>2020</v>
      </c>
    </row>
    <row r="12" spans="1:6" s="2" customFormat="1" x14ac:dyDescent="0.2">
      <c r="A12" s="663"/>
      <c r="B12" s="82"/>
      <c r="C12" s="82"/>
    </row>
    <row r="13" spans="1:6" s="2" customFormat="1" ht="15" x14ac:dyDescent="0.25">
      <c r="A13" s="83" t="s">
        <v>276</v>
      </c>
      <c r="B13" s="73"/>
      <c r="C13" s="532"/>
    </row>
    <row r="14" spans="1:6" s="2" customFormat="1" x14ac:dyDescent="0.2">
      <c r="A14" s="663" t="s">
        <v>426</v>
      </c>
      <c r="B14" s="532">
        <v>126226145.536</v>
      </c>
      <c r="C14" s="556">
        <v>88959945.252000004</v>
      </c>
    </row>
    <row r="15" spans="1:6" s="2" customFormat="1" x14ac:dyDescent="0.2">
      <c r="A15" s="663" t="s">
        <v>49</v>
      </c>
      <c r="B15" s="556">
        <v>-35536101.727000006</v>
      </c>
      <c r="C15" s="557">
        <v>-25539907.332999997</v>
      </c>
      <c r="E15" s="532"/>
      <c r="F15" s="48"/>
    </row>
    <row r="16" spans="1:6" s="2" customFormat="1" x14ac:dyDescent="0.2">
      <c r="A16" s="663" t="s">
        <v>50</v>
      </c>
      <c r="B16" s="557">
        <v>-65653534.71800001</v>
      </c>
      <c r="C16" s="22">
        <v>-7437850</v>
      </c>
      <c r="F16" s="48"/>
    </row>
    <row r="17" spans="1:6" s="2" customFormat="1" x14ac:dyDescent="0.2">
      <c r="A17" s="663" t="s">
        <v>89</v>
      </c>
      <c r="B17" s="119">
        <v>-9932719.6910000015</v>
      </c>
      <c r="C17" s="532">
        <v>-11164536.93</v>
      </c>
      <c r="F17" s="48"/>
    </row>
    <row r="18" spans="1:6" s="2" customFormat="1" x14ac:dyDescent="0.2">
      <c r="A18" s="663" t="s">
        <v>427</v>
      </c>
      <c r="B18" s="532">
        <v>-32236213.949999981</v>
      </c>
      <c r="C18" s="532">
        <v>-38584071.526000008</v>
      </c>
      <c r="F18" s="48"/>
    </row>
    <row r="19" spans="1:6" s="2" customFormat="1" x14ac:dyDescent="0.2">
      <c r="A19" s="663"/>
      <c r="C19" s="556"/>
      <c r="F19" s="48"/>
    </row>
    <row r="20" spans="1:6" s="2" customFormat="1" x14ac:dyDescent="0.2">
      <c r="A20" s="663" t="s">
        <v>275</v>
      </c>
      <c r="B20" s="119">
        <v>-8010896</v>
      </c>
      <c r="C20" s="119">
        <v>-236613</v>
      </c>
      <c r="F20" s="48"/>
    </row>
    <row r="21" spans="1:6" s="2" customFormat="1" ht="15" x14ac:dyDescent="0.25">
      <c r="A21" s="426" t="s">
        <v>51</v>
      </c>
      <c r="B21" s="427">
        <v>-25143320.550000004</v>
      </c>
      <c r="C21" s="427">
        <v>5996966.4629999995</v>
      </c>
    </row>
    <row r="22" spans="1:6" s="2" customFormat="1" x14ac:dyDescent="0.2">
      <c r="A22" s="663"/>
      <c r="B22" s="73"/>
      <c r="C22" s="73"/>
    </row>
    <row r="23" spans="1:6" s="2" customFormat="1" ht="15" x14ac:dyDescent="0.25">
      <c r="A23" s="83" t="s">
        <v>277</v>
      </c>
      <c r="B23" s="73"/>
      <c r="C23" s="73"/>
    </row>
    <row r="24" spans="1:6" s="2" customFormat="1" x14ac:dyDescent="0.2">
      <c r="A24" s="663" t="s">
        <v>428</v>
      </c>
      <c r="B24" s="22">
        <v>-379861</v>
      </c>
      <c r="C24" s="22">
        <v>-496824</v>
      </c>
      <c r="F24" s="48"/>
    </row>
    <row r="25" spans="1:6" s="2" customFormat="1" ht="13.9" hidden="1" customHeight="1" x14ac:dyDescent="0.2">
      <c r="A25" s="663" t="s">
        <v>52</v>
      </c>
      <c r="B25" s="22"/>
      <c r="C25" s="22"/>
      <c r="F25" s="48"/>
    </row>
    <row r="26" spans="1:6" s="2" customFormat="1" ht="13.9" hidden="1" customHeight="1" x14ac:dyDescent="0.2">
      <c r="A26" s="663" t="s">
        <v>53</v>
      </c>
      <c r="B26" s="22">
        <v>0</v>
      </c>
      <c r="C26" s="22">
        <v>0</v>
      </c>
    </row>
    <row r="27" spans="1:6" s="2" customFormat="1" x14ac:dyDescent="0.2">
      <c r="A27" s="663" t="s">
        <v>90</v>
      </c>
      <c r="B27" s="22"/>
      <c r="C27" s="22"/>
    </row>
    <row r="28" spans="1:6" s="2" customFormat="1" x14ac:dyDescent="0.2">
      <c r="A28" s="663" t="s">
        <v>91</v>
      </c>
      <c r="B28" s="22"/>
      <c r="C28" s="22"/>
    </row>
    <row r="29" spans="1:6" s="2" customFormat="1" x14ac:dyDescent="0.2">
      <c r="A29" s="663" t="s">
        <v>278</v>
      </c>
      <c r="B29" s="22"/>
      <c r="C29" s="22"/>
    </row>
    <row r="30" spans="1:6" s="2" customFormat="1" ht="15" x14ac:dyDescent="0.25">
      <c r="A30" s="426" t="s">
        <v>54</v>
      </c>
      <c r="B30" s="427">
        <v>-379861</v>
      </c>
      <c r="C30" s="427">
        <v>-496824</v>
      </c>
    </row>
    <row r="31" spans="1:6" s="2" customFormat="1" x14ac:dyDescent="0.2">
      <c r="A31" s="663"/>
      <c r="B31" s="73"/>
      <c r="C31" s="73"/>
    </row>
    <row r="32" spans="1:6" s="2" customFormat="1" ht="15" x14ac:dyDescent="0.25">
      <c r="A32" s="83" t="s">
        <v>279</v>
      </c>
      <c r="B32" s="73"/>
      <c r="C32" s="73"/>
    </row>
    <row r="33" spans="1:3" s="2" customFormat="1" x14ac:dyDescent="0.2">
      <c r="A33" s="663" t="s">
        <v>429</v>
      </c>
      <c r="B33" s="22">
        <v>41821819.791999936</v>
      </c>
      <c r="C33" s="22">
        <v>7300453</v>
      </c>
    </row>
    <row r="34" spans="1:3" s="2" customFormat="1" x14ac:dyDescent="0.2">
      <c r="A34" s="663" t="s">
        <v>93</v>
      </c>
      <c r="B34" s="22"/>
      <c r="C34" s="22"/>
    </row>
    <row r="35" spans="1:3" s="2" customFormat="1" x14ac:dyDescent="0.2">
      <c r="A35" s="663" t="s">
        <v>92</v>
      </c>
      <c r="B35" s="22">
        <v>-20257092</v>
      </c>
      <c r="C35" s="22">
        <v>-20915854</v>
      </c>
    </row>
    <row r="36" spans="1:3" s="2" customFormat="1" ht="15" x14ac:dyDescent="0.25">
      <c r="A36" s="426" t="s">
        <v>430</v>
      </c>
      <c r="B36" s="427">
        <v>21564727.791999936</v>
      </c>
      <c r="C36" s="427">
        <v>-13615401</v>
      </c>
    </row>
    <row r="37" spans="1:3" s="33" customFormat="1" ht="15" x14ac:dyDescent="0.25">
      <c r="A37" s="721"/>
      <c r="B37" s="368"/>
      <c r="C37" s="368"/>
    </row>
    <row r="38" spans="1:3" s="2" customFormat="1" x14ac:dyDescent="0.2">
      <c r="A38" s="369" t="s">
        <v>94</v>
      </c>
      <c r="B38" s="22">
        <v>-3958453.7580000684</v>
      </c>
      <c r="C38" s="22">
        <v>-8115258.5370000005</v>
      </c>
    </row>
    <row r="39" spans="1:3" x14ac:dyDescent="0.2">
      <c r="A39" s="369" t="s">
        <v>95</v>
      </c>
      <c r="B39" s="73">
        <v>0</v>
      </c>
      <c r="C39" s="73">
        <v>0</v>
      </c>
    </row>
    <row r="40" spans="1:3" s="2" customFormat="1" x14ac:dyDescent="0.2">
      <c r="A40" s="369" t="s">
        <v>96</v>
      </c>
      <c r="B40" s="73">
        <v>18873837.02</v>
      </c>
      <c r="C40" s="73">
        <v>21393584</v>
      </c>
    </row>
    <row r="41" spans="1:3" s="2" customFormat="1" x14ac:dyDescent="0.2">
      <c r="A41" s="663"/>
      <c r="B41" s="73"/>
      <c r="C41" s="73"/>
    </row>
    <row r="42" spans="1:3" s="2" customFormat="1" ht="18.75" x14ac:dyDescent="0.4">
      <c r="A42" s="107" t="s">
        <v>55</v>
      </c>
      <c r="B42" s="120">
        <v>14915383.261999931</v>
      </c>
      <c r="C42" s="120">
        <v>13278325.463</v>
      </c>
    </row>
    <row r="43" spans="1:3" s="2" customFormat="1" x14ac:dyDescent="0.2">
      <c r="A43" s="663"/>
      <c r="B43" s="84">
        <v>21753585.599999998</v>
      </c>
      <c r="C43" s="85"/>
    </row>
    <row r="44" spans="1:3" x14ac:dyDescent="0.2">
      <c r="A44" s="663" t="s">
        <v>413</v>
      </c>
      <c r="B44" s="57"/>
      <c r="C44" s="57"/>
    </row>
    <row r="45" spans="1:3" x14ac:dyDescent="0.2">
      <c r="B45" s="57"/>
      <c r="C45" s="57"/>
    </row>
    <row r="46" spans="1:3" x14ac:dyDescent="0.2">
      <c r="B46" s="57"/>
      <c r="C46" s="57"/>
    </row>
    <row r="47" spans="1:3" x14ac:dyDescent="0.2">
      <c r="B47" s="57"/>
      <c r="C47" s="57"/>
    </row>
  </sheetData>
  <mergeCells count="5">
    <mergeCell ref="A3:C3"/>
    <mergeCell ref="A5:C5"/>
    <mergeCell ref="A6:C6"/>
    <mergeCell ref="A7:C7"/>
    <mergeCell ref="A8:C8"/>
  </mergeCells>
  <pageMargins left="0.70866141732283472" right="0.70866141732283472" top="0.74803149606299213" bottom="0.74803149606299213" header="0.31496062992125984" footer="0.31496062992125984"/>
  <pageSetup paperSize="9" scale="68"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O210"/>
  <sheetViews>
    <sheetView showGridLines="0" zoomScaleNormal="100" workbookViewId="0">
      <selection activeCell="B18" sqref="B18"/>
    </sheetView>
  </sheetViews>
  <sheetFormatPr baseColWidth="10" defaultColWidth="11.42578125" defaultRowHeight="14.25" x14ac:dyDescent="0.2"/>
  <cols>
    <col min="1" max="1" width="17.140625" style="28" customWidth="1"/>
    <col min="2" max="2" width="32.42578125" style="28" bestFit="1" customWidth="1"/>
    <col min="3" max="3" width="31" style="28" bestFit="1" customWidth="1"/>
    <col min="4" max="4" width="15.7109375" style="28" bestFit="1" customWidth="1"/>
    <col min="5" max="5" width="27.42578125" style="28" bestFit="1" customWidth="1"/>
    <col min="6" max="6" width="13.140625" style="28" customWidth="1"/>
    <col min="7" max="7" width="14.7109375" style="28" bestFit="1" customWidth="1"/>
    <col min="8" max="8" width="11.42578125" style="28"/>
    <col min="9" max="9" width="11.42578125" style="648"/>
    <col min="10" max="16384" width="11.42578125" style="28"/>
  </cols>
  <sheetData>
    <row r="1" spans="1:15" ht="15" customHeight="1" x14ac:dyDescent="0.25">
      <c r="A1" s="28" t="str">
        <f>Indice!C1</f>
        <v>NEGOFIN S.A.E.C.A.</v>
      </c>
      <c r="F1" s="143" t="s">
        <v>132</v>
      </c>
    </row>
    <row r="5" spans="1:15" ht="15" customHeight="1" x14ac:dyDescent="0.2">
      <c r="A5" s="29"/>
      <c r="B5" s="29"/>
      <c r="C5" s="29"/>
      <c r="D5" s="29"/>
      <c r="E5" s="29"/>
      <c r="F5" s="29"/>
    </row>
    <row r="6" spans="1:15" ht="15" customHeight="1" x14ac:dyDescent="0.2">
      <c r="A6" s="339" t="s">
        <v>860</v>
      </c>
      <c r="B6" s="339"/>
      <c r="C6" s="339"/>
      <c r="D6" s="339"/>
      <c r="E6" s="339"/>
      <c r="F6" s="339"/>
      <c r="G6" s="3"/>
      <c r="H6" s="3"/>
      <c r="I6" s="649"/>
    </row>
    <row r="7" spans="1:15" ht="15" customHeight="1" x14ac:dyDescent="0.25">
      <c r="A7" s="340" t="s">
        <v>861</v>
      </c>
      <c r="B7" s="340"/>
      <c r="C7" s="340"/>
      <c r="D7" s="340"/>
      <c r="E7" s="367" t="s">
        <v>1329</v>
      </c>
      <c r="F7" s="367"/>
      <c r="G7" s="367"/>
      <c r="H7" s="3"/>
      <c r="I7" s="649"/>
    </row>
    <row r="8" spans="1:15" ht="15" customHeight="1" x14ac:dyDescent="0.2">
      <c r="A8" s="805" t="s">
        <v>45</v>
      </c>
      <c r="B8" s="805"/>
      <c r="C8" s="805"/>
      <c r="D8" s="805"/>
      <c r="E8" s="805"/>
      <c r="F8" s="805"/>
      <c r="G8" s="1"/>
      <c r="H8" s="1"/>
      <c r="I8" s="650"/>
    </row>
    <row r="9" spans="1:15" ht="15" customHeight="1" x14ac:dyDescent="0.2">
      <c r="A9" s="27"/>
      <c r="B9" s="27"/>
      <c r="C9" s="27"/>
      <c r="D9" s="27"/>
      <c r="E9" s="27"/>
      <c r="F9" s="27"/>
      <c r="G9" s="1"/>
      <c r="H9" s="1"/>
      <c r="I9" s="650"/>
    </row>
    <row r="10" spans="1:15" ht="15" customHeight="1" x14ac:dyDescent="0.2">
      <c r="A10" s="29"/>
      <c r="B10" s="29"/>
      <c r="C10" s="29"/>
      <c r="D10" s="29"/>
      <c r="E10" s="29"/>
      <c r="F10" s="29"/>
    </row>
    <row r="11" spans="1:15" ht="15" customHeight="1" x14ac:dyDescent="0.2">
      <c r="A11" s="336" t="s">
        <v>0</v>
      </c>
      <c r="B11" s="337"/>
      <c r="C11" s="337"/>
      <c r="D11" s="337"/>
      <c r="E11" s="337"/>
      <c r="F11" s="338"/>
      <c r="G11" s="806"/>
      <c r="H11" s="806"/>
      <c r="I11" s="806"/>
    </row>
    <row r="12" spans="1:15" ht="15" customHeight="1" x14ac:dyDescent="0.2">
      <c r="A12" s="817" t="s">
        <v>165</v>
      </c>
      <c r="B12" s="817"/>
      <c r="C12" s="817"/>
      <c r="D12" s="817"/>
      <c r="E12" s="817"/>
      <c r="F12" s="817"/>
    </row>
    <row r="13" spans="1:15" ht="15" customHeight="1" x14ac:dyDescent="0.2">
      <c r="A13" s="637"/>
      <c r="B13" s="638"/>
      <c r="C13" s="638"/>
      <c r="D13" s="638"/>
      <c r="E13" s="638"/>
      <c r="F13" s="454"/>
      <c r="G13" s="1"/>
      <c r="H13" s="1"/>
      <c r="I13" s="650"/>
      <c r="J13" s="802"/>
      <c r="K13" s="803"/>
      <c r="L13" s="803"/>
      <c r="M13" s="803"/>
      <c r="N13" s="803"/>
      <c r="O13" s="803"/>
    </row>
    <row r="14" spans="1:15" ht="15" customHeight="1" x14ac:dyDescent="0.25">
      <c r="A14" s="639" t="s">
        <v>1069</v>
      </c>
      <c r="B14" s="638"/>
      <c r="C14" s="638"/>
      <c r="D14" s="638"/>
      <c r="E14" s="638"/>
      <c r="F14" s="454"/>
      <c r="J14" s="803"/>
      <c r="K14" s="803"/>
      <c r="L14" s="803"/>
      <c r="M14" s="803"/>
      <c r="N14" s="803"/>
      <c r="O14" s="803"/>
    </row>
    <row r="15" spans="1:15" ht="15" customHeight="1" x14ac:dyDescent="0.25">
      <c r="A15" s="640" t="s">
        <v>1070</v>
      </c>
      <c r="B15" s="640"/>
      <c r="C15" s="640"/>
      <c r="D15" s="640"/>
      <c r="E15" s="640"/>
      <c r="F15" s="456"/>
      <c r="J15" s="452"/>
      <c r="K15" s="452"/>
      <c r="L15" s="452"/>
      <c r="M15" s="452"/>
      <c r="N15" s="452"/>
      <c r="O15" s="452"/>
    </row>
    <row r="16" spans="1:15" ht="15.75" customHeight="1" x14ac:dyDescent="0.25">
      <c r="A16" s="640" t="s">
        <v>1071</v>
      </c>
      <c r="B16" s="640"/>
      <c r="C16" s="640"/>
      <c r="D16" s="640"/>
      <c r="E16" s="640"/>
      <c r="F16" s="640"/>
      <c r="J16" s="804"/>
      <c r="K16" s="804"/>
      <c r="L16" s="804"/>
      <c r="M16" s="804"/>
      <c r="N16" s="804"/>
      <c r="O16" s="804"/>
    </row>
    <row r="17" spans="1:15" ht="15" customHeight="1" x14ac:dyDescent="0.2">
      <c r="A17" s="638"/>
      <c r="B17" s="638"/>
      <c r="C17" s="638"/>
      <c r="D17" s="638"/>
      <c r="E17" s="638"/>
      <c r="F17" s="456"/>
      <c r="J17" s="804"/>
      <c r="K17" s="804"/>
      <c r="L17" s="804"/>
      <c r="M17" s="804"/>
      <c r="N17" s="804"/>
      <c r="O17" s="804"/>
    </row>
    <row r="18" spans="1:15" ht="15" customHeight="1" x14ac:dyDescent="0.2">
      <c r="A18" s="750" t="s">
        <v>1334</v>
      </c>
      <c r="B18" s="751"/>
      <c r="C18" s="751"/>
      <c r="D18" s="751"/>
      <c r="E18" s="751"/>
      <c r="F18" s="456"/>
      <c r="J18" s="804"/>
      <c r="K18" s="804"/>
      <c r="L18" s="804"/>
      <c r="M18" s="804"/>
      <c r="N18" s="804"/>
      <c r="O18" s="804"/>
    </row>
    <row r="19" spans="1:15" ht="15" customHeight="1" x14ac:dyDescent="0.2">
      <c r="A19" s="818" t="s">
        <v>1335</v>
      </c>
      <c r="B19" s="818"/>
      <c r="C19" s="818"/>
      <c r="D19" s="818"/>
      <c r="E19" s="751"/>
      <c r="F19" s="456"/>
      <c r="J19" s="804"/>
      <c r="K19" s="804"/>
      <c r="L19" s="804"/>
      <c r="M19" s="804"/>
      <c r="N19" s="804"/>
      <c r="O19" s="804"/>
    </row>
    <row r="20" spans="1:15" ht="15" customHeight="1" x14ac:dyDescent="0.2">
      <c r="A20" s="818"/>
      <c r="B20" s="818"/>
      <c r="C20" s="818"/>
      <c r="D20" s="818"/>
      <c r="E20" s="751"/>
      <c r="F20" s="456"/>
      <c r="J20" s="804"/>
      <c r="K20" s="804"/>
      <c r="L20" s="804"/>
      <c r="M20" s="804"/>
      <c r="N20" s="804"/>
      <c r="O20" s="804"/>
    </row>
    <row r="21" spans="1:15" ht="15" customHeight="1" x14ac:dyDescent="0.2">
      <c r="A21" s="818"/>
      <c r="B21" s="818"/>
      <c r="C21" s="818"/>
      <c r="D21" s="818"/>
      <c r="E21" s="751"/>
      <c r="F21" s="456"/>
      <c r="J21" s="804"/>
      <c r="K21" s="804"/>
      <c r="L21" s="804"/>
      <c r="M21" s="804"/>
      <c r="N21" s="804"/>
      <c r="O21" s="804"/>
    </row>
    <row r="22" spans="1:15" ht="15" customHeight="1" x14ac:dyDescent="0.2">
      <c r="A22" s="818"/>
      <c r="B22" s="818"/>
      <c r="C22" s="818"/>
      <c r="D22" s="818"/>
      <c r="E22" s="751"/>
      <c r="F22" s="454"/>
      <c r="J22" s="804"/>
      <c r="K22" s="804"/>
      <c r="L22" s="804"/>
      <c r="M22" s="804"/>
      <c r="N22" s="804"/>
      <c r="O22" s="804"/>
    </row>
    <row r="23" spans="1:15" ht="15" customHeight="1" x14ac:dyDescent="0.2">
      <c r="A23" s="818"/>
      <c r="B23" s="818"/>
      <c r="C23" s="818"/>
      <c r="D23" s="818"/>
      <c r="E23" s="751"/>
      <c r="F23" s="454"/>
      <c r="J23" s="804"/>
      <c r="K23" s="804"/>
      <c r="L23" s="804"/>
      <c r="M23" s="804"/>
      <c r="N23" s="804"/>
      <c r="O23" s="804"/>
    </row>
    <row r="24" spans="1:15" ht="15" customHeight="1" x14ac:dyDescent="0.2">
      <c r="A24" s="818"/>
      <c r="B24" s="818"/>
      <c r="C24" s="818"/>
      <c r="D24" s="818"/>
      <c r="E24" s="751"/>
      <c r="F24" s="454"/>
      <c r="J24" s="804"/>
      <c r="K24" s="804"/>
      <c r="L24" s="804"/>
      <c r="M24" s="804"/>
      <c r="N24" s="804"/>
      <c r="O24" s="804"/>
    </row>
    <row r="25" spans="1:15" ht="15" customHeight="1" x14ac:dyDescent="0.2">
      <c r="A25" s="818"/>
      <c r="B25" s="818"/>
      <c r="C25" s="818"/>
      <c r="D25" s="818"/>
      <c r="E25" s="751"/>
      <c r="F25" s="454"/>
      <c r="J25" s="804"/>
      <c r="K25" s="804"/>
      <c r="L25" s="804"/>
      <c r="M25" s="804"/>
      <c r="N25" s="804"/>
      <c r="O25" s="804"/>
    </row>
    <row r="26" spans="1:15" ht="15" customHeight="1" x14ac:dyDescent="0.2">
      <c r="A26" s="818"/>
      <c r="B26" s="818"/>
      <c r="C26" s="818"/>
      <c r="D26" s="818"/>
      <c r="E26" s="751"/>
      <c r="F26" s="454"/>
      <c r="J26" s="804"/>
      <c r="K26" s="804"/>
      <c r="L26" s="804"/>
      <c r="M26" s="804"/>
      <c r="N26" s="804"/>
      <c r="O26" s="804"/>
    </row>
    <row r="27" spans="1:15" ht="15" customHeight="1" x14ac:dyDescent="0.2">
      <c r="A27" s="454" t="s">
        <v>1072</v>
      </c>
      <c r="B27" s="454"/>
      <c r="C27" s="454"/>
      <c r="D27" s="454"/>
      <c r="E27" s="454"/>
      <c r="F27" s="454"/>
    </row>
    <row r="28" spans="1:15" ht="15" customHeight="1" x14ac:dyDescent="0.2">
      <c r="A28" s="808" t="s">
        <v>1073</v>
      </c>
      <c r="B28" s="808"/>
      <c r="C28" s="808"/>
      <c r="D28" s="808"/>
      <c r="E28" s="808"/>
      <c r="F28" s="808"/>
      <c r="J28" s="807"/>
      <c r="K28" s="807"/>
      <c r="L28" s="807"/>
      <c r="M28" s="807"/>
      <c r="N28" s="807"/>
      <c r="O28" s="807"/>
    </row>
    <row r="29" spans="1:15" ht="15" customHeight="1" x14ac:dyDescent="0.2">
      <c r="A29" s="808" t="s">
        <v>1074</v>
      </c>
      <c r="B29" s="808"/>
      <c r="C29" s="808"/>
      <c r="D29" s="808"/>
      <c r="E29" s="808"/>
      <c r="F29" s="808"/>
      <c r="J29" s="807"/>
      <c r="K29" s="807"/>
      <c r="L29" s="807"/>
      <c r="M29" s="807"/>
      <c r="N29" s="807"/>
      <c r="O29" s="807"/>
    </row>
    <row r="30" spans="1:15" ht="15" customHeight="1" x14ac:dyDescent="0.25">
      <c r="A30" s="808" t="s">
        <v>1075</v>
      </c>
      <c r="B30" s="808"/>
      <c r="C30" s="808"/>
      <c r="D30" s="808"/>
      <c r="E30" s="808"/>
      <c r="F30" s="808"/>
      <c r="J30" s="452"/>
      <c r="K30" s="452"/>
      <c r="L30" s="452"/>
      <c r="M30" s="452"/>
      <c r="N30" s="452"/>
      <c r="O30" s="452"/>
    </row>
    <row r="31" spans="1:15" ht="15" customHeight="1" x14ac:dyDescent="0.2">
      <c r="A31" s="808" t="s">
        <v>1076</v>
      </c>
      <c r="B31" s="808"/>
      <c r="C31" s="808"/>
      <c r="D31" s="808"/>
      <c r="E31" s="808"/>
      <c r="F31" s="808"/>
      <c r="J31" s="807"/>
      <c r="K31" s="807"/>
      <c r="L31" s="807"/>
      <c r="M31" s="807"/>
      <c r="N31" s="807"/>
      <c r="O31" s="807"/>
    </row>
    <row r="32" spans="1:15" ht="15" customHeight="1" x14ac:dyDescent="0.2">
      <c r="A32" s="808" t="s">
        <v>1080</v>
      </c>
      <c r="B32" s="808"/>
      <c r="C32" s="808"/>
      <c r="D32" s="808"/>
      <c r="E32" s="808"/>
      <c r="F32" s="808"/>
      <c r="J32" s="807"/>
      <c r="K32" s="807"/>
      <c r="L32" s="807"/>
      <c r="M32" s="807"/>
      <c r="N32" s="807"/>
      <c r="O32" s="807"/>
    </row>
    <row r="33" spans="1:6" ht="15" customHeight="1" x14ac:dyDescent="0.2">
      <c r="A33" s="454" t="s">
        <v>1078</v>
      </c>
      <c r="B33" s="454"/>
      <c r="C33" s="454"/>
      <c r="D33" s="454"/>
      <c r="E33" s="454"/>
      <c r="F33" s="454"/>
    </row>
    <row r="34" spans="1:6" ht="15" customHeight="1" x14ac:dyDescent="0.2">
      <c r="A34" s="454" t="s">
        <v>1079</v>
      </c>
      <c r="B34" s="454"/>
      <c r="C34" s="454"/>
      <c r="D34" s="454"/>
      <c r="E34" s="454"/>
      <c r="F34" s="454"/>
    </row>
    <row r="35" spans="1:6" ht="15" customHeight="1" x14ac:dyDescent="0.2">
      <c r="A35" s="454"/>
      <c r="B35" s="454"/>
      <c r="C35" s="454"/>
      <c r="D35" s="454"/>
      <c r="E35" s="454"/>
      <c r="F35" s="454"/>
    </row>
    <row r="36" spans="1:6" ht="15" customHeight="1" x14ac:dyDescent="0.25">
      <c r="A36" s="641" t="s">
        <v>1077</v>
      </c>
      <c r="B36" s="454"/>
      <c r="C36" s="454"/>
      <c r="D36" s="454"/>
      <c r="E36" s="454"/>
      <c r="F36" s="454"/>
    </row>
    <row r="37" spans="1:6" ht="15" customHeight="1" x14ac:dyDescent="0.2">
      <c r="A37" s="454"/>
      <c r="B37" s="454"/>
      <c r="C37" s="454"/>
      <c r="D37" s="454"/>
      <c r="E37" s="454"/>
      <c r="F37" s="454"/>
    </row>
    <row r="38" spans="1:6" ht="15" customHeight="1" x14ac:dyDescent="0.25">
      <c r="A38" s="454"/>
      <c r="B38" s="605" t="s">
        <v>1136</v>
      </c>
      <c r="C38" s="605" t="s">
        <v>1137</v>
      </c>
      <c r="D38" s="454"/>
      <c r="E38" s="454"/>
      <c r="F38" s="454"/>
    </row>
    <row r="39" spans="1:6" ht="15" customHeight="1" x14ac:dyDescent="0.25">
      <c r="A39" s="454"/>
      <c r="B39" s="642" t="s">
        <v>1138</v>
      </c>
      <c r="C39" s="643" t="s">
        <v>1139</v>
      </c>
      <c r="D39" s="454"/>
      <c r="E39" s="454"/>
      <c r="F39" s="454"/>
    </row>
    <row r="40" spans="1:6" ht="15" customHeight="1" x14ac:dyDescent="0.25">
      <c r="A40" s="454"/>
      <c r="B40" s="642" t="s">
        <v>1140</v>
      </c>
      <c r="C40" s="643" t="s">
        <v>1139</v>
      </c>
      <c r="D40" s="454"/>
      <c r="E40" s="454"/>
      <c r="F40" s="454"/>
    </row>
    <row r="41" spans="1:6" ht="15" customHeight="1" x14ac:dyDescent="0.25">
      <c r="A41" s="454"/>
      <c r="B41" s="642" t="s">
        <v>1141</v>
      </c>
      <c r="C41" s="643" t="s">
        <v>1142</v>
      </c>
      <c r="D41" s="454"/>
      <c r="E41" s="454"/>
      <c r="F41" s="454"/>
    </row>
    <row r="42" spans="1:6" ht="15" customHeight="1" x14ac:dyDescent="0.25">
      <c r="A42" s="454"/>
      <c r="B42" s="642" t="s">
        <v>1141</v>
      </c>
      <c r="C42" s="644" t="s">
        <v>1143</v>
      </c>
      <c r="D42" s="454"/>
      <c r="E42" s="454"/>
      <c r="F42" s="454"/>
    </row>
    <row r="43" spans="1:6" ht="15" customHeight="1" x14ac:dyDescent="0.25">
      <c r="A43" s="454"/>
      <c r="B43" s="642" t="s">
        <v>1144</v>
      </c>
      <c r="C43" s="643" t="s">
        <v>1145</v>
      </c>
      <c r="D43" s="454"/>
      <c r="E43" s="454"/>
      <c r="F43" s="454"/>
    </row>
    <row r="44" spans="1:6" ht="15" customHeight="1" x14ac:dyDescent="0.25">
      <c r="A44" s="454"/>
      <c r="B44" s="639" t="s">
        <v>1146</v>
      </c>
      <c r="C44" s="640"/>
      <c r="D44" s="454"/>
      <c r="E44" s="454"/>
      <c r="F44" s="454"/>
    </row>
    <row r="45" spans="1:6" ht="15" customHeight="1" x14ac:dyDescent="0.25">
      <c r="A45" s="454"/>
      <c r="B45" s="645" t="s">
        <v>1147</v>
      </c>
      <c r="C45" s="646" t="s">
        <v>1148</v>
      </c>
      <c r="D45" s="454"/>
      <c r="E45" s="454"/>
      <c r="F45" s="454"/>
    </row>
    <row r="46" spans="1:6" ht="15" customHeight="1" x14ac:dyDescent="0.25">
      <c r="A46" s="454"/>
      <c r="B46" s="645" t="str">
        <f>+[2]Hoja1!$L$6</f>
        <v>Gerente Gral Adjunto</v>
      </c>
      <c r="C46" s="646" t="str">
        <f>+[2]Hoja1!$C$6</f>
        <v>Widilfo Escobar Cikel</v>
      </c>
      <c r="D46" s="454"/>
      <c r="E46" s="454"/>
      <c r="F46" s="454"/>
    </row>
    <row r="47" spans="1:6" ht="15" customHeight="1" x14ac:dyDescent="0.25">
      <c r="A47" s="454"/>
      <c r="B47" s="645" t="str">
        <f>+[3]Hoja1!$L$6</f>
        <v>Gerente Financiero</v>
      </c>
      <c r="C47" s="646" t="s">
        <v>1149</v>
      </c>
      <c r="D47" s="454"/>
      <c r="E47" s="454"/>
      <c r="F47" s="454"/>
    </row>
    <row r="48" spans="1:6" ht="15" customHeight="1" x14ac:dyDescent="0.25">
      <c r="A48" s="454"/>
      <c r="B48" s="645" t="s">
        <v>1150</v>
      </c>
      <c r="C48" s="646" t="s">
        <v>1151</v>
      </c>
      <c r="D48" s="454"/>
      <c r="E48" s="454"/>
      <c r="F48" s="454"/>
    </row>
    <row r="49" spans="1:6" ht="15" customHeight="1" x14ac:dyDescent="0.25">
      <c r="A49" s="454"/>
      <c r="B49" s="645" t="str">
        <f>+[4]Hoja1!$L$6</f>
        <v>Gerente de Informatica</v>
      </c>
      <c r="C49" s="646" t="s">
        <v>1152</v>
      </c>
      <c r="D49" s="454"/>
      <c r="E49" s="454"/>
      <c r="F49" s="454"/>
    </row>
    <row r="50" spans="1:6" ht="15" customHeight="1" x14ac:dyDescent="0.25">
      <c r="A50" s="454"/>
      <c r="B50" s="645" t="str">
        <f>+[5]Hoja1!$L$6</f>
        <v>Gte. RRHH.</v>
      </c>
      <c r="C50" s="646" t="s">
        <v>1153</v>
      </c>
      <c r="D50" s="454"/>
      <c r="E50" s="454"/>
      <c r="F50" s="454"/>
    </row>
    <row r="51" spans="1:6" ht="15" customHeight="1" x14ac:dyDescent="0.25">
      <c r="A51" s="454"/>
      <c r="B51" s="645" t="str">
        <f>+[6]Hoja1!$L$10</f>
        <v>Auditora</v>
      </c>
      <c r="C51" s="646" t="s">
        <v>1154</v>
      </c>
      <c r="D51" s="454"/>
      <c r="E51" s="454"/>
      <c r="F51" s="454"/>
    </row>
    <row r="52" spans="1:6" ht="15" customHeight="1" x14ac:dyDescent="0.25">
      <c r="A52" s="454"/>
      <c r="B52" s="645" t="s">
        <v>1155</v>
      </c>
      <c r="C52" s="647" t="s">
        <v>1156</v>
      </c>
      <c r="D52" s="454"/>
      <c r="E52" s="454"/>
      <c r="F52" s="454"/>
    </row>
    <row r="53" spans="1:6" ht="15" customHeight="1" x14ac:dyDescent="0.25">
      <c r="A53" s="454"/>
      <c r="B53" s="645" t="s">
        <v>1157</v>
      </c>
      <c r="C53" s="647" t="s">
        <v>1158</v>
      </c>
      <c r="D53" s="454"/>
      <c r="E53" s="454"/>
      <c r="F53" s="454"/>
    </row>
    <row r="54" spans="1:6" ht="15" customHeight="1" x14ac:dyDescent="0.25">
      <c r="A54" s="454"/>
      <c r="B54" s="645" t="s">
        <v>1159</v>
      </c>
      <c r="C54" s="647" t="s">
        <v>1160</v>
      </c>
      <c r="D54" s="454"/>
      <c r="E54" s="454"/>
      <c r="F54" s="454"/>
    </row>
    <row r="55" spans="1:6" ht="15" customHeight="1" x14ac:dyDescent="0.25">
      <c r="A55" s="454"/>
      <c r="B55" s="645" t="s">
        <v>1161</v>
      </c>
      <c r="C55" s="647" t="s">
        <v>1162</v>
      </c>
      <c r="D55" s="454"/>
      <c r="E55" s="454"/>
      <c r="F55" s="454"/>
    </row>
    <row r="56" spans="1:6" ht="15" customHeight="1" x14ac:dyDescent="0.25">
      <c r="A56" s="454"/>
      <c r="B56" s="645" t="s">
        <v>1163</v>
      </c>
      <c r="C56" s="646" t="s">
        <v>1164</v>
      </c>
      <c r="D56" s="454"/>
      <c r="E56" s="454"/>
      <c r="F56" s="454"/>
    </row>
    <row r="57" spans="1:6" ht="15" customHeight="1" x14ac:dyDescent="0.25">
      <c r="A57" s="454"/>
      <c r="B57" s="645" t="s">
        <v>1165</v>
      </c>
      <c r="C57" s="646" t="s">
        <v>1166</v>
      </c>
      <c r="D57" s="454"/>
      <c r="E57" s="454"/>
      <c r="F57" s="454"/>
    </row>
    <row r="58" spans="1:6" ht="15" customHeight="1" x14ac:dyDescent="0.25">
      <c r="A58" s="454"/>
      <c r="B58" s="645" t="s">
        <v>1167</v>
      </c>
      <c r="C58" s="646" t="s">
        <v>1168</v>
      </c>
      <c r="D58" s="454"/>
      <c r="E58" s="454"/>
      <c r="F58" s="454"/>
    </row>
    <row r="59" spans="1:6" ht="15" customHeight="1" x14ac:dyDescent="0.25">
      <c r="A59" s="454"/>
      <c r="B59" s="645" t="s">
        <v>1169</v>
      </c>
      <c r="C59" s="646" t="s">
        <v>1170</v>
      </c>
      <c r="D59" s="454"/>
      <c r="E59" s="454"/>
      <c r="F59" s="454"/>
    </row>
    <row r="60" spans="1:6" ht="15" customHeight="1" x14ac:dyDescent="0.2">
      <c r="A60" s="454"/>
      <c r="B60" s="454"/>
      <c r="C60" s="454"/>
      <c r="D60" s="454"/>
      <c r="E60" s="454"/>
      <c r="F60" s="454"/>
    </row>
    <row r="61" spans="1:6" ht="15" customHeight="1" x14ac:dyDescent="0.25">
      <c r="A61" s="641" t="s">
        <v>1171</v>
      </c>
      <c r="B61" s="454"/>
      <c r="C61" s="454"/>
      <c r="D61" s="454"/>
      <c r="E61" s="454"/>
      <c r="F61" s="454"/>
    </row>
    <row r="62" spans="1:6" ht="15" thickBot="1" x14ac:dyDescent="0.25">
      <c r="A62" s="454"/>
      <c r="B62" s="454"/>
      <c r="C62" s="454"/>
      <c r="D62" s="454"/>
      <c r="E62" s="454"/>
      <c r="F62" s="454"/>
    </row>
    <row r="63" spans="1:6" ht="15.75" thickBot="1" x14ac:dyDescent="0.3">
      <c r="A63" s="814" t="s">
        <v>1172</v>
      </c>
      <c r="B63" s="815"/>
      <c r="C63" s="815"/>
      <c r="D63" s="815"/>
      <c r="E63" s="816"/>
      <c r="F63" s="454"/>
    </row>
    <row r="64" spans="1:6" ht="15.75" thickBot="1" x14ac:dyDescent="0.3">
      <c r="A64" s="604" t="s">
        <v>1173</v>
      </c>
      <c r="B64" s="606" t="s">
        <v>1174</v>
      </c>
      <c r="C64" s="606" t="s">
        <v>1175</v>
      </c>
      <c r="D64" s="606" t="s">
        <v>1176</v>
      </c>
      <c r="E64" s="606" t="s">
        <v>1177</v>
      </c>
      <c r="F64" s="454"/>
    </row>
    <row r="65" spans="1:9" ht="15" x14ac:dyDescent="0.25">
      <c r="A65" s="607"/>
      <c r="B65" s="608"/>
      <c r="C65" s="608"/>
      <c r="D65" s="608"/>
      <c r="E65" s="609"/>
      <c r="F65" s="454"/>
    </row>
    <row r="66" spans="1:9" ht="15" thickBot="1" x14ac:dyDescent="0.25">
      <c r="A66" s="610">
        <v>120000000000</v>
      </c>
      <c r="B66" s="610">
        <v>150000000000</v>
      </c>
      <c r="C66" s="610">
        <v>120000000000</v>
      </c>
      <c r="D66" s="610">
        <v>120000000000</v>
      </c>
      <c r="E66" s="610">
        <v>1000000</v>
      </c>
      <c r="F66" s="454"/>
    </row>
    <row r="67" spans="1:9" ht="15" thickBot="1" x14ac:dyDescent="0.25">
      <c r="A67" s="454"/>
      <c r="B67" s="454"/>
      <c r="C67" s="454"/>
      <c r="D67" s="454"/>
      <c r="E67" s="454"/>
      <c r="F67" s="454"/>
    </row>
    <row r="68" spans="1:9" s="663" customFormat="1" ht="15" customHeight="1" thickBot="1" x14ac:dyDescent="0.25">
      <c r="A68" s="809" t="s">
        <v>1233</v>
      </c>
      <c r="B68" s="810"/>
      <c r="C68" s="810"/>
      <c r="D68" s="810"/>
      <c r="E68" s="810"/>
      <c r="F68" s="810"/>
      <c r="G68" s="810"/>
      <c r="H68" s="811"/>
      <c r="I68" s="648"/>
    </row>
    <row r="69" spans="1:9" s="663" customFormat="1" ht="15" thickBot="1" x14ac:dyDescent="0.25">
      <c r="A69" s="812"/>
      <c r="B69" s="812"/>
      <c r="C69" s="812"/>
      <c r="D69" s="812"/>
      <c r="E69" s="812"/>
      <c r="F69" s="812"/>
      <c r="G69" s="812"/>
      <c r="H69" s="812"/>
      <c r="I69" s="648"/>
    </row>
    <row r="70" spans="1:9" s="663" customFormat="1" ht="15" thickBot="1" x14ac:dyDescent="0.25">
      <c r="A70" s="665" t="s">
        <v>1179</v>
      </c>
      <c r="B70" s="666" t="s">
        <v>1180</v>
      </c>
      <c r="C70" s="666" t="s">
        <v>1181</v>
      </c>
      <c r="D70" s="666" t="s">
        <v>1182</v>
      </c>
      <c r="E70" s="666" t="s">
        <v>1183</v>
      </c>
      <c r="F70" s="666" t="s">
        <v>1184</v>
      </c>
      <c r="G70" s="666" t="s">
        <v>882</v>
      </c>
      <c r="H70" s="666" t="s">
        <v>1234</v>
      </c>
      <c r="I70" s="648"/>
    </row>
    <row r="71" spans="1:9" s="663" customFormat="1" ht="15" thickBot="1" x14ac:dyDescent="0.25">
      <c r="A71" s="667">
        <v>1</v>
      </c>
      <c r="B71" s="668" t="s">
        <v>1209</v>
      </c>
      <c r="C71" s="669" t="s">
        <v>1210</v>
      </c>
      <c r="D71" s="670">
        <v>7200</v>
      </c>
      <c r="E71" s="671" t="s">
        <v>1189</v>
      </c>
      <c r="F71" s="670">
        <f>+D71*5</f>
        <v>36000</v>
      </c>
      <c r="G71" s="672">
        <v>7200000000</v>
      </c>
      <c r="H71" s="673">
        <v>0.06</v>
      </c>
      <c r="I71" s="648"/>
    </row>
    <row r="72" spans="1:9" s="663" customFormat="1" ht="15" thickBot="1" x14ac:dyDescent="0.25">
      <c r="A72" s="667">
        <f t="shared" ref="A72:A116" si="0">+A71+1</f>
        <v>2</v>
      </c>
      <c r="B72" s="674" t="s">
        <v>1126</v>
      </c>
      <c r="C72" s="669" t="s">
        <v>1225</v>
      </c>
      <c r="D72" s="675">
        <v>8200</v>
      </c>
      <c r="E72" s="676" t="s">
        <v>1189</v>
      </c>
      <c r="F72" s="675">
        <f>+D72*5</f>
        <v>41000</v>
      </c>
      <c r="G72" s="672">
        <v>8200000000</v>
      </c>
      <c r="H72" s="673">
        <v>6.8333333333333329E-2</v>
      </c>
      <c r="I72" s="648"/>
    </row>
    <row r="73" spans="1:9" s="663" customFormat="1" ht="15" thickBot="1" x14ac:dyDescent="0.25">
      <c r="A73" s="667">
        <f t="shared" si="0"/>
        <v>3</v>
      </c>
      <c r="B73" s="674" t="s">
        <v>1187</v>
      </c>
      <c r="C73" s="669" t="s">
        <v>1188</v>
      </c>
      <c r="D73" s="675">
        <v>3800</v>
      </c>
      <c r="E73" s="676" t="s">
        <v>1189</v>
      </c>
      <c r="F73" s="675">
        <f>+D73*5</f>
        <v>19000</v>
      </c>
      <c r="G73" s="672">
        <v>3800000000</v>
      </c>
      <c r="H73" s="673">
        <v>3.1666666666666669E-2</v>
      </c>
      <c r="I73" s="648"/>
    </row>
    <row r="74" spans="1:9" s="663" customFormat="1" ht="15" thickBot="1" x14ac:dyDescent="0.25">
      <c r="A74" s="667">
        <f t="shared" si="0"/>
        <v>4</v>
      </c>
      <c r="B74" s="674" t="s">
        <v>1187</v>
      </c>
      <c r="C74" s="669" t="s">
        <v>1190</v>
      </c>
      <c r="D74" s="675">
        <v>400</v>
      </c>
      <c r="E74" s="676" t="s">
        <v>1189</v>
      </c>
      <c r="F74" s="675">
        <f>+D74*5</f>
        <v>2000</v>
      </c>
      <c r="G74" s="672">
        <v>400000000</v>
      </c>
      <c r="H74" s="673">
        <v>3.3333333333333335E-3</v>
      </c>
      <c r="I74" s="648"/>
    </row>
    <row r="75" spans="1:9" s="663" customFormat="1" ht="15" thickBot="1" x14ac:dyDescent="0.25">
      <c r="A75" s="667">
        <f t="shared" si="0"/>
        <v>5</v>
      </c>
      <c r="B75" s="674" t="s">
        <v>1126</v>
      </c>
      <c r="C75" s="669" t="s">
        <v>1226</v>
      </c>
      <c r="D75" s="675">
        <v>400</v>
      </c>
      <c r="E75" s="676" t="s">
        <v>1189</v>
      </c>
      <c r="F75" s="675">
        <f>+D75*5</f>
        <v>2000</v>
      </c>
      <c r="G75" s="672">
        <v>400000000</v>
      </c>
      <c r="H75" s="673">
        <v>3.3333333333333335E-3</v>
      </c>
      <c r="I75" s="648"/>
    </row>
    <row r="76" spans="1:9" s="663" customFormat="1" ht="26.25" thickBot="1" x14ac:dyDescent="0.25">
      <c r="A76" s="667">
        <f t="shared" si="0"/>
        <v>6</v>
      </c>
      <c r="B76" s="674" t="s">
        <v>1235</v>
      </c>
      <c r="C76" s="669" t="s">
        <v>1236</v>
      </c>
      <c r="D76" s="675">
        <v>700</v>
      </c>
      <c r="E76" s="676" t="s">
        <v>1192</v>
      </c>
      <c r="F76" s="675">
        <v>0</v>
      </c>
      <c r="G76" s="672">
        <v>700000000</v>
      </c>
      <c r="H76" s="673">
        <v>5.8333333333333336E-3</v>
      </c>
      <c r="I76" s="648"/>
    </row>
    <row r="77" spans="1:9" s="663" customFormat="1" ht="15" thickBot="1" x14ac:dyDescent="0.25">
      <c r="A77" s="667">
        <f t="shared" si="0"/>
        <v>7</v>
      </c>
      <c r="B77" s="674" t="s">
        <v>1187</v>
      </c>
      <c r="C77" s="669" t="s">
        <v>1191</v>
      </c>
      <c r="D77" s="675">
        <v>400</v>
      </c>
      <c r="E77" s="676" t="s">
        <v>1192</v>
      </c>
      <c r="F77" s="675">
        <v>0</v>
      </c>
      <c r="G77" s="672">
        <v>400000000</v>
      </c>
      <c r="H77" s="673">
        <v>3.3333333333333335E-3</v>
      </c>
      <c r="I77" s="648"/>
    </row>
    <row r="78" spans="1:9" s="663" customFormat="1" ht="15" thickBot="1" x14ac:dyDescent="0.25">
      <c r="A78" s="667">
        <f t="shared" si="0"/>
        <v>8</v>
      </c>
      <c r="B78" s="674" t="s">
        <v>1237</v>
      </c>
      <c r="C78" s="669" t="s">
        <v>1238</v>
      </c>
      <c r="D78" s="675">
        <v>1260</v>
      </c>
      <c r="E78" s="676" t="s">
        <v>1194</v>
      </c>
      <c r="F78" s="675">
        <v>0</v>
      </c>
      <c r="G78" s="672">
        <v>1260000000</v>
      </c>
      <c r="H78" s="673">
        <v>1.0500000000000001E-2</v>
      </c>
      <c r="I78" s="648"/>
    </row>
    <row r="79" spans="1:9" s="663" customFormat="1" ht="15" thickBot="1" x14ac:dyDescent="0.25">
      <c r="A79" s="667">
        <f t="shared" si="0"/>
        <v>9</v>
      </c>
      <c r="B79" s="674" t="s">
        <v>1187</v>
      </c>
      <c r="C79" s="669" t="s">
        <v>1193</v>
      </c>
      <c r="D79" s="675">
        <v>940</v>
      </c>
      <c r="E79" s="676" t="s">
        <v>1194</v>
      </c>
      <c r="F79" s="675">
        <v>0</v>
      </c>
      <c r="G79" s="672">
        <v>940000000</v>
      </c>
      <c r="H79" s="673">
        <v>7.8333333333333328E-3</v>
      </c>
      <c r="I79" s="648"/>
    </row>
    <row r="80" spans="1:9" s="663" customFormat="1" ht="15" thickBot="1" x14ac:dyDescent="0.25">
      <c r="A80" s="667">
        <f t="shared" si="0"/>
        <v>10</v>
      </c>
      <c r="B80" s="674" t="s">
        <v>1239</v>
      </c>
      <c r="C80" s="669" t="s">
        <v>1240</v>
      </c>
      <c r="D80" s="675">
        <v>200</v>
      </c>
      <c r="E80" s="676" t="s">
        <v>1194</v>
      </c>
      <c r="F80" s="675">
        <v>0</v>
      </c>
      <c r="G80" s="672">
        <v>200000000</v>
      </c>
      <c r="H80" s="673">
        <v>1.6666666666666668E-3</v>
      </c>
      <c r="I80" s="648"/>
    </row>
    <row r="81" spans="1:9" s="663" customFormat="1" ht="15" thickBot="1" x14ac:dyDescent="0.25">
      <c r="A81" s="667">
        <f t="shared" si="0"/>
        <v>11</v>
      </c>
      <c r="B81" s="668" t="s">
        <v>1241</v>
      </c>
      <c r="C81" s="669" t="s">
        <v>1242</v>
      </c>
      <c r="D81" s="675">
        <v>1200</v>
      </c>
      <c r="E81" s="676" t="s">
        <v>1243</v>
      </c>
      <c r="F81" s="675">
        <v>0</v>
      </c>
      <c r="G81" s="672">
        <v>1200000000</v>
      </c>
      <c r="H81" s="673">
        <v>0.01</v>
      </c>
      <c r="I81" s="648"/>
    </row>
    <row r="82" spans="1:9" s="663" customFormat="1" ht="26.25" thickBot="1" x14ac:dyDescent="0.25">
      <c r="A82" s="667">
        <f t="shared" si="0"/>
        <v>12</v>
      </c>
      <c r="B82" s="674" t="s">
        <v>1244</v>
      </c>
      <c r="C82" s="669" t="s">
        <v>1245</v>
      </c>
      <c r="D82" s="675">
        <v>365</v>
      </c>
      <c r="E82" s="676" t="s">
        <v>1196</v>
      </c>
      <c r="F82" s="675">
        <v>0</v>
      </c>
      <c r="G82" s="672">
        <v>365000000</v>
      </c>
      <c r="H82" s="673">
        <v>3.0416666666666665E-3</v>
      </c>
      <c r="I82" s="648"/>
    </row>
    <row r="83" spans="1:9" s="663" customFormat="1" ht="15" thickBot="1" x14ac:dyDescent="0.25">
      <c r="A83" s="667">
        <f t="shared" si="0"/>
        <v>13</v>
      </c>
      <c r="B83" s="674" t="s">
        <v>1246</v>
      </c>
      <c r="C83" s="669" t="s">
        <v>1247</v>
      </c>
      <c r="D83" s="675">
        <v>135</v>
      </c>
      <c r="E83" s="676" t="s">
        <v>1196</v>
      </c>
      <c r="F83" s="675">
        <v>0</v>
      </c>
      <c r="G83" s="672">
        <v>135000000</v>
      </c>
      <c r="H83" s="673">
        <v>1.1249999999999999E-3</v>
      </c>
      <c r="I83" s="648"/>
    </row>
    <row r="84" spans="1:9" s="663" customFormat="1" ht="15" thickBot="1" x14ac:dyDescent="0.25">
      <c r="A84" s="667">
        <f t="shared" si="0"/>
        <v>14</v>
      </c>
      <c r="B84" s="674" t="s">
        <v>1187</v>
      </c>
      <c r="C84" s="669" t="s">
        <v>1195</v>
      </c>
      <c r="D84" s="675">
        <v>400</v>
      </c>
      <c r="E84" s="676" t="s">
        <v>1196</v>
      </c>
      <c r="F84" s="675">
        <v>0</v>
      </c>
      <c r="G84" s="672">
        <v>400000000</v>
      </c>
      <c r="H84" s="673">
        <v>3.3333333333333335E-3</v>
      </c>
      <c r="I84" s="648"/>
    </row>
    <row r="85" spans="1:9" s="663" customFormat="1" ht="15" thickBot="1" x14ac:dyDescent="0.25">
      <c r="A85" s="667">
        <f t="shared" si="0"/>
        <v>15</v>
      </c>
      <c r="B85" s="674" t="s">
        <v>1248</v>
      </c>
      <c r="C85" s="669" t="s">
        <v>1249</v>
      </c>
      <c r="D85" s="675">
        <v>2410</v>
      </c>
      <c r="E85" s="676" t="s">
        <v>1250</v>
      </c>
      <c r="F85" s="675">
        <v>0</v>
      </c>
      <c r="G85" s="672">
        <v>2410000000</v>
      </c>
      <c r="H85" s="673">
        <v>2.0083333333333335E-2</v>
      </c>
      <c r="I85" s="648"/>
    </row>
    <row r="86" spans="1:9" s="663" customFormat="1" ht="15" thickBot="1" x14ac:dyDescent="0.25">
      <c r="A86" s="667">
        <f t="shared" si="0"/>
        <v>16</v>
      </c>
      <c r="B86" s="674" t="s">
        <v>1251</v>
      </c>
      <c r="C86" s="669" t="s">
        <v>1252</v>
      </c>
      <c r="D86" s="675">
        <v>200</v>
      </c>
      <c r="E86" s="676" t="s">
        <v>1250</v>
      </c>
      <c r="F86" s="675">
        <v>0</v>
      </c>
      <c r="G86" s="672">
        <v>200000000</v>
      </c>
      <c r="H86" s="673">
        <v>1.6666666666666668E-3</v>
      </c>
      <c r="I86" s="648"/>
    </row>
    <row r="87" spans="1:9" s="663" customFormat="1" ht="15" thickBot="1" x14ac:dyDescent="0.25">
      <c r="A87" s="667">
        <f t="shared" si="0"/>
        <v>17</v>
      </c>
      <c r="B87" s="674" t="s">
        <v>1253</v>
      </c>
      <c r="C87" s="669" t="s">
        <v>1254</v>
      </c>
      <c r="D87" s="675">
        <v>200</v>
      </c>
      <c r="E87" s="676" t="s">
        <v>1250</v>
      </c>
      <c r="F87" s="675">
        <v>0</v>
      </c>
      <c r="G87" s="672">
        <v>200000000</v>
      </c>
      <c r="H87" s="673">
        <v>1.6666666666666668E-3</v>
      </c>
      <c r="I87" s="648"/>
    </row>
    <row r="88" spans="1:9" s="663" customFormat="1" ht="15" thickBot="1" x14ac:dyDescent="0.25">
      <c r="A88" s="667">
        <f t="shared" si="0"/>
        <v>18</v>
      </c>
      <c r="B88" s="674" t="s">
        <v>1255</v>
      </c>
      <c r="C88" s="669" t="s">
        <v>1256</v>
      </c>
      <c r="D88" s="675">
        <v>70</v>
      </c>
      <c r="E88" s="676" t="s">
        <v>1250</v>
      </c>
      <c r="F88" s="675">
        <v>0</v>
      </c>
      <c r="G88" s="672">
        <v>70000000</v>
      </c>
      <c r="H88" s="673">
        <v>5.8333333333333338E-4</v>
      </c>
      <c r="I88" s="648"/>
    </row>
    <row r="89" spans="1:9" s="663" customFormat="1" ht="15" thickBot="1" x14ac:dyDescent="0.25">
      <c r="A89" s="667">
        <f t="shared" si="0"/>
        <v>19</v>
      </c>
      <c r="B89" s="674" t="s">
        <v>1255</v>
      </c>
      <c r="C89" s="669" t="s">
        <v>1257</v>
      </c>
      <c r="D89" s="675">
        <v>200</v>
      </c>
      <c r="E89" s="676" t="s">
        <v>1250</v>
      </c>
      <c r="F89" s="675">
        <v>0</v>
      </c>
      <c r="G89" s="672">
        <v>200000000</v>
      </c>
      <c r="H89" s="673">
        <v>1.6666666666666668E-3</v>
      </c>
      <c r="I89" s="648"/>
    </row>
    <row r="90" spans="1:9" s="663" customFormat="1" ht="15" thickBot="1" x14ac:dyDescent="0.25">
      <c r="A90" s="667">
        <f t="shared" si="0"/>
        <v>20</v>
      </c>
      <c r="B90" s="668" t="s">
        <v>1258</v>
      </c>
      <c r="C90" s="669" t="s">
        <v>1259</v>
      </c>
      <c r="D90" s="675">
        <v>220</v>
      </c>
      <c r="E90" s="676" t="s">
        <v>1250</v>
      </c>
      <c r="F90" s="675">
        <v>0</v>
      </c>
      <c r="G90" s="672">
        <v>220000000</v>
      </c>
      <c r="H90" s="673">
        <v>1.8333333333333333E-3</v>
      </c>
      <c r="I90" s="648"/>
    </row>
    <row r="91" spans="1:9" s="663" customFormat="1" ht="15" thickBot="1" x14ac:dyDescent="0.25">
      <c r="A91" s="667">
        <f t="shared" si="0"/>
        <v>21</v>
      </c>
      <c r="B91" s="677" t="s">
        <v>1139</v>
      </c>
      <c r="C91" s="678" t="s">
        <v>1218</v>
      </c>
      <c r="D91" s="679">
        <v>1000</v>
      </c>
      <c r="E91" s="680" t="s">
        <v>1206</v>
      </c>
      <c r="F91" s="679"/>
      <c r="G91" s="681">
        <f>+D91*1000000</f>
        <v>1000000000</v>
      </c>
      <c r="H91" s="673">
        <v>8.3333333333333332E-3</v>
      </c>
      <c r="I91" s="648"/>
    </row>
    <row r="92" spans="1:9" s="663" customFormat="1" ht="15" thickBot="1" x14ac:dyDescent="0.25">
      <c r="A92" s="667">
        <f t="shared" si="0"/>
        <v>22</v>
      </c>
      <c r="B92" s="677" t="s">
        <v>1139</v>
      </c>
      <c r="C92" s="678" t="s">
        <v>1219</v>
      </c>
      <c r="D92" s="679">
        <v>944</v>
      </c>
      <c r="E92" s="680" t="s">
        <v>1206</v>
      </c>
      <c r="F92" s="679"/>
      <c r="G92" s="681">
        <f>+D92*1000000</f>
        <v>944000000</v>
      </c>
      <c r="H92" s="673">
        <v>7.8666666666666659E-3</v>
      </c>
      <c r="I92" s="648"/>
    </row>
    <row r="93" spans="1:9" s="663" customFormat="1" ht="15" thickBot="1" x14ac:dyDescent="0.25">
      <c r="A93" s="667">
        <f t="shared" si="0"/>
        <v>23</v>
      </c>
      <c r="B93" s="677" t="s">
        <v>1220</v>
      </c>
      <c r="C93" s="678" t="s">
        <v>1221</v>
      </c>
      <c r="D93" s="679">
        <v>2322</v>
      </c>
      <c r="E93" s="680" t="s">
        <v>1206</v>
      </c>
      <c r="F93" s="679"/>
      <c r="G93" s="681">
        <f>+D93*1000000</f>
        <v>2322000000</v>
      </c>
      <c r="H93" s="673">
        <v>1.9349999999999999E-2</v>
      </c>
      <c r="I93" s="648"/>
    </row>
    <row r="94" spans="1:9" s="663" customFormat="1" ht="15" thickBot="1" x14ac:dyDescent="0.25">
      <c r="A94" s="667">
        <f t="shared" si="0"/>
        <v>24</v>
      </c>
      <c r="B94" s="677" t="s">
        <v>1260</v>
      </c>
      <c r="C94" s="678" t="s">
        <v>1205</v>
      </c>
      <c r="D94" s="679">
        <v>1134</v>
      </c>
      <c r="E94" s="680" t="s">
        <v>1206</v>
      </c>
      <c r="F94" s="679"/>
      <c r="G94" s="681">
        <f>+D94*1000000</f>
        <v>1134000000</v>
      </c>
      <c r="H94" s="673">
        <v>9.4500000000000001E-3</v>
      </c>
      <c r="I94" s="648"/>
    </row>
    <row r="95" spans="1:9" s="663" customFormat="1" ht="15" thickBot="1" x14ac:dyDescent="0.25">
      <c r="A95" s="667">
        <f t="shared" si="0"/>
        <v>25</v>
      </c>
      <c r="B95" s="674" t="s">
        <v>1261</v>
      </c>
      <c r="C95" s="669" t="s">
        <v>1262</v>
      </c>
      <c r="D95" s="675">
        <v>3750</v>
      </c>
      <c r="E95" s="676" t="s">
        <v>1214</v>
      </c>
      <c r="F95" s="675">
        <v>0</v>
      </c>
      <c r="G95" s="672">
        <v>3750000000</v>
      </c>
      <c r="H95" s="673">
        <v>3.125E-2</v>
      </c>
      <c r="I95" s="648"/>
    </row>
    <row r="96" spans="1:9" s="663" customFormat="1" ht="15" thickBot="1" x14ac:dyDescent="0.25">
      <c r="A96" s="667">
        <f t="shared" si="0"/>
        <v>26</v>
      </c>
      <c r="B96" s="674" t="s">
        <v>1263</v>
      </c>
      <c r="C96" s="669" t="s">
        <v>1264</v>
      </c>
      <c r="D96" s="675">
        <v>1950</v>
      </c>
      <c r="E96" s="676" t="s">
        <v>1214</v>
      </c>
      <c r="F96" s="675">
        <v>0</v>
      </c>
      <c r="G96" s="672">
        <v>1950000000</v>
      </c>
      <c r="H96" s="673">
        <v>1.6250000000000001E-2</v>
      </c>
      <c r="I96" s="648"/>
    </row>
    <row r="97" spans="1:9" s="663" customFormat="1" ht="15" thickBot="1" x14ac:dyDescent="0.25">
      <c r="A97" s="667">
        <f t="shared" si="0"/>
        <v>27</v>
      </c>
      <c r="B97" s="682" t="s">
        <v>1209</v>
      </c>
      <c r="C97" s="669" t="s">
        <v>1211</v>
      </c>
      <c r="D97" s="675">
        <f>3750+1950</f>
        <v>5700</v>
      </c>
      <c r="E97" s="676" t="s">
        <v>1206</v>
      </c>
      <c r="F97" s="675">
        <v>0</v>
      </c>
      <c r="G97" s="672">
        <v>5700000000</v>
      </c>
      <c r="H97" s="673">
        <v>4.7500000000000001E-2</v>
      </c>
      <c r="I97" s="648"/>
    </row>
    <row r="98" spans="1:9" s="663" customFormat="1" ht="15" thickBot="1" x14ac:dyDescent="0.25">
      <c r="A98" s="667">
        <f t="shared" si="0"/>
        <v>28</v>
      </c>
      <c r="B98" s="682" t="s">
        <v>1209</v>
      </c>
      <c r="C98" s="678" t="s">
        <v>1212</v>
      </c>
      <c r="D98" s="679">
        <v>3600</v>
      </c>
      <c r="E98" s="680" t="s">
        <v>1198</v>
      </c>
      <c r="F98" s="679">
        <v>0</v>
      </c>
      <c r="G98" s="681">
        <v>3600000000</v>
      </c>
      <c r="H98" s="636">
        <v>0.03</v>
      </c>
      <c r="I98" s="648"/>
    </row>
    <row r="99" spans="1:9" s="663" customFormat="1" ht="15" thickBot="1" x14ac:dyDescent="0.25">
      <c r="A99" s="667">
        <f t="shared" si="0"/>
        <v>29</v>
      </c>
      <c r="B99" s="677" t="s">
        <v>1220</v>
      </c>
      <c r="C99" s="678" t="s">
        <v>1222</v>
      </c>
      <c r="D99" s="679">
        <v>4300</v>
      </c>
      <c r="E99" s="680" t="s">
        <v>1198</v>
      </c>
      <c r="F99" s="679">
        <v>0</v>
      </c>
      <c r="G99" s="681">
        <v>4300000000</v>
      </c>
      <c r="H99" s="636">
        <v>3.5833333333333335E-2</v>
      </c>
      <c r="I99" s="648"/>
    </row>
    <row r="100" spans="1:9" s="663" customFormat="1" ht="15" thickBot="1" x14ac:dyDescent="0.25">
      <c r="A100" s="667">
        <f t="shared" si="0"/>
        <v>30</v>
      </c>
      <c r="B100" s="677" t="s">
        <v>1187</v>
      </c>
      <c r="C100" s="678" t="s">
        <v>1197</v>
      </c>
      <c r="D100" s="679">
        <v>2100</v>
      </c>
      <c r="E100" s="680" t="s">
        <v>1198</v>
      </c>
      <c r="F100" s="679">
        <v>0</v>
      </c>
      <c r="G100" s="681">
        <v>2100000000</v>
      </c>
      <c r="H100" s="636">
        <v>1.7500000000000002E-2</v>
      </c>
      <c r="I100" s="648"/>
    </row>
    <row r="101" spans="1:9" s="663" customFormat="1" ht="15" thickBot="1" x14ac:dyDescent="0.25">
      <c r="A101" s="667">
        <f t="shared" si="0"/>
        <v>31</v>
      </c>
      <c r="B101" s="682" t="s">
        <v>1209</v>
      </c>
      <c r="C101" s="678" t="s">
        <v>1213</v>
      </c>
      <c r="D101" s="679">
        <v>4300</v>
      </c>
      <c r="E101" s="680" t="s">
        <v>1214</v>
      </c>
      <c r="F101" s="681">
        <v>0</v>
      </c>
      <c r="G101" s="681">
        <f t="shared" ref="G101:G116" si="1">+D101*1000000</f>
        <v>4300000000</v>
      </c>
      <c r="H101" s="636">
        <v>3.5833333333333335E-2</v>
      </c>
      <c r="I101" s="648"/>
    </row>
    <row r="102" spans="1:9" s="663" customFormat="1" ht="15" thickBot="1" x14ac:dyDescent="0.25">
      <c r="A102" s="667">
        <f t="shared" si="0"/>
        <v>32</v>
      </c>
      <c r="B102" s="682" t="s">
        <v>1209</v>
      </c>
      <c r="C102" s="678" t="s">
        <v>1215</v>
      </c>
      <c r="D102" s="679">
        <v>3600</v>
      </c>
      <c r="E102" s="683" t="s">
        <v>1189</v>
      </c>
      <c r="F102" s="681">
        <f>+D102*5</f>
        <v>18000</v>
      </c>
      <c r="G102" s="681">
        <f t="shared" si="1"/>
        <v>3600000000</v>
      </c>
      <c r="H102" s="636">
        <v>0.03</v>
      </c>
      <c r="I102" s="648"/>
    </row>
    <row r="103" spans="1:9" s="663" customFormat="1" ht="15" thickBot="1" x14ac:dyDescent="0.25">
      <c r="A103" s="667">
        <f t="shared" si="0"/>
        <v>33</v>
      </c>
      <c r="B103" s="674" t="s">
        <v>1126</v>
      </c>
      <c r="C103" s="678" t="s">
        <v>1227</v>
      </c>
      <c r="D103" s="679">
        <v>4100</v>
      </c>
      <c r="E103" s="683" t="s">
        <v>1189</v>
      </c>
      <c r="F103" s="681">
        <f>+D103*5</f>
        <v>20500</v>
      </c>
      <c r="G103" s="681">
        <f t="shared" si="1"/>
        <v>4100000000</v>
      </c>
      <c r="H103" s="636">
        <v>3.4166666666666665E-2</v>
      </c>
      <c r="I103" s="648"/>
    </row>
    <row r="104" spans="1:9" s="663" customFormat="1" ht="15" thickBot="1" x14ac:dyDescent="0.25">
      <c r="A104" s="667">
        <f t="shared" si="0"/>
        <v>34</v>
      </c>
      <c r="B104" s="677" t="s">
        <v>1187</v>
      </c>
      <c r="C104" s="678" t="s">
        <v>1199</v>
      </c>
      <c r="D104" s="679">
        <v>1900</v>
      </c>
      <c r="E104" s="683" t="s">
        <v>1189</v>
      </c>
      <c r="F104" s="681">
        <f>+D104*5</f>
        <v>9500</v>
      </c>
      <c r="G104" s="681">
        <f t="shared" si="1"/>
        <v>1900000000</v>
      </c>
      <c r="H104" s="636">
        <v>1.5833333333333335E-2</v>
      </c>
      <c r="I104" s="648"/>
    </row>
    <row r="105" spans="1:9" s="663" customFormat="1" ht="15" thickBot="1" x14ac:dyDescent="0.25">
      <c r="A105" s="667">
        <f t="shared" si="0"/>
        <v>35</v>
      </c>
      <c r="B105" s="677" t="s">
        <v>1187</v>
      </c>
      <c r="C105" s="678" t="s">
        <v>1200</v>
      </c>
      <c r="D105" s="679">
        <v>200</v>
      </c>
      <c r="E105" s="683" t="s">
        <v>1189</v>
      </c>
      <c r="F105" s="681">
        <f>+D105*5</f>
        <v>1000</v>
      </c>
      <c r="G105" s="681">
        <f t="shared" si="1"/>
        <v>200000000</v>
      </c>
      <c r="H105" s="636">
        <v>1.6666666666666668E-3</v>
      </c>
      <c r="I105" s="648"/>
    </row>
    <row r="106" spans="1:9" s="663" customFormat="1" ht="15" thickBot="1" x14ac:dyDescent="0.25">
      <c r="A106" s="667">
        <f t="shared" si="0"/>
        <v>36</v>
      </c>
      <c r="B106" s="674" t="s">
        <v>1126</v>
      </c>
      <c r="C106" s="678" t="s">
        <v>1228</v>
      </c>
      <c r="D106" s="679">
        <v>200</v>
      </c>
      <c r="E106" s="683" t="s">
        <v>1189</v>
      </c>
      <c r="F106" s="681">
        <f>+D106*5</f>
        <v>1000</v>
      </c>
      <c r="G106" s="681">
        <f t="shared" si="1"/>
        <v>200000000</v>
      </c>
      <c r="H106" s="636">
        <v>1.6666666666666668E-3</v>
      </c>
      <c r="I106" s="648"/>
    </row>
    <row r="107" spans="1:9" s="663" customFormat="1" ht="15" thickBot="1" x14ac:dyDescent="0.25">
      <c r="A107" s="667">
        <f t="shared" si="0"/>
        <v>37</v>
      </c>
      <c r="B107" s="682" t="s">
        <v>1209</v>
      </c>
      <c r="C107" s="678" t="s">
        <v>1216</v>
      </c>
      <c r="D107" s="679">
        <v>5000</v>
      </c>
      <c r="E107" s="680" t="s">
        <v>1214</v>
      </c>
      <c r="F107" s="681">
        <v>0</v>
      </c>
      <c r="G107" s="681">
        <f t="shared" si="1"/>
        <v>5000000000</v>
      </c>
      <c r="H107" s="636">
        <v>4.1666666666666664E-2</v>
      </c>
      <c r="I107" s="648"/>
    </row>
    <row r="108" spans="1:9" s="663" customFormat="1" ht="15" thickBot="1" x14ac:dyDescent="0.25">
      <c r="A108" s="667">
        <f t="shared" si="0"/>
        <v>38</v>
      </c>
      <c r="B108" s="677" t="s">
        <v>1220</v>
      </c>
      <c r="C108" s="678" t="s">
        <v>1223</v>
      </c>
      <c r="D108" s="679">
        <v>17000</v>
      </c>
      <c r="E108" s="680" t="s">
        <v>1224</v>
      </c>
      <c r="F108" s="681">
        <v>0</v>
      </c>
      <c r="G108" s="681">
        <f t="shared" si="1"/>
        <v>17000000000</v>
      </c>
      <c r="H108" s="636">
        <v>0.14166666666666666</v>
      </c>
      <c r="I108" s="648"/>
    </row>
    <row r="109" spans="1:9" s="663" customFormat="1" ht="26.25" thickBot="1" x14ac:dyDescent="0.25">
      <c r="A109" s="667">
        <f t="shared" si="0"/>
        <v>39</v>
      </c>
      <c r="B109" s="677" t="s">
        <v>1279</v>
      </c>
      <c r="C109" s="684" t="s">
        <v>1201</v>
      </c>
      <c r="D109" s="685">
        <v>5000</v>
      </c>
      <c r="E109" s="683" t="s">
        <v>1202</v>
      </c>
      <c r="F109" s="686">
        <v>0</v>
      </c>
      <c r="G109" s="686">
        <f t="shared" si="1"/>
        <v>5000000000</v>
      </c>
      <c r="H109" s="687">
        <v>4.1666666666666664E-2</v>
      </c>
      <c r="I109" s="648"/>
    </row>
    <row r="110" spans="1:9" s="663" customFormat="1" ht="15" thickBot="1" x14ac:dyDescent="0.25">
      <c r="A110" s="667">
        <f t="shared" si="0"/>
        <v>40</v>
      </c>
      <c r="B110" s="677" t="s">
        <v>1187</v>
      </c>
      <c r="C110" s="678" t="s">
        <v>1203</v>
      </c>
      <c r="D110" s="679">
        <v>2188</v>
      </c>
      <c r="E110" s="680" t="s">
        <v>1202</v>
      </c>
      <c r="F110" s="681">
        <v>0</v>
      </c>
      <c r="G110" s="681">
        <f t="shared" si="1"/>
        <v>2188000000</v>
      </c>
      <c r="H110" s="636">
        <v>1.8233333333333334E-2</v>
      </c>
      <c r="I110" s="648"/>
    </row>
    <row r="111" spans="1:9" s="663" customFormat="1" ht="15" thickBot="1" x14ac:dyDescent="0.25">
      <c r="A111" s="667">
        <f t="shared" si="0"/>
        <v>41</v>
      </c>
      <c r="B111" s="677" t="s">
        <v>1187</v>
      </c>
      <c r="C111" s="678" t="s">
        <v>1208</v>
      </c>
      <c r="D111" s="679">
        <v>132</v>
      </c>
      <c r="E111" s="680" t="s">
        <v>1202</v>
      </c>
      <c r="F111" s="681">
        <v>0</v>
      </c>
      <c r="G111" s="686">
        <f t="shared" si="1"/>
        <v>132000000</v>
      </c>
      <c r="H111" s="687">
        <v>1.1000000000000001E-3</v>
      </c>
      <c r="I111" s="648"/>
    </row>
    <row r="112" spans="1:9" s="663" customFormat="1" ht="15" thickBot="1" x14ac:dyDescent="0.25">
      <c r="A112" s="667">
        <f t="shared" si="0"/>
        <v>42</v>
      </c>
      <c r="B112" s="677" t="s">
        <v>1265</v>
      </c>
      <c r="C112" s="684" t="s">
        <v>1266</v>
      </c>
      <c r="D112" s="685">
        <v>300</v>
      </c>
      <c r="E112" s="680" t="s">
        <v>1202</v>
      </c>
      <c r="F112" s="686">
        <v>0</v>
      </c>
      <c r="G112" s="686">
        <f t="shared" si="1"/>
        <v>300000000</v>
      </c>
      <c r="H112" s="687">
        <v>2.5000000000000001E-3</v>
      </c>
      <c r="I112" s="648"/>
    </row>
    <row r="113" spans="1:9" s="663" customFormat="1" ht="15" thickBot="1" x14ac:dyDescent="0.25">
      <c r="A113" s="667">
        <f t="shared" si="0"/>
        <v>43</v>
      </c>
      <c r="B113" s="677" t="s">
        <v>1187</v>
      </c>
      <c r="C113" s="678" t="s">
        <v>1207</v>
      </c>
      <c r="D113" s="679">
        <v>380</v>
      </c>
      <c r="E113" s="680" t="s">
        <v>1202</v>
      </c>
      <c r="F113" s="681">
        <v>0</v>
      </c>
      <c r="G113" s="686">
        <f t="shared" si="1"/>
        <v>380000000</v>
      </c>
      <c r="H113" s="687">
        <v>3.1666666666666666E-3</v>
      </c>
      <c r="I113" s="648"/>
    </row>
    <row r="114" spans="1:9" s="663" customFormat="1" ht="15" thickBot="1" x14ac:dyDescent="0.25">
      <c r="A114" s="667">
        <f t="shared" si="0"/>
        <v>44</v>
      </c>
      <c r="B114" s="682" t="s">
        <v>1209</v>
      </c>
      <c r="C114" s="678" t="s">
        <v>1217</v>
      </c>
      <c r="D114" s="679">
        <v>7200</v>
      </c>
      <c r="E114" s="683" t="s">
        <v>1189</v>
      </c>
      <c r="F114" s="681">
        <f>+D114*5</f>
        <v>36000</v>
      </c>
      <c r="G114" s="686">
        <f t="shared" si="1"/>
        <v>7200000000</v>
      </c>
      <c r="H114" s="687">
        <v>0.06</v>
      </c>
      <c r="I114" s="648"/>
    </row>
    <row r="115" spans="1:9" s="663" customFormat="1" ht="15" thickBot="1" x14ac:dyDescent="0.25">
      <c r="A115" s="667">
        <f t="shared" si="0"/>
        <v>45</v>
      </c>
      <c r="B115" s="674" t="s">
        <v>1126</v>
      </c>
      <c r="C115" s="678" t="s">
        <v>1229</v>
      </c>
      <c r="D115" s="679">
        <v>8600</v>
      </c>
      <c r="E115" s="683" t="s">
        <v>1189</v>
      </c>
      <c r="F115" s="681">
        <f>+D115*5</f>
        <v>43000</v>
      </c>
      <c r="G115" s="686">
        <f t="shared" si="1"/>
        <v>8600000000</v>
      </c>
      <c r="H115" s="687">
        <v>7.166666666666667E-2</v>
      </c>
      <c r="I115" s="648"/>
    </row>
    <row r="116" spans="1:9" s="663" customFormat="1" ht="15" thickBot="1" x14ac:dyDescent="0.25">
      <c r="A116" s="667">
        <f t="shared" si="0"/>
        <v>46</v>
      </c>
      <c r="B116" s="677" t="s">
        <v>1187</v>
      </c>
      <c r="C116" s="678" t="s">
        <v>1204</v>
      </c>
      <c r="D116" s="679">
        <v>4200</v>
      </c>
      <c r="E116" s="683" t="s">
        <v>1189</v>
      </c>
      <c r="F116" s="681">
        <f>+D116*5</f>
        <v>21000</v>
      </c>
      <c r="G116" s="686">
        <f t="shared" si="1"/>
        <v>4200000000</v>
      </c>
      <c r="H116" s="687">
        <v>3.5000000000000003E-2</v>
      </c>
      <c r="I116" s="648"/>
    </row>
    <row r="117" spans="1:9" s="663" customFormat="1" ht="15" thickBot="1" x14ac:dyDescent="0.25">
      <c r="A117" s="688"/>
      <c r="B117" s="689" t="s">
        <v>317</v>
      </c>
      <c r="C117" s="690"/>
      <c r="D117" s="670">
        <f>SUM(D71:D116)</f>
        <v>120000</v>
      </c>
      <c r="E117" s="671"/>
      <c r="F117" s="670">
        <f>SUM(F71:F116)</f>
        <v>250000</v>
      </c>
      <c r="G117" s="670">
        <f>SUM(G71:G116)</f>
        <v>120000000000</v>
      </c>
      <c r="H117" s="691">
        <v>0.99999999999999978</v>
      </c>
      <c r="I117" s="648"/>
    </row>
    <row r="118" spans="1:9" s="663" customFormat="1" ht="15" thickBot="1" x14ac:dyDescent="0.25">
      <c r="A118" s="813"/>
      <c r="B118" s="813"/>
      <c r="C118" s="813"/>
      <c r="D118" s="813"/>
      <c r="E118" s="813"/>
      <c r="F118" s="813"/>
      <c r="G118" s="813"/>
      <c r="H118" s="813"/>
      <c r="I118" s="648"/>
    </row>
    <row r="119" spans="1:9" s="663" customFormat="1" ht="15" customHeight="1" thickBot="1" x14ac:dyDescent="0.25">
      <c r="A119" s="809" t="s">
        <v>1267</v>
      </c>
      <c r="B119" s="810"/>
      <c r="C119" s="810"/>
      <c r="D119" s="810"/>
      <c r="E119" s="810"/>
      <c r="F119" s="810"/>
      <c r="G119" s="810"/>
      <c r="H119" s="811"/>
      <c r="I119" s="648"/>
    </row>
    <row r="120" spans="1:9" s="663" customFormat="1" ht="15" thickBot="1" x14ac:dyDescent="0.25">
      <c r="A120" s="665" t="s">
        <v>1179</v>
      </c>
      <c r="B120" s="666" t="s">
        <v>1180</v>
      </c>
      <c r="C120" s="666" t="s">
        <v>1181</v>
      </c>
      <c r="D120" s="666" t="s">
        <v>1182</v>
      </c>
      <c r="E120" s="666" t="s">
        <v>1183</v>
      </c>
      <c r="F120" s="666" t="s">
        <v>1184</v>
      </c>
      <c r="G120" s="666" t="s">
        <v>882</v>
      </c>
      <c r="H120" s="666" t="s">
        <v>1234</v>
      </c>
      <c r="I120" s="648"/>
    </row>
    <row r="121" spans="1:9" s="663" customFormat="1" ht="15" thickBot="1" x14ac:dyDescent="0.25">
      <c r="A121" s="667">
        <v>1</v>
      </c>
      <c r="B121" s="668" t="s">
        <v>1209</v>
      </c>
      <c r="C121" s="669" t="s">
        <v>1210</v>
      </c>
      <c r="D121" s="670">
        <v>7200</v>
      </c>
      <c r="E121" s="671" t="s">
        <v>1189</v>
      </c>
      <c r="F121" s="670">
        <f>+D121*5</f>
        <v>36000</v>
      </c>
      <c r="G121" s="672">
        <v>7200000000</v>
      </c>
      <c r="H121" s="673">
        <v>0.06</v>
      </c>
      <c r="I121" s="648"/>
    </row>
    <row r="122" spans="1:9" s="663" customFormat="1" ht="15" thickBot="1" x14ac:dyDescent="0.25">
      <c r="A122" s="667">
        <f>+A121+1</f>
        <v>2</v>
      </c>
      <c r="B122" s="674" t="s">
        <v>1126</v>
      </c>
      <c r="C122" s="669" t="s">
        <v>1225</v>
      </c>
      <c r="D122" s="675">
        <v>8200</v>
      </c>
      <c r="E122" s="676" t="s">
        <v>1189</v>
      </c>
      <c r="F122" s="675">
        <f>+D122*5</f>
        <v>41000</v>
      </c>
      <c r="G122" s="672">
        <v>8200000000</v>
      </c>
      <c r="H122" s="673">
        <v>6.8333333333333329E-2</v>
      </c>
      <c r="I122" s="648"/>
    </row>
    <row r="123" spans="1:9" s="663" customFormat="1" ht="15" thickBot="1" x14ac:dyDescent="0.25">
      <c r="A123" s="667">
        <f t="shared" ref="A123:A166" si="2">+A122+1</f>
        <v>3</v>
      </c>
      <c r="B123" s="674" t="s">
        <v>1187</v>
      </c>
      <c r="C123" s="669" t="s">
        <v>1188</v>
      </c>
      <c r="D123" s="675">
        <v>3800</v>
      </c>
      <c r="E123" s="676" t="s">
        <v>1189</v>
      </c>
      <c r="F123" s="675">
        <f>+D123*5</f>
        <v>19000</v>
      </c>
      <c r="G123" s="672">
        <v>3800000000</v>
      </c>
      <c r="H123" s="673">
        <v>3.1666666666666669E-2</v>
      </c>
      <c r="I123" s="648"/>
    </row>
    <row r="124" spans="1:9" s="663" customFormat="1" ht="15" thickBot="1" x14ac:dyDescent="0.25">
      <c r="A124" s="667">
        <f t="shared" si="2"/>
        <v>4</v>
      </c>
      <c r="B124" s="674" t="s">
        <v>1187</v>
      </c>
      <c r="C124" s="669" t="s">
        <v>1190</v>
      </c>
      <c r="D124" s="675">
        <v>400</v>
      </c>
      <c r="E124" s="676" t="s">
        <v>1189</v>
      </c>
      <c r="F124" s="675">
        <f>+D124*5</f>
        <v>2000</v>
      </c>
      <c r="G124" s="672">
        <v>400000000</v>
      </c>
      <c r="H124" s="673">
        <v>3.3333333333333335E-3</v>
      </c>
      <c r="I124" s="648"/>
    </row>
    <row r="125" spans="1:9" s="663" customFormat="1" ht="15" thickBot="1" x14ac:dyDescent="0.25">
      <c r="A125" s="667">
        <f t="shared" si="2"/>
        <v>5</v>
      </c>
      <c r="B125" s="674" t="s">
        <v>1126</v>
      </c>
      <c r="C125" s="669" t="s">
        <v>1226</v>
      </c>
      <c r="D125" s="675">
        <v>400</v>
      </c>
      <c r="E125" s="676" t="s">
        <v>1189</v>
      </c>
      <c r="F125" s="675">
        <f>+D125*5</f>
        <v>2000</v>
      </c>
      <c r="G125" s="672">
        <v>400000000</v>
      </c>
      <c r="H125" s="673">
        <v>3.3333333333333335E-3</v>
      </c>
      <c r="I125" s="648"/>
    </row>
    <row r="126" spans="1:9" s="663" customFormat="1" ht="26.25" thickBot="1" x14ac:dyDescent="0.25">
      <c r="A126" s="667">
        <f t="shared" si="2"/>
        <v>6</v>
      </c>
      <c r="B126" s="674" t="s">
        <v>1235</v>
      </c>
      <c r="C126" s="669" t="s">
        <v>1236</v>
      </c>
      <c r="D126" s="675">
        <v>700</v>
      </c>
      <c r="E126" s="676" t="s">
        <v>1192</v>
      </c>
      <c r="F126" s="675">
        <v>0</v>
      </c>
      <c r="G126" s="672">
        <v>700000000</v>
      </c>
      <c r="H126" s="673">
        <v>5.8333333333333336E-3</v>
      </c>
      <c r="I126" s="648"/>
    </row>
    <row r="127" spans="1:9" s="663" customFormat="1" ht="15" thickBot="1" x14ac:dyDescent="0.25">
      <c r="A127" s="667">
        <f t="shared" si="2"/>
        <v>7</v>
      </c>
      <c r="B127" s="674" t="s">
        <v>1187</v>
      </c>
      <c r="C127" s="669" t="s">
        <v>1191</v>
      </c>
      <c r="D127" s="675">
        <v>400</v>
      </c>
      <c r="E127" s="676" t="s">
        <v>1192</v>
      </c>
      <c r="F127" s="675">
        <v>0</v>
      </c>
      <c r="G127" s="672">
        <v>400000000</v>
      </c>
      <c r="H127" s="673">
        <v>3.3333333333333335E-3</v>
      </c>
      <c r="I127" s="648"/>
    </row>
    <row r="128" spans="1:9" s="663" customFormat="1" ht="15" thickBot="1" x14ac:dyDescent="0.25">
      <c r="A128" s="667">
        <f t="shared" si="2"/>
        <v>8</v>
      </c>
      <c r="B128" s="674" t="s">
        <v>1237</v>
      </c>
      <c r="C128" s="669" t="s">
        <v>1238</v>
      </c>
      <c r="D128" s="675">
        <v>1260</v>
      </c>
      <c r="E128" s="676" t="s">
        <v>1194</v>
      </c>
      <c r="F128" s="675">
        <v>0</v>
      </c>
      <c r="G128" s="672">
        <v>1260000000</v>
      </c>
      <c r="H128" s="673">
        <v>1.0500000000000001E-2</v>
      </c>
      <c r="I128" s="648"/>
    </row>
    <row r="129" spans="1:9" s="663" customFormat="1" ht="15" thickBot="1" x14ac:dyDescent="0.25">
      <c r="A129" s="667">
        <f t="shared" si="2"/>
        <v>9</v>
      </c>
      <c r="B129" s="674" t="s">
        <v>1187</v>
      </c>
      <c r="C129" s="669" t="s">
        <v>1193</v>
      </c>
      <c r="D129" s="675">
        <v>940</v>
      </c>
      <c r="E129" s="676" t="s">
        <v>1194</v>
      </c>
      <c r="F129" s="675">
        <v>0</v>
      </c>
      <c r="G129" s="672">
        <v>940000000</v>
      </c>
      <c r="H129" s="673">
        <v>7.8333333333333328E-3</v>
      </c>
      <c r="I129" s="648"/>
    </row>
    <row r="130" spans="1:9" s="663" customFormat="1" ht="15" thickBot="1" x14ac:dyDescent="0.25">
      <c r="A130" s="667">
        <f t="shared" si="2"/>
        <v>10</v>
      </c>
      <c r="B130" s="674" t="s">
        <v>1239</v>
      </c>
      <c r="C130" s="669" t="s">
        <v>1240</v>
      </c>
      <c r="D130" s="675">
        <v>200</v>
      </c>
      <c r="E130" s="676" t="s">
        <v>1194</v>
      </c>
      <c r="F130" s="675">
        <v>0</v>
      </c>
      <c r="G130" s="672">
        <v>200000000</v>
      </c>
      <c r="H130" s="673">
        <v>1.6666666666666668E-3</v>
      </c>
      <c r="I130" s="648"/>
    </row>
    <row r="131" spans="1:9" s="663" customFormat="1" ht="15" thickBot="1" x14ac:dyDescent="0.25">
      <c r="A131" s="667">
        <f t="shared" si="2"/>
        <v>11</v>
      </c>
      <c r="B131" s="668" t="s">
        <v>1241</v>
      </c>
      <c r="C131" s="669" t="s">
        <v>1242</v>
      </c>
      <c r="D131" s="675">
        <v>1200</v>
      </c>
      <c r="E131" s="676" t="s">
        <v>1243</v>
      </c>
      <c r="F131" s="675">
        <v>0</v>
      </c>
      <c r="G131" s="672">
        <v>1200000000</v>
      </c>
      <c r="H131" s="673">
        <v>0.01</v>
      </c>
      <c r="I131" s="648"/>
    </row>
    <row r="132" spans="1:9" s="663" customFormat="1" ht="26.25" thickBot="1" x14ac:dyDescent="0.25">
      <c r="A132" s="667">
        <f t="shared" si="2"/>
        <v>12</v>
      </c>
      <c r="B132" s="674" t="s">
        <v>1244</v>
      </c>
      <c r="C132" s="669" t="s">
        <v>1245</v>
      </c>
      <c r="D132" s="675">
        <v>365</v>
      </c>
      <c r="E132" s="676" t="s">
        <v>1196</v>
      </c>
      <c r="F132" s="675">
        <v>0</v>
      </c>
      <c r="G132" s="672">
        <v>365000000</v>
      </c>
      <c r="H132" s="673">
        <v>3.0416666666666665E-3</v>
      </c>
      <c r="I132" s="648"/>
    </row>
    <row r="133" spans="1:9" s="663" customFormat="1" ht="15" thickBot="1" x14ac:dyDescent="0.25">
      <c r="A133" s="667">
        <f t="shared" si="2"/>
        <v>13</v>
      </c>
      <c r="B133" s="674" t="s">
        <v>1246</v>
      </c>
      <c r="C133" s="669" t="s">
        <v>1247</v>
      </c>
      <c r="D133" s="675">
        <v>135</v>
      </c>
      <c r="E133" s="676" t="s">
        <v>1196</v>
      </c>
      <c r="F133" s="675">
        <v>0</v>
      </c>
      <c r="G133" s="672">
        <v>135000000</v>
      </c>
      <c r="H133" s="673">
        <v>1.1249999999999999E-3</v>
      </c>
      <c r="I133" s="648"/>
    </row>
    <row r="134" spans="1:9" s="663" customFormat="1" ht="15" thickBot="1" x14ac:dyDescent="0.25">
      <c r="A134" s="667">
        <f t="shared" si="2"/>
        <v>14</v>
      </c>
      <c r="B134" s="674" t="s">
        <v>1187</v>
      </c>
      <c r="C134" s="669" t="s">
        <v>1195</v>
      </c>
      <c r="D134" s="675">
        <v>400</v>
      </c>
      <c r="E134" s="676" t="s">
        <v>1196</v>
      </c>
      <c r="F134" s="675">
        <v>0</v>
      </c>
      <c r="G134" s="672">
        <v>400000000</v>
      </c>
      <c r="H134" s="673">
        <v>3.3333333333333335E-3</v>
      </c>
      <c r="I134" s="648"/>
    </row>
    <row r="135" spans="1:9" s="663" customFormat="1" ht="15" thickBot="1" x14ac:dyDescent="0.25">
      <c r="A135" s="667">
        <f t="shared" si="2"/>
        <v>15</v>
      </c>
      <c r="B135" s="674" t="s">
        <v>1248</v>
      </c>
      <c r="C135" s="669" t="s">
        <v>1249</v>
      </c>
      <c r="D135" s="675">
        <v>2410</v>
      </c>
      <c r="E135" s="676" t="s">
        <v>1250</v>
      </c>
      <c r="F135" s="675">
        <v>0</v>
      </c>
      <c r="G135" s="672">
        <v>2410000000</v>
      </c>
      <c r="H135" s="673">
        <v>2.0083333333333335E-2</v>
      </c>
      <c r="I135" s="648"/>
    </row>
    <row r="136" spans="1:9" s="663" customFormat="1" ht="15" thickBot="1" x14ac:dyDescent="0.25">
      <c r="A136" s="667">
        <f t="shared" si="2"/>
        <v>16</v>
      </c>
      <c r="B136" s="674" t="s">
        <v>1251</v>
      </c>
      <c r="C136" s="669" t="s">
        <v>1252</v>
      </c>
      <c r="D136" s="675">
        <v>200</v>
      </c>
      <c r="E136" s="676" t="s">
        <v>1250</v>
      </c>
      <c r="F136" s="675">
        <v>0</v>
      </c>
      <c r="G136" s="672">
        <v>200000000</v>
      </c>
      <c r="H136" s="673">
        <v>1.6666666666666668E-3</v>
      </c>
      <c r="I136" s="648"/>
    </row>
    <row r="137" spans="1:9" s="663" customFormat="1" ht="15" thickBot="1" x14ac:dyDescent="0.25">
      <c r="A137" s="667">
        <f t="shared" si="2"/>
        <v>17</v>
      </c>
      <c r="B137" s="674" t="s">
        <v>1253</v>
      </c>
      <c r="C137" s="669" t="s">
        <v>1254</v>
      </c>
      <c r="D137" s="675">
        <v>200</v>
      </c>
      <c r="E137" s="676" t="s">
        <v>1250</v>
      </c>
      <c r="F137" s="675">
        <v>0</v>
      </c>
      <c r="G137" s="672">
        <v>200000000</v>
      </c>
      <c r="H137" s="673">
        <v>1.6666666666666668E-3</v>
      </c>
      <c r="I137" s="648"/>
    </row>
    <row r="138" spans="1:9" s="663" customFormat="1" ht="15" thickBot="1" x14ac:dyDescent="0.25">
      <c r="A138" s="667">
        <f t="shared" si="2"/>
        <v>18</v>
      </c>
      <c r="B138" s="674" t="s">
        <v>1255</v>
      </c>
      <c r="C138" s="669" t="s">
        <v>1256</v>
      </c>
      <c r="D138" s="675">
        <v>70</v>
      </c>
      <c r="E138" s="676" t="s">
        <v>1250</v>
      </c>
      <c r="F138" s="675">
        <v>0</v>
      </c>
      <c r="G138" s="672">
        <v>70000000</v>
      </c>
      <c r="H138" s="673">
        <v>5.8333333333333338E-4</v>
      </c>
      <c r="I138" s="648"/>
    </row>
    <row r="139" spans="1:9" s="663" customFormat="1" ht="15" thickBot="1" x14ac:dyDescent="0.25">
      <c r="A139" s="667">
        <f t="shared" si="2"/>
        <v>19</v>
      </c>
      <c r="B139" s="674" t="s">
        <v>1255</v>
      </c>
      <c r="C139" s="669" t="s">
        <v>1257</v>
      </c>
      <c r="D139" s="675">
        <v>200</v>
      </c>
      <c r="E139" s="676" t="s">
        <v>1250</v>
      </c>
      <c r="F139" s="675">
        <v>0</v>
      </c>
      <c r="G139" s="672">
        <v>200000000</v>
      </c>
      <c r="H139" s="673">
        <v>1.6666666666666668E-3</v>
      </c>
      <c r="I139" s="648"/>
    </row>
    <row r="140" spans="1:9" s="663" customFormat="1" ht="15" thickBot="1" x14ac:dyDescent="0.25">
      <c r="A140" s="667">
        <f t="shared" si="2"/>
        <v>20</v>
      </c>
      <c r="B140" s="668" t="s">
        <v>1258</v>
      </c>
      <c r="C140" s="669" t="s">
        <v>1259</v>
      </c>
      <c r="D140" s="675">
        <v>220</v>
      </c>
      <c r="E140" s="676" t="s">
        <v>1250</v>
      </c>
      <c r="F140" s="675">
        <v>0</v>
      </c>
      <c r="G140" s="672">
        <v>220000000</v>
      </c>
      <c r="H140" s="673">
        <v>1.8333333333333333E-3</v>
      </c>
      <c r="I140" s="648"/>
    </row>
    <row r="141" spans="1:9" s="663" customFormat="1" ht="15" thickBot="1" x14ac:dyDescent="0.25">
      <c r="A141" s="667">
        <f t="shared" si="2"/>
        <v>21</v>
      </c>
      <c r="B141" s="677" t="s">
        <v>1139</v>
      </c>
      <c r="C141" s="678" t="s">
        <v>1218</v>
      </c>
      <c r="D141" s="679">
        <v>1000</v>
      </c>
      <c r="E141" s="680" t="s">
        <v>1206</v>
      </c>
      <c r="F141" s="679"/>
      <c r="G141" s="681">
        <f>+D141*1000000</f>
        <v>1000000000</v>
      </c>
      <c r="H141" s="673">
        <v>8.3333333333333332E-3</v>
      </c>
      <c r="I141" s="648"/>
    </row>
    <row r="142" spans="1:9" s="663" customFormat="1" ht="15" thickBot="1" x14ac:dyDescent="0.25">
      <c r="A142" s="667">
        <f t="shared" si="2"/>
        <v>22</v>
      </c>
      <c r="B142" s="677" t="s">
        <v>1139</v>
      </c>
      <c r="C142" s="678" t="s">
        <v>1219</v>
      </c>
      <c r="D142" s="679">
        <v>944</v>
      </c>
      <c r="E142" s="680" t="s">
        <v>1206</v>
      </c>
      <c r="F142" s="679"/>
      <c r="G142" s="681">
        <f>+D142*1000000</f>
        <v>944000000</v>
      </c>
      <c r="H142" s="673">
        <v>7.8666666666666659E-3</v>
      </c>
      <c r="I142" s="648"/>
    </row>
    <row r="143" spans="1:9" s="663" customFormat="1" ht="15" thickBot="1" x14ac:dyDescent="0.25">
      <c r="A143" s="667">
        <f t="shared" si="2"/>
        <v>23</v>
      </c>
      <c r="B143" s="677" t="s">
        <v>1220</v>
      </c>
      <c r="C143" s="678" t="s">
        <v>1221</v>
      </c>
      <c r="D143" s="679">
        <v>2322</v>
      </c>
      <c r="E143" s="680" t="s">
        <v>1206</v>
      </c>
      <c r="F143" s="679"/>
      <c r="G143" s="681">
        <f>+D143*1000000</f>
        <v>2322000000</v>
      </c>
      <c r="H143" s="673">
        <v>1.9349999999999999E-2</v>
      </c>
      <c r="I143" s="648"/>
    </row>
    <row r="144" spans="1:9" s="663" customFormat="1" ht="15" thickBot="1" x14ac:dyDescent="0.25">
      <c r="A144" s="667">
        <f t="shared" si="2"/>
        <v>24</v>
      </c>
      <c r="B144" s="677" t="s">
        <v>1260</v>
      </c>
      <c r="C144" s="678" t="s">
        <v>1205</v>
      </c>
      <c r="D144" s="679">
        <v>1134</v>
      </c>
      <c r="E144" s="680" t="s">
        <v>1206</v>
      </c>
      <c r="F144" s="679"/>
      <c r="G144" s="681">
        <f>+D144*1000000</f>
        <v>1134000000</v>
      </c>
      <c r="H144" s="673">
        <v>9.4500000000000001E-3</v>
      </c>
      <c r="I144" s="648"/>
    </row>
    <row r="145" spans="1:9" s="663" customFormat="1" ht="15" thickBot="1" x14ac:dyDescent="0.25">
      <c r="A145" s="667">
        <f t="shared" si="2"/>
        <v>25</v>
      </c>
      <c r="B145" s="674" t="s">
        <v>1261</v>
      </c>
      <c r="C145" s="669" t="s">
        <v>1262</v>
      </c>
      <c r="D145" s="675">
        <v>3750</v>
      </c>
      <c r="E145" s="676" t="s">
        <v>1214</v>
      </c>
      <c r="F145" s="675">
        <v>0</v>
      </c>
      <c r="G145" s="672">
        <v>3750000000</v>
      </c>
      <c r="H145" s="673">
        <v>3.125E-2</v>
      </c>
      <c r="I145" s="648"/>
    </row>
    <row r="146" spans="1:9" s="663" customFormat="1" ht="15" thickBot="1" x14ac:dyDescent="0.25">
      <c r="A146" s="667">
        <f t="shared" si="2"/>
        <v>26</v>
      </c>
      <c r="B146" s="674" t="s">
        <v>1263</v>
      </c>
      <c r="C146" s="669" t="s">
        <v>1264</v>
      </c>
      <c r="D146" s="675">
        <v>1950</v>
      </c>
      <c r="E146" s="676" t="s">
        <v>1214</v>
      </c>
      <c r="F146" s="675">
        <v>0</v>
      </c>
      <c r="G146" s="672">
        <v>1950000000</v>
      </c>
      <c r="H146" s="673">
        <v>1.6250000000000001E-2</v>
      </c>
      <c r="I146" s="648"/>
    </row>
    <row r="147" spans="1:9" s="663" customFormat="1" ht="15" thickBot="1" x14ac:dyDescent="0.25">
      <c r="A147" s="667">
        <f t="shared" si="2"/>
        <v>27</v>
      </c>
      <c r="B147" s="682" t="s">
        <v>1209</v>
      </c>
      <c r="C147" s="669" t="s">
        <v>1211</v>
      </c>
      <c r="D147" s="675">
        <f>3750+1950</f>
        <v>5700</v>
      </c>
      <c r="E147" s="676" t="s">
        <v>1206</v>
      </c>
      <c r="F147" s="675">
        <v>0</v>
      </c>
      <c r="G147" s="672">
        <v>5700000000</v>
      </c>
      <c r="H147" s="673">
        <v>4.7500000000000001E-2</v>
      </c>
      <c r="I147" s="648"/>
    </row>
    <row r="148" spans="1:9" s="663" customFormat="1" ht="15" thickBot="1" x14ac:dyDescent="0.25">
      <c r="A148" s="667">
        <f t="shared" si="2"/>
        <v>28</v>
      </c>
      <c r="B148" s="682" t="s">
        <v>1209</v>
      </c>
      <c r="C148" s="678" t="s">
        <v>1212</v>
      </c>
      <c r="D148" s="679">
        <v>3600</v>
      </c>
      <c r="E148" s="680" t="s">
        <v>1198</v>
      </c>
      <c r="F148" s="679">
        <v>0</v>
      </c>
      <c r="G148" s="681">
        <v>3600000000</v>
      </c>
      <c r="H148" s="636">
        <v>0.03</v>
      </c>
      <c r="I148" s="648"/>
    </row>
    <row r="149" spans="1:9" s="663" customFormat="1" ht="15" thickBot="1" x14ac:dyDescent="0.25">
      <c r="A149" s="667">
        <f t="shared" si="2"/>
        <v>29</v>
      </c>
      <c r="B149" s="677" t="s">
        <v>1220</v>
      </c>
      <c r="C149" s="678" t="s">
        <v>1222</v>
      </c>
      <c r="D149" s="679">
        <v>4300</v>
      </c>
      <c r="E149" s="680" t="s">
        <v>1198</v>
      </c>
      <c r="F149" s="679">
        <v>0</v>
      </c>
      <c r="G149" s="681">
        <v>4300000000</v>
      </c>
      <c r="H149" s="636">
        <v>3.5833333333333335E-2</v>
      </c>
      <c r="I149" s="648"/>
    </row>
    <row r="150" spans="1:9" s="663" customFormat="1" ht="15" thickBot="1" x14ac:dyDescent="0.25">
      <c r="A150" s="667">
        <f t="shared" si="2"/>
        <v>30</v>
      </c>
      <c r="B150" s="677" t="s">
        <v>1187</v>
      </c>
      <c r="C150" s="678" t="s">
        <v>1197</v>
      </c>
      <c r="D150" s="679">
        <v>2100</v>
      </c>
      <c r="E150" s="680" t="s">
        <v>1198</v>
      </c>
      <c r="F150" s="679">
        <v>0</v>
      </c>
      <c r="G150" s="681">
        <v>2100000000</v>
      </c>
      <c r="H150" s="636">
        <v>1.7500000000000002E-2</v>
      </c>
      <c r="I150" s="648"/>
    </row>
    <row r="151" spans="1:9" s="663" customFormat="1" ht="15" thickBot="1" x14ac:dyDescent="0.25">
      <c r="A151" s="667">
        <f t="shared" si="2"/>
        <v>31</v>
      </c>
      <c r="B151" s="682" t="s">
        <v>1209</v>
      </c>
      <c r="C151" s="678" t="s">
        <v>1213</v>
      </c>
      <c r="D151" s="679">
        <v>4300</v>
      </c>
      <c r="E151" s="680" t="s">
        <v>1214</v>
      </c>
      <c r="F151" s="681">
        <v>0</v>
      </c>
      <c r="G151" s="681">
        <f t="shared" ref="G151:G158" si="3">+D151*1000000</f>
        <v>4300000000</v>
      </c>
      <c r="H151" s="636">
        <v>3.5833333333333335E-2</v>
      </c>
      <c r="I151" s="648"/>
    </row>
    <row r="152" spans="1:9" s="663" customFormat="1" ht="15" thickBot="1" x14ac:dyDescent="0.25">
      <c r="A152" s="667">
        <f t="shared" si="2"/>
        <v>32</v>
      </c>
      <c r="B152" s="682" t="s">
        <v>1209</v>
      </c>
      <c r="C152" s="678" t="s">
        <v>1215</v>
      </c>
      <c r="D152" s="679">
        <v>3600</v>
      </c>
      <c r="E152" s="683" t="s">
        <v>1189</v>
      </c>
      <c r="F152" s="681">
        <f>+D152*5</f>
        <v>18000</v>
      </c>
      <c r="G152" s="681">
        <f t="shared" si="3"/>
        <v>3600000000</v>
      </c>
      <c r="H152" s="636">
        <v>0.03</v>
      </c>
      <c r="I152" s="648"/>
    </row>
    <row r="153" spans="1:9" s="663" customFormat="1" ht="15" thickBot="1" x14ac:dyDescent="0.25">
      <c r="A153" s="667">
        <f t="shared" si="2"/>
        <v>33</v>
      </c>
      <c r="B153" s="674" t="s">
        <v>1126</v>
      </c>
      <c r="C153" s="678" t="s">
        <v>1227</v>
      </c>
      <c r="D153" s="679">
        <v>4100</v>
      </c>
      <c r="E153" s="683" t="s">
        <v>1189</v>
      </c>
      <c r="F153" s="681">
        <f>+D153*5</f>
        <v>20500</v>
      </c>
      <c r="G153" s="681">
        <f t="shared" si="3"/>
        <v>4100000000</v>
      </c>
      <c r="H153" s="636">
        <v>3.4166666666666665E-2</v>
      </c>
      <c r="I153" s="648"/>
    </row>
    <row r="154" spans="1:9" s="663" customFormat="1" ht="15" thickBot="1" x14ac:dyDescent="0.25">
      <c r="A154" s="667">
        <f t="shared" si="2"/>
        <v>34</v>
      </c>
      <c r="B154" s="677" t="s">
        <v>1187</v>
      </c>
      <c r="C154" s="678" t="s">
        <v>1199</v>
      </c>
      <c r="D154" s="679">
        <v>1900</v>
      </c>
      <c r="E154" s="683" t="s">
        <v>1189</v>
      </c>
      <c r="F154" s="681">
        <f>+D154*5</f>
        <v>9500</v>
      </c>
      <c r="G154" s="681">
        <f t="shared" si="3"/>
        <v>1900000000</v>
      </c>
      <c r="H154" s="636">
        <v>1.5833333333333335E-2</v>
      </c>
      <c r="I154" s="648"/>
    </row>
    <row r="155" spans="1:9" s="663" customFormat="1" ht="15" thickBot="1" x14ac:dyDescent="0.25">
      <c r="A155" s="667">
        <f t="shared" si="2"/>
        <v>35</v>
      </c>
      <c r="B155" s="677" t="s">
        <v>1187</v>
      </c>
      <c r="C155" s="678" t="s">
        <v>1200</v>
      </c>
      <c r="D155" s="679">
        <v>200</v>
      </c>
      <c r="E155" s="683" t="s">
        <v>1189</v>
      </c>
      <c r="F155" s="681">
        <f>+D155*5</f>
        <v>1000</v>
      </c>
      <c r="G155" s="681">
        <f t="shared" si="3"/>
        <v>200000000</v>
      </c>
      <c r="H155" s="636">
        <v>1.6666666666666668E-3</v>
      </c>
      <c r="I155" s="648"/>
    </row>
    <row r="156" spans="1:9" s="663" customFormat="1" ht="15" thickBot="1" x14ac:dyDescent="0.25">
      <c r="A156" s="667">
        <f t="shared" si="2"/>
        <v>36</v>
      </c>
      <c r="B156" s="674" t="s">
        <v>1126</v>
      </c>
      <c r="C156" s="678" t="s">
        <v>1228</v>
      </c>
      <c r="D156" s="679">
        <v>200</v>
      </c>
      <c r="E156" s="683" t="s">
        <v>1189</v>
      </c>
      <c r="F156" s="681">
        <f>+D156*5</f>
        <v>1000</v>
      </c>
      <c r="G156" s="681">
        <f t="shared" si="3"/>
        <v>200000000</v>
      </c>
      <c r="H156" s="636">
        <v>1.6666666666666668E-3</v>
      </c>
      <c r="I156" s="648"/>
    </row>
    <row r="157" spans="1:9" s="663" customFormat="1" ht="15" thickBot="1" x14ac:dyDescent="0.25">
      <c r="A157" s="667">
        <f t="shared" si="2"/>
        <v>37</v>
      </c>
      <c r="B157" s="682" t="s">
        <v>1209</v>
      </c>
      <c r="C157" s="678" t="s">
        <v>1216</v>
      </c>
      <c r="D157" s="679">
        <v>5000</v>
      </c>
      <c r="E157" s="680" t="s">
        <v>1214</v>
      </c>
      <c r="F157" s="681">
        <v>0</v>
      </c>
      <c r="G157" s="681">
        <f t="shared" si="3"/>
        <v>5000000000</v>
      </c>
      <c r="H157" s="636">
        <v>4.1666666666666664E-2</v>
      </c>
      <c r="I157" s="648"/>
    </row>
    <row r="158" spans="1:9" s="663" customFormat="1" ht="15" thickBot="1" x14ac:dyDescent="0.25">
      <c r="A158" s="667">
        <f t="shared" si="2"/>
        <v>38</v>
      </c>
      <c r="B158" s="677" t="s">
        <v>1220</v>
      </c>
      <c r="C158" s="678" t="s">
        <v>1223</v>
      </c>
      <c r="D158" s="679">
        <v>17000</v>
      </c>
      <c r="E158" s="680" t="s">
        <v>1224</v>
      </c>
      <c r="F158" s="681">
        <v>0</v>
      </c>
      <c r="G158" s="681">
        <f t="shared" si="3"/>
        <v>17000000000</v>
      </c>
      <c r="H158" s="636">
        <v>0.14166666666666666</v>
      </c>
      <c r="I158" s="648"/>
    </row>
    <row r="159" spans="1:9" s="663" customFormat="1" ht="26.25" thickBot="1" x14ac:dyDescent="0.25">
      <c r="A159" s="667">
        <f t="shared" si="2"/>
        <v>39</v>
      </c>
      <c r="B159" s="677" t="s">
        <v>1279</v>
      </c>
      <c r="C159" s="684" t="s">
        <v>1201</v>
      </c>
      <c r="D159" s="685">
        <v>5000</v>
      </c>
      <c r="E159" s="683" t="s">
        <v>1202</v>
      </c>
      <c r="F159" s="686">
        <v>0</v>
      </c>
      <c r="G159" s="686">
        <f>+D159*1000000</f>
        <v>5000000000</v>
      </c>
      <c r="H159" s="687">
        <v>4.1666666666666664E-2</v>
      </c>
      <c r="I159" s="648"/>
    </row>
    <row r="160" spans="1:9" s="663" customFormat="1" ht="15" thickBot="1" x14ac:dyDescent="0.25">
      <c r="A160" s="667">
        <f t="shared" si="2"/>
        <v>40</v>
      </c>
      <c r="B160" s="677" t="s">
        <v>1187</v>
      </c>
      <c r="C160" s="678" t="s">
        <v>1203</v>
      </c>
      <c r="D160" s="679">
        <v>2188</v>
      </c>
      <c r="E160" s="680" t="s">
        <v>1202</v>
      </c>
      <c r="F160" s="681">
        <v>0</v>
      </c>
      <c r="G160" s="681">
        <f t="shared" ref="G160:G166" si="4">+D160*1000000</f>
        <v>2188000000</v>
      </c>
      <c r="H160" s="636">
        <v>1.8233333333333334E-2</v>
      </c>
      <c r="I160" s="648"/>
    </row>
    <row r="161" spans="1:9" s="663" customFormat="1" ht="15" thickBot="1" x14ac:dyDescent="0.25">
      <c r="A161" s="667">
        <f t="shared" si="2"/>
        <v>41</v>
      </c>
      <c r="B161" s="677" t="s">
        <v>1187</v>
      </c>
      <c r="C161" s="678" t="s">
        <v>1208</v>
      </c>
      <c r="D161" s="679">
        <v>132</v>
      </c>
      <c r="E161" s="680" t="s">
        <v>1202</v>
      </c>
      <c r="F161" s="681">
        <v>0</v>
      </c>
      <c r="G161" s="686">
        <f t="shared" si="4"/>
        <v>132000000</v>
      </c>
      <c r="H161" s="687">
        <v>1.1000000000000001E-3</v>
      </c>
      <c r="I161" s="648"/>
    </row>
    <row r="162" spans="1:9" s="663" customFormat="1" ht="15" thickBot="1" x14ac:dyDescent="0.25">
      <c r="A162" s="667">
        <f t="shared" si="2"/>
        <v>42</v>
      </c>
      <c r="B162" s="677" t="s">
        <v>1265</v>
      </c>
      <c r="C162" s="684" t="s">
        <v>1266</v>
      </c>
      <c r="D162" s="685">
        <v>300</v>
      </c>
      <c r="E162" s="680" t="s">
        <v>1202</v>
      </c>
      <c r="F162" s="686">
        <v>0</v>
      </c>
      <c r="G162" s="686">
        <f t="shared" si="4"/>
        <v>300000000</v>
      </c>
      <c r="H162" s="687">
        <v>2.5000000000000001E-3</v>
      </c>
      <c r="I162" s="648"/>
    </row>
    <row r="163" spans="1:9" s="663" customFormat="1" ht="15" thickBot="1" x14ac:dyDescent="0.25">
      <c r="A163" s="667">
        <f>+A162+1</f>
        <v>43</v>
      </c>
      <c r="B163" s="677" t="s">
        <v>1187</v>
      </c>
      <c r="C163" s="678" t="s">
        <v>1207</v>
      </c>
      <c r="D163" s="679">
        <v>380</v>
      </c>
      <c r="E163" s="680" t="s">
        <v>1202</v>
      </c>
      <c r="F163" s="681">
        <v>0</v>
      </c>
      <c r="G163" s="686">
        <f t="shared" si="4"/>
        <v>380000000</v>
      </c>
      <c r="H163" s="687">
        <v>3.1666666666666666E-3</v>
      </c>
      <c r="I163" s="648"/>
    </row>
    <row r="164" spans="1:9" s="663" customFormat="1" ht="15" thickBot="1" x14ac:dyDescent="0.25">
      <c r="A164" s="667">
        <f t="shared" si="2"/>
        <v>44</v>
      </c>
      <c r="B164" s="682" t="s">
        <v>1209</v>
      </c>
      <c r="C164" s="678" t="s">
        <v>1217</v>
      </c>
      <c r="D164" s="679">
        <v>7200</v>
      </c>
      <c r="E164" s="683" t="s">
        <v>1189</v>
      </c>
      <c r="F164" s="681">
        <f>+D164*5</f>
        <v>36000</v>
      </c>
      <c r="G164" s="686">
        <f t="shared" si="4"/>
        <v>7200000000</v>
      </c>
      <c r="H164" s="687">
        <v>0.06</v>
      </c>
      <c r="I164" s="648"/>
    </row>
    <row r="165" spans="1:9" s="663" customFormat="1" ht="15" thickBot="1" x14ac:dyDescent="0.25">
      <c r="A165" s="667">
        <f t="shared" si="2"/>
        <v>45</v>
      </c>
      <c r="B165" s="674" t="s">
        <v>1126</v>
      </c>
      <c r="C165" s="678" t="s">
        <v>1229</v>
      </c>
      <c r="D165" s="679">
        <v>8600</v>
      </c>
      <c r="E165" s="683" t="s">
        <v>1189</v>
      </c>
      <c r="F165" s="681">
        <f>+D165*5</f>
        <v>43000</v>
      </c>
      <c r="G165" s="686">
        <f t="shared" si="4"/>
        <v>8600000000</v>
      </c>
      <c r="H165" s="687">
        <v>7.166666666666667E-2</v>
      </c>
      <c r="I165" s="648"/>
    </row>
    <row r="166" spans="1:9" s="663" customFormat="1" ht="15" thickBot="1" x14ac:dyDescent="0.25">
      <c r="A166" s="667">
        <f t="shared" si="2"/>
        <v>46</v>
      </c>
      <c r="B166" s="677" t="s">
        <v>1187</v>
      </c>
      <c r="C166" s="678" t="s">
        <v>1204</v>
      </c>
      <c r="D166" s="679">
        <v>4200</v>
      </c>
      <c r="E166" s="683" t="s">
        <v>1189</v>
      </c>
      <c r="F166" s="681">
        <f>+D166*5</f>
        <v>21000</v>
      </c>
      <c r="G166" s="686">
        <f t="shared" si="4"/>
        <v>4200000000</v>
      </c>
      <c r="H166" s="687">
        <v>3.5000000000000003E-2</v>
      </c>
      <c r="I166" s="648"/>
    </row>
    <row r="167" spans="1:9" s="663" customFormat="1" ht="15" thickBot="1" x14ac:dyDescent="0.25">
      <c r="A167" s="688"/>
      <c r="B167" s="689" t="s">
        <v>317</v>
      </c>
      <c r="C167" s="690"/>
      <c r="D167" s="670">
        <f>SUM(D121:D166)</f>
        <v>120000</v>
      </c>
      <c r="E167" s="671"/>
      <c r="F167" s="670">
        <f>SUM(F121:F166)</f>
        <v>250000</v>
      </c>
      <c r="G167" s="670">
        <f>SUM(G121:G166)</f>
        <v>120000000000</v>
      </c>
      <c r="H167" s="691">
        <v>0.99999999999999978</v>
      </c>
      <c r="I167" s="648"/>
    </row>
    <row r="168" spans="1:9" s="663" customFormat="1" x14ac:dyDescent="0.2">
      <c r="A168" s="664"/>
      <c r="B168" s="664"/>
      <c r="C168" s="664"/>
      <c r="D168" s="664"/>
      <c r="E168" s="664"/>
      <c r="F168" s="664"/>
      <c r="I168" s="648"/>
    </row>
    <row r="169" spans="1:9" x14ac:dyDescent="0.2">
      <c r="A169" s="454"/>
      <c r="B169" s="454"/>
      <c r="C169" s="454"/>
      <c r="D169" s="454"/>
      <c r="E169" s="454"/>
      <c r="F169" s="454"/>
    </row>
    <row r="170" spans="1:9" x14ac:dyDescent="0.2">
      <c r="A170" s="454" t="s">
        <v>1178</v>
      </c>
      <c r="B170" s="454"/>
      <c r="C170" s="454"/>
      <c r="D170" s="454"/>
      <c r="E170" s="454"/>
      <c r="F170" s="454"/>
    </row>
    <row r="171" spans="1:9" x14ac:dyDescent="0.2">
      <c r="A171" s="454"/>
      <c r="B171" s="454"/>
      <c r="C171" s="454"/>
      <c r="D171" s="454"/>
      <c r="E171" s="454"/>
      <c r="F171" s="454"/>
    </row>
    <row r="172" spans="1:9" ht="15" thickBot="1" x14ac:dyDescent="0.25"/>
    <row r="173" spans="1:9" ht="39" thickBot="1" x14ac:dyDescent="0.25">
      <c r="A173" s="611" t="s">
        <v>1179</v>
      </c>
      <c r="B173" s="612" t="s">
        <v>1180</v>
      </c>
      <c r="C173" s="612" t="s">
        <v>1181</v>
      </c>
      <c r="D173" s="612" t="s">
        <v>1182</v>
      </c>
      <c r="E173" s="612" t="s">
        <v>1183</v>
      </c>
      <c r="F173" s="612" t="s">
        <v>1184</v>
      </c>
      <c r="G173" s="612" t="s">
        <v>882</v>
      </c>
      <c r="H173" s="612" t="s">
        <v>1185</v>
      </c>
      <c r="I173" s="651" t="s">
        <v>1186</v>
      </c>
    </row>
    <row r="174" spans="1:9" x14ac:dyDescent="0.2">
      <c r="A174" s="613"/>
      <c r="B174" s="614" t="s">
        <v>1187</v>
      </c>
      <c r="C174" s="615" t="s">
        <v>1188</v>
      </c>
      <c r="D174" s="616">
        <v>3800</v>
      </c>
      <c r="E174" s="615" t="s">
        <v>1189</v>
      </c>
      <c r="F174" s="616">
        <f>+D174*5</f>
        <v>19000</v>
      </c>
      <c r="G174" s="616">
        <v>3800000000</v>
      </c>
      <c r="H174" s="617">
        <v>3.1666666666666669E-2</v>
      </c>
      <c r="I174" s="618"/>
    </row>
    <row r="175" spans="1:9" x14ac:dyDescent="0.2">
      <c r="A175" s="619"/>
      <c r="B175" s="620" t="s">
        <v>1187</v>
      </c>
      <c r="C175" s="621" t="s">
        <v>1190</v>
      </c>
      <c r="D175" s="622">
        <v>400</v>
      </c>
      <c r="E175" s="621" t="s">
        <v>1189</v>
      </c>
      <c r="F175" s="622">
        <f>+D175*5</f>
        <v>2000</v>
      </c>
      <c r="G175" s="622">
        <v>400000000</v>
      </c>
      <c r="H175" s="623">
        <v>3.3333333333333335E-3</v>
      </c>
      <c r="I175" s="624"/>
    </row>
    <row r="176" spans="1:9" x14ac:dyDescent="0.2">
      <c r="A176" s="619"/>
      <c r="B176" s="620" t="s">
        <v>1187</v>
      </c>
      <c r="C176" s="621" t="s">
        <v>1191</v>
      </c>
      <c r="D176" s="622">
        <v>400</v>
      </c>
      <c r="E176" s="621" t="s">
        <v>1192</v>
      </c>
      <c r="F176" s="622">
        <v>0</v>
      </c>
      <c r="G176" s="622">
        <v>400000000</v>
      </c>
      <c r="H176" s="623">
        <v>3.3333333333333335E-3</v>
      </c>
      <c r="I176" s="624"/>
    </row>
    <row r="177" spans="1:9" x14ac:dyDescent="0.2">
      <c r="A177" s="619"/>
      <c r="B177" s="620" t="s">
        <v>1187</v>
      </c>
      <c r="C177" s="621" t="s">
        <v>1193</v>
      </c>
      <c r="D177" s="622">
        <v>940</v>
      </c>
      <c r="E177" s="621" t="s">
        <v>1194</v>
      </c>
      <c r="F177" s="622">
        <v>0</v>
      </c>
      <c r="G177" s="622">
        <v>940000000</v>
      </c>
      <c r="H177" s="623">
        <v>7.8333333333333328E-3</v>
      </c>
      <c r="I177" s="624"/>
    </row>
    <row r="178" spans="1:9" x14ac:dyDescent="0.2">
      <c r="A178" s="619">
        <v>1</v>
      </c>
      <c r="B178" s="620" t="s">
        <v>1187</v>
      </c>
      <c r="C178" s="621" t="s">
        <v>1195</v>
      </c>
      <c r="D178" s="622">
        <v>400</v>
      </c>
      <c r="E178" s="621" t="s">
        <v>1196</v>
      </c>
      <c r="F178" s="622">
        <v>0</v>
      </c>
      <c r="G178" s="622">
        <v>400000000</v>
      </c>
      <c r="H178" s="623">
        <v>3.3333333333333335E-3</v>
      </c>
      <c r="I178" s="624">
        <f>SUM(H174:H186)</f>
        <v>0.15145</v>
      </c>
    </row>
    <row r="179" spans="1:9" x14ac:dyDescent="0.2">
      <c r="A179" s="619"/>
      <c r="B179" s="620" t="s">
        <v>1187</v>
      </c>
      <c r="C179" s="621" t="s">
        <v>1197</v>
      </c>
      <c r="D179" s="622">
        <v>2100</v>
      </c>
      <c r="E179" s="621" t="s">
        <v>1198</v>
      </c>
      <c r="F179" s="622">
        <v>0</v>
      </c>
      <c r="G179" s="622">
        <v>2100000000</v>
      </c>
      <c r="H179" s="623">
        <v>1.7500000000000002E-2</v>
      </c>
      <c r="I179" s="624"/>
    </row>
    <row r="180" spans="1:9" x14ac:dyDescent="0.2">
      <c r="A180" s="619"/>
      <c r="B180" s="620" t="s">
        <v>1187</v>
      </c>
      <c r="C180" s="621" t="s">
        <v>1199</v>
      </c>
      <c r="D180" s="622">
        <v>1900</v>
      </c>
      <c r="E180" s="621" t="s">
        <v>1189</v>
      </c>
      <c r="F180" s="622">
        <f>+D180*5</f>
        <v>9500</v>
      </c>
      <c r="G180" s="622">
        <f t="shared" ref="G180:G186" si="5">+D180*1000000</f>
        <v>1900000000</v>
      </c>
      <c r="H180" s="623">
        <v>1.5833333333333335E-2</v>
      </c>
      <c r="I180" s="624"/>
    </row>
    <row r="181" spans="1:9" x14ac:dyDescent="0.2">
      <c r="A181" s="619"/>
      <c r="B181" s="620" t="s">
        <v>1187</v>
      </c>
      <c r="C181" s="621" t="s">
        <v>1200</v>
      </c>
      <c r="D181" s="622">
        <v>200</v>
      </c>
      <c r="E181" s="621" t="s">
        <v>1189</v>
      </c>
      <c r="F181" s="622">
        <f>+D181*5</f>
        <v>1000</v>
      </c>
      <c r="G181" s="622">
        <f t="shared" si="5"/>
        <v>200000000</v>
      </c>
      <c r="H181" s="623">
        <v>1.6666666666666668E-3</v>
      </c>
      <c r="I181" s="624"/>
    </row>
    <row r="182" spans="1:9" x14ac:dyDescent="0.2">
      <c r="A182" s="619"/>
      <c r="B182" s="620" t="s">
        <v>1187</v>
      </c>
      <c r="C182" s="621" t="s">
        <v>1203</v>
      </c>
      <c r="D182" s="622">
        <v>2188</v>
      </c>
      <c r="E182" s="621" t="s">
        <v>1202</v>
      </c>
      <c r="F182" s="622">
        <v>0</v>
      </c>
      <c r="G182" s="622">
        <f t="shared" si="5"/>
        <v>2188000000</v>
      </c>
      <c r="H182" s="623">
        <v>1.8233333333333334E-2</v>
      </c>
      <c r="I182" s="624"/>
    </row>
    <row r="183" spans="1:9" x14ac:dyDescent="0.2">
      <c r="A183" s="619"/>
      <c r="B183" s="620" t="s">
        <v>1187</v>
      </c>
      <c r="C183" s="621" t="s">
        <v>1204</v>
      </c>
      <c r="D183" s="622">
        <v>4200</v>
      </c>
      <c r="E183" s="621" t="s">
        <v>1189</v>
      </c>
      <c r="F183" s="622">
        <f>+D183*5</f>
        <v>21000</v>
      </c>
      <c r="G183" s="622">
        <f t="shared" si="5"/>
        <v>4200000000</v>
      </c>
      <c r="H183" s="623">
        <v>3.5000000000000003E-2</v>
      </c>
      <c r="I183" s="624"/>
    </row>
    <row r="184" spans="1:9" x14ac:dyDescent="0.2">
      <c r="A184" s="619"/>
      <c r="B184" s="620" t="s">
        <v>1187</v>
      </c>
      <c r="C184" s="621" t="s">
        <v>1205</v>
      </c>
      <c r="D184" s="622">
        <v>1134</v>
      </c>
      <c r="E184" s="621" t="s">
        <v>1206</v>
      </c>
      <c r="F184" s="622"/>
      <c r="G184" s="622">
        <f t="shared" si="5"/>
        <v>1134000000</v>
      </c>
      <c r="H184" s="623">
        <v>9.4500000000000001E-3</v>
      </c>
      <c r="I184" s="624"/>
    </row>
    <row r="185" spans="1:9" x14ac:dyDescent="0.2">
      <c r="A185" s="619"/>
      <c r="B185" s="620" t="s">
        <v>1187</v>
      </c>
      <c r="C185" s="621" t="s">
        <v>1207</v>
      </c>
      <c r="D185" s="622">
        <v>380</v>
      </c>
      <c r="E185" s="621" t="s">
        <v>1202</v>
      </c>
      <c r="F185" s="622">
        <v>0</v>
      </c>
      <c r="G185" s="622">
        <f t="shared" si="5"/>
        <v>380000000</v>
      </c>
      <c r="H185" s="623">
        <v>3.1666666666666666E-3</v>
      </c>
      <c r="I185" s="624"/>
    </row>
    <row r="186" spans="1:9" ht="15" thickBot="1" x14ac:dyDescent="0.25">
      <c r="A186" s="625"/>
      <c r="B186" s="626" t="s">
        <v>1187</v>
      </c>
      <c r="C186" s="627" t="s">
        <v>1208</v>
      </c>
      <c r="D186" s="628">
        <v>132</v>
      </c>
      <c r="E186" s="627" t="s">
        <v>1202</v>
      </c>
      <c r="F186" s="628">
        <v>0</v>
      </c>
      <c r="G186" s="628">
        <f t="shared" si="5"/>
        <v>132000000</v>
      </c>
      <c r="H186" s="629">
        <v>1.1000000000000001E-3</v>
      </c>
      <c r="I186" s="630"/>
    </row>
    <row r="187" spans="1:9" ht="15" thickTop="1" x14ac:dyDescent="0.2">
      <c r="A187" s="619"/>
      <c r="B187" s="620" t="s">
        <v>1209</v>
      </c>
      <c r="C187" s="621" t="s">
        <v>1210</v>
      </c>
      <c r="D187" s="622">
        <v>7200</v>
      </c>
      <c r="E187" s="621" t="s">
        <v>1189</v>
      </c>
      <c r="F187" s="622">
        <f>+D187*5</f>
        <v>36000</v>
      </c>
      <c r="G187" s="622">
        <v>7200000000</v>
      </c>
      <c r="H187" s="623">
        <v>0.06</v>
      </c>
      <c r="I187" s="624"/>
    </row>
    <row r="188" spans="1:9" x14ac:dyDescent="0.2">
      <c r="A188" s="619"/>
      <c r="B188" s="620" t="s">
        <v>1209</v>
      </c>
      <c r="C188" s="621" t="s">
        <v>1211</v>
      </c>
      <c r="D188" s="622">
        <f>3750+1950</f>
        <v>5700</v>
      </c>
      <c r="E188" s="621" t="s">
        <v>1206</v>
      </c>
      <c r="F188" s="622">
        <v>0</v>
      </c>
      <c r="G188" s="622">
        <v>5700000000</v>
      </c>
      <c r="H188" s="623">
        <v>4.7500000000000001E-2</v>
      </c>
      <c r="I188" s="624"/>
    </row>
    <row r="189" spans="1:9" x14ac:dyDescent="0.2">
      <c r="A189" s="619"/>
      <c r="B189" s="620" t="s">
        <v>1209</v>
      </c>
      <c r="C189" s="621" t="s">
        <v>1212</v>
      </c>
      <c r="D189" s="622">
        <v>3600</v>
      </c>
      <c r="E189" s="621" t="s">
        <v>1198</v>
      </c>
      <c r="F189" s="622">
        <v>0</v>
      </c>
      <c r="G189" s="622">
        <v>3600000000</v>
      </c>
      <c r="H189" s="623">
        <v>0.03</v>
      </c>
      <c r="I189" s="624"/>
    </row>
    <row r="190" spans="1:9" x14ac:dyDescent="0.2">
      <c r="A190" s="619">
        <v>2</v>
      </c>
      <c r="B190" s="620" t="s">
        <v>1209</v>
      </c>
      <c r="C190" s="621" t="s">
        <v>1213</v>
      </c>
      <c r="D190" s="622">
        <v>4300</v>
      </c>
      <c r="E190" s="621" t="s">
        <v>1214</v>
      </c>
      <c r="F190" s="622">
        <v>0</v>
      </c>
      <c r="G190" s="622">
        <f t="shared" ref="G190:G196" si="6">+D190*1000000</f>
        <v>4300000000</v>
      </c>
      <c r="H190" s="623">
        <v>3.5833333333333335E-2</v>
      </c>
      <c r="I190" s="624">
        <f>SUM(H187:H195)</f>
        <v>0.32120000000000004</v>
      </c>
    </row>
    <row r="191" spans="1:9" x14ac:dyDescent="0.2">
      <c r="A191" s="619"/>
      <c r="B191" s="620" t="s">
        <v>1209</v>
      </c>
      <c r="C191" s="621" t="s">
        <v>1215</v>
      </c>
      <c r="D191" s="622">
        <v>3600</v>
      </c>
      <c r="E191" s="621" t="s">
        <v>1189</v>
      </c>
      <c r="F191" s="622">
        <f>+D191*5</f>
        <v>18000</v>
      </c>
      <c r="G191" s="622">
        <f t="shared" si="6"/>
        <v>3600000000</v>
      </c>
      <c r="H191" s="623">
        <v>0.03</v>
      </c>
      <c r="I191" s="624"/>
    </row>
    <row r="192" spans="1:9" x14ac:dyDescent="0.2">
      <c r="A192" s="619"/>
      <c r="B192" s="620" t="s">
        <v>1209</v>
      </c>
      <c r="C192" s="621" t="s">
        <v>1216</v>
      </c>
      <c r="D192" s="622">
        <v>5000</v>
      </c>
      <c r="E192" s="621" t="s">
        <v>1214</v>
      </c>
      <c r="F192" s="622">
        <v>0</v>
      </c>
      <c r="G192" s="622">
        <f t="shared" si="6"/>
        <v>5000000000</v>
      </c>
      <c r="H192" s="623">
        <v>4.1666666666666664E-2</v>
      </c>
      <c r="I192" s="624"/>
    </row>
    <row r="193" spans="1:9" x14ac:dyDescent="0.2">
      <c r="A193" s="619"/>
      <c r="B193" s="620" t="s">
        <v>1209</v>
      </c>
      <c r="C193" s="621" t="s">
        <v>1217</v>
      </c>
      <c r="D193" s="622">
        <v>7200</v>
      </c>
      <c r="E193" s="621" t="s">
        <v>1189</v>
      </c>
      <c r="F193" s="622">
        <f>+D193*5</f>
        <v>36000</v>
      </c>
      <c r="G193" s="622">
        <f t="shared" si="6"/>
        <v>7200000000</v>
      </c>
      <c r="H193" s="623">
        <v>0.06</v>
      </c>
      <c r="I193" s="624"/>
    </row>
    <row r="194" spans="1:9" x14ac:dyDescent="0.2">
      <c r="A194" s="619"/>
      <c r="B194" s="620" t="s">
        <v>1139</v>
      </c>
      <c r="C194" s="621" t="s">
        <v>1218</v>
      </c>
      <c r="D194" s="622">
        <v>1000</v>
      </c>
      <c r="E194" s="621" t="s">
        <v>1206</v>
      </c>
      <c r="F194" s="622"/>
      <c r="G194" s="622">
        <f t="shared" si="6"/>
        <v>1000000000</v>
      </c>
      <c r="H194" s="623">
        <v>8.3333333333333332E-3</v>
      </c>
      <c r="I194" s="624"/>
    </row>
    <row r="195" spans="1:9" ht="15" thickBot="1" x14ac:dyDescent="0.25">
      <c r="A195" s="619"/>
      <c r="B195" s="620" t="s">
        <v>1139</v>
      </c>
      <c r="C195" s="621" t="s">
        <v>1219</v>
      </c>
      <c r="D195" s="622">
        <v>944</v>
      </c>
      <c r="E195" s="621" t="s">
        <v>1206</v>
      </c>
      <c r="F195" s="622"/>
      <c r="G195" s="622">
        <f t="shared" si="6"/>
        <v>944000000</v>
      </c>
      <c r="H195" s="623">
        <v>7.8666666666666659E-3</v>
      </c>
      <c r="I195" s="624"/>
    </row>
    <row r="196" spans="1:9" x14ac:dyDescent="0.2">
      <c r="A196" s="613"/>
      <c r="B196" s="614" t="s">
        <v>1220</v>
      </c>
      <c r="C196" s="615" t="s">
        <v>1221</v>
      </c>
      <c r="D196" s="616">
        <v>2322</v>
      </c>
      <c r="E196" s="615" t="s">
        <v>1206</v>
      </c>
      <c r="F196" s="616"/>
      <c r="G196" s="616">
        <f t="shared" si="6"/>
        <v>2322000000</v>
      </c>
      <c r="H196" s="617">
        <v>1.9349999999999999E-2</v>
      </c>
      <c r="I196" s="618"/>
    </row>
    <row r="197" spans="1:9" x14ac:dyDescent="0.2">
      <c r="A197" s="619">
        <v>3</v>
      </c>
      <c r="B197" s="620" t="s">
        <v>1220</v>
      </c>
      <c r="C197" s="621" t="s">
        <v>1222</v>
      </c>
      <c r="D197" s="622">
        <v>4300</v>
      </c>
      <c r="E197" s="621" t="s">
        <v>1198</v>
      </c>
      <c r="F197" s="622">
        <v>0</v>
      </c>
      <c r="G197" s="622">
        <v>4300000000</v>
      </c>
      <c r="H197" s="623">
        <v>3.5833333333333335E-2</v>
      </c>
      <c r="I197" s="624">
        <f>SUM(H196:H198)</f>
        <v>0.19685</v>
      </c>
    </row>
    <row r="198" spans="1:9" ht="15" thickBot="1" x14ac:dyDescent="0.25">
      <c r="A198" s="619"/>
      <c r="B198" s="620" t="s">
        <v>1220</v>
      </c>
      <c r="C198" s="621" t="s">
        <v>1223</v>
      </c>
      <c r="D198" s="622">
        <v>17000</v>
      </c>
      <c r="E198" s="621" t="s">
        <v>1224</v>
      </c>
      <c r="F198" s="622">
        <v>0</v>
      </c>
      <c r="G198" s="622">
        <f>+D198*1000000</f>
        <v>17000000000</v>
      </c>
      <c r="H198" s="623">
        <v>0.14166666666666666</v>
      </c>
      <c r="I198" s="624"/>
    </row>
    <row r="199" spans="1:9" x14ac:dyDescent="0.2">
      <c r="A199" s="613"/>
      <c r="B199" s="614" t="s">
        <v>1126</v>
      </c>
      <c r="C199" s="615" t="s">
        <v>1225</v>
      </c>
      <c r="D199" s="616">
        <v>8200</v>
      </c>
      <c r="E199" s="615" t="s">
        <v>1189</v>
      </c>
      <c r="F199" s="616">
        <f>+D199*5</f>
        <v>41000</v>
      </c>
      <c r="G199" s="616">
        <v>8200000000</v>
      </c>
      <c r="H199" s="617">
        <v>6.8333333333333329E-2</v>
      </c>
      <c r="I199" s="618"/>
    </row>
    <row r="200" spans="1:9" x14ac:dyDescent="0.2">
      <c r="A200" s="619"/>
      <c r="B200" s="620" t="s">
        <v>1126</v>
      </c>
      <c r="C200" s="621" t="s">
        <v>1226</v>
      </c>
      <c r="D200" s="622">
        <v>400</v>
      </c>
      <c r="E200" s="621" t="s">
        <v>1189</v>
      </c>
      <c r="F200" s="622">
        <f>+D200*5</f>
        <v>2000</v>
      </c>
      <c r="G200" s="622">
        <v>400000000</v>
      </c>
      <c r="H200" s="623">
        <v>3.3333333333333335E-3</v>
      </c>
      <c r="I200" s="624"/>
    </row>
    <row r="201" spans="1:9" x14ac:dyDescent="0.2">
      <c r="A201" s="619">
        <v>4</v>
      </c>
      <c r="B201" s="620" t="s">
        <v>1126</v>
      </c>
      <c r="C201" s="621" t="s">
        <v>1227</v>
      </c>
      <c r="D201" s="622">
        <v>4100</v>
      </c>
      <c r="E201" s="621" t="s">
        <v>1189</v>
      </c>
      <c r="F201" s="622">
        <f>+D201*5</f>
        <v>20500</v>
      </c>
      <c r="G201" s="622">
        <f>+D201*1000000</f>
        <v>4100000000</v>
      </c>
      <c r="H201" s="623">
        <v>3.4166666666666665E-2</v>
      </c>
      <c r="I201" s="624">
        <f>SUM(H199:H203)</f>
        <v>0.17916666666666664</v>
      </c>
    </row>
    <row r="202" spans="1:9" x14ac:dyDescent="0.2">
      <c r="A202" s="619"/>
      <c r="B202" s="620" t="s">
        <v>1126</v>
      </c>
      <c r="C202" s="621" t="s">
        <v>1228</v>
      </c>
      <c r="D202" s="622">
        <v>200</v>
      </c>
      <c r="E202" s="621" t="s">
        <v>1189</v>
      </c>
      <c r="F202" s="622">
        <f>+D202*5</f>
        <v>1000</v>
      </c>
      <c r="G202" s="622">
        <f>+D202*1000000</f>
        <v>200000000</v>
      </c>
      <c r="H202" s="623">
        <v>1.6666666666666668E-3</v>
      </c>
      <c r="I202" s="624"/>
    </row>
    <row r="203" spans="1:9" ht="15" thickBot="1" x14ac:dyDescent="0.25">
      <c r="A203" s="631"/>
      <c r="B203" s="632" t="s">
        <v>1126</v>
      </c>
      <c r="C203" s="633" t="s">
        <v>1229</v>
      </c>
      <c r="D203" s="634">
        <v>8600</v>
      </c>
      <c r="E203" s="633" t="s">
        <v>1189</v>
      </c>
      <c r="F203" s="634">
        <f>+D203*5</f>
        <v>43000</v>
      </c>
      <c r="G203" s="634">
        <f>+D203*1000000</f>
        <v>8600000000</v>
      </c>
      <c r="H203" s="635">
        <v>7.166666666666667E-2</v>
      </c>
      <c r="I203" s="636"/>
    </row>
    <row r="205" spans="1:9" ht="24" customHeight="1" x14ac:dyDescent="0.2"/>
    <row r="206" spans="1:9" ht="15" x14ac:dyDescent="0.25">
      <c r="A206" s="692" t="s">
        <v>1268</v>
      </c>
      <c r="B206" s="692"/>
    </row>
    <row r="207" spans="1:9" s="453" customFormat="1" x14ac:dyDescent="0.2">
      <c r="I207" s="648"/>
    </row>
    <row r="208" spans="1:9" x14ac:dyDescent="0.2">
      <c r="A208" s="28" t="s">
        <v>1336</v>
      </c>
    </row>
    <row r="210" spans="1:1" x14ac:dyDescent="0.2">
      <c r="A210" s="28" t="s">
        <v>1230</v>
      </c>
    </row>
  </sheetData>
  <mergeCells count="18">
    <mergeCell ref="A68:H68"/>
    <mergeCell ref="A69:H69"/>
    <mergeCell ref="A118:H118"/>
    <mergeCell ref="A119:H119"/>
    <mergeCell ref="A63:E63"/>
    <mergeCell ref="J31:O32"/>
    <mergeCell ref="A28:F28"/>
    <mergeCell ref="A29:F29"/>
    <mergeCell ref="A30:F30"/>
    <mergeCell ref="A31:F31"/>
    <mergeCell ref="A32:F32"/>
    <mergeCell ref="J13:O14"/>
    <mergeCell ref="J16:O26"/>
    <mergeCell ref="A8:F8"/>
    <mergeCell ref="G11:I11"/>
    <mergeCell ref="J28:O29"/>
    <mergeCell ref="A12:F12"/>
    <mergeCell ref="A19:D26"/>
  </mergeCells>
  <hyperlinks>
    <hyperlink ref="F1" location="BG!A1" display="BG"/>
  </hyperlinks>
  <pageMargins left="0.70866141732283472" right="0.70866141732283472" top="0.74803149606299213" bottom="0.74803149606299213" header="0.31496062992125984" footer="0.31496062992125984"/>
  <pageSetup paperSize="5" scale="37" fitToHeight="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N115"/>
  <sheetViews>
    <sheetView showGridLines="0" topLeftCell="A48" workbookViewId="0">
      <selection activeCell="A40" sqref="A40:I40"/>
    </sheetView>
  </sheetViews>
  <sheetFormatPr baseColWidth="10" defaultColWidth="11.42578125" defaultRowHeight="12.75" x14ac:dyDescent="0.2"/>
  <cols>
    <col min="1" max="1" width="31.42578125" style="2" customWidth="1"/>
    <col min="2" max="2" width="14.85546875" style="2" customWidth="1"/>
    <col min="3" max="3" width="15.42578125" style="2" customWidth="1"/>
    <col min="4" max="5" width="11.42578125" style="2"/>
    <col min="6" max="6" width="14.42578125" style="2" customWidth="1"/>
    <col min="7" max="7" width="15.42578125" style="2" customWidth="1"/>
    <col min="8" max="8" width="11.42578125" style="2"/>
    <col min="9" max="9" width="16.85546875" style="2" customWidth="1"/>
    <col min="10" max="16384" width="11.42578125" style="2"/>
  </cols>
  <sheetData>
    <row r="1" spans="1:11" ht="15" customHeight="1" x14ac:dyDescent="0.25">
      <c r="I1" s="143" t="s">
        <v>132</v>
      </c>
    </row>
    <row r="2" spans="1:11" ht="15" customHeight="1" x14ac:dyDescent="0.2"/>
    <row r="3" spans="1:11" ht="15" customHeight="1" x14ac:dyDescent="0.2"/>
    <row r="4" spans="1:11" ht="15" customHeight="1" x14ac:dyDescent="0.2"/>
    <row r="5" spans="1:11" ht="15" customHeight="1" x14ac:dyDescent="0.2"/>
    <row r="6" spans="1:11" s="33" customFormat="1" ht="15" customHeight="1" x14ac:dyDescent="0.2">
      <c r="A6" s="842" t="s">
        <v>1</v>
      </c>
      <c r="B6" s="843"/>
      <c r="C6" s="843"/>
      <c r="D6" s="843"/>
      <c r="E6" s="843"/>
      <c r="F6" s="843"/>
      <c r="G6" s="843"/>
      <c r="H6" s="843"/>
      <c r="I6" s="844"/>
    </row>
    <row r="7" spans="1:11" s="33" customFormat="1" ht="26.45" customHeight="1" x14ac:dyDescent="0.2">
      <c r="A7" s="856" t="s">
        <v>166</v>
      </c>
      <c r="B7" s="857"/>
      <c r="C7" s="857"/>
      <c r="D7" s="857"/>
      <c r="E7" s="857"/>
      <c r="F7" s="857"/>
      <c r="G7" s="857"/>
      <c r="H7" s="857"/>
      <c r="I7" s="858"/>
      <c r="J7" s="52"/>
      <c r="K7" s="52"/>
    </row>
    <row r="8" spans="1:11" s="33" customFormat="1" ht="15" customHeight="1" x14ac:dyDescent="0.2">
      <c r="A8" s="91"/>
      <c r="B8" s="50"/>
      <c r="C8" s="50"/>
      <c r="D8" s="50"/>
      <c r="E8" s="50"/>
      <c r="F8" s="50"/>
      <c r="G8" s="50"/>
      <c r="H8" s="50"/>
      <c r="I8" s="92"/>
    </row>
    <row r="9" spans="1:11" s="33" customFormat="1" ht="15" customHeight="1" x14ac:dyDescent="0.2">
      <c r="A9" s="91"/>
      <c r="B9" s="50"/>
      <c r="C9" s="50"/>
      <c r="D9" s="50"/>
      <c r="E9" s="50"/>
      <c r="F9" s="50"/>
      <c r="G9" s="50"/>
      <c r="H9" s="50"/>
      <c r="I9" s="92"/>
    </row>
    <row r="10" spans="1:11" s="33" customFormat="1" ht="15" customHeight="1" x14ac:dyDescent="0.2">
      <c r="A10" s="830" t="s">
        <v>219</v>
      </c>
      <c r="B10" s="831"/>
      <c r="C10" s="831"/>
      <c r="D10" s="831"/>
      <c r="E10" s="831"/>
      <c r="F10" s="831"/>
      <c r="G10" s="831"/>
      <c r="H10" s="831"/>
      <c r="I10" s="832"/>
      <c r="J10" s="52"/>
      <c r="K10" s="52"/>
    </row>
    <row r="11" spans="1:11" s="53" customFormat="1" ht="55.5" customHeight="1" x14ac:dyDescent="0.2">
      <c r="A11" s="820" t="s">
        <v>906</v>
      </c>
      <c r="B11" s="821"/>
      <c r="C11" s="821"/>
      <c r="D11" s="821"/>
      <c r="E11" s="821"/>
      <c r="F11" s="821"/>
      <c r="G11" s="821"/>
      <c r="H11" s="821"/>
      <c r="I11" s="822"/>
    </row>
    <row r="12" spans="1:11" s="53" customFormat="1" ht="37.5" customHeight="1" x14ac:dyDescent="0.2">
      <c r="A12" s="850" t="s">
        <v>1330</v>
      </c>
      <c r="B12" s="851"/>
      <c r="C12" s="851"/>
      <c r="D12" s="851"/>
      <c r="E12" s="851"/>
      <c r="F12" s="851"/>
      <c r="G12" s="851"/>
      <c r="H12" s="851"/>
      <c r="I12" s="852"/>
    </row>
    <row r="13" spans="1:11" s="53" customFormat="1" ht="15" customHeight="1" x14ac:dyDescent="0.2">
      <c r="A13" s="233"/>
      <c r="B13" s="234"/>
      <c r="C13" s="234"/>
      <c r="D13" s="234"/>
      <c r="E13" s="234"/>
      <c r="F13" s="234"/>
      <c r="G13" s="234"/>
      <c r="H13" s="234"/>
      <c r="I13" s="235"/>
    </row>
    <row r="14" spans="1:11" s="33" customFormat="1" ht="15" customHeight="1" x14ac:dyDescent="0.2">
      <c r="A14" s="823"/>
      <c r="B14" s="824"/>
      <c r="C14" s="824"/>
      <c r="D14" s="824"/>
      <c r="E14" s="824"/>
      <c r="F14" s="824"/>
      <c r="G14" s="824"/>
      <c r="H14" s="824"/>
      <c r="I14" s="825"/>
    </row>
    <row r="15" spans="1:11" s="33" customFormat="1" ht="15" customHeight="1" x14ac:dyDescent="0.2">
      <c r="A15" s="826" t="s">
        <v>104</v>
      </c>
      <c r="B15" s="827"/>
      <c r="C15" s="827"/>
      <c r="D15" s="827"/>
      <c r="E15" s="827"/>
      <c r="F15" s="827"/>
      <c r="G15" s="827"/>
      <c r="H15" s="827"/>
      <c r="I15" s="828"/>
      <c r="J15" s="52"/>
      <c r="K15" s="52"/>
    </row>
    <row r="16" spans="1:11" s="33" customFormat="1" ht="42.75" customHeight="1" x14ac:dyDescent="0.2">
      <c r="A16" s="850" t="s">
        <v>167</v>
      </c>
      <c r="B16" s="851"/>
      <c r="C16" s="851"/>
      <c r="D16" s="851"/>
      <c r="E16" s="851"/>
      <c r="F16" s="851"/>
      <c r="G16" s="851"/>
      <c r="H16" s="851"/>
      <c r="I16" s="852"/>
    </row>
    <row r="17" spans="1:11" s="33" customFormat="1" ht="15" customHeight="1" x14ac:dyDescent="0.2">
      <c r="A17" s="823"/>
      <c r="B17" s="824"/>
      <c r="C17" s="824"/>
      <c r="D17" s="824"/>
      <c r="E17" s="824"/>
      <c r="F17" s="824"/>
      <c r="G17" s="824"/>
      <c r="H17" s="824"/>
      <c r="I17" s="825"/>
    </row>
    <row r="18" spans="1:11" s="33" customFormat="1" ht="15" customHeight="1" x14ac:dyDescent="0.2">
      <c r="A18" s="826" t="s">
        <v>105</v>
      </c>
      <c r="B18" s="827"/>
      <c r="C18" s="827"/>
      <c r="D18" s="827"/>
      <c r="E18" s="827"/>
      <c r="F18" s="827"/>
      <c r="G18" s="827"/>
      <c r="H18" s="827"/>
      <c r="I18" s="828"/>
      <c r="J18" s="52"/>
      <c r="K18" s="52"/>
    </row>
    <row r="19" spans="1:11" s="33" customFormat="1" ht="15" customHeight="1" x14ac:dyDescent="0.2">
      <c r="A19" s="850" t="s">
        <v>382</v>
      </c>
      <c r="B19" s="851"/>
      <c r="C19" s="851"/>
      <c r="D19" s="851"/>
      <c r="E19" s="851"/>
      <c r="F19" s="851"/>
      <c r="G19" s="851"/>
      <c r="H19" s="851"/>
      <c r="I19" s="852"/>
    </row>
    <row r="20" spans="1:11" s="33" customFormat="1" ht="28.5" customHeight="1" x14ac:dyDescent="0.2">
      <c r="A20" s="850" t="s">
        <v>168</v>
      </c>
      <c r="B20" s="851"/>
      <c r="C20" s="851"/>
      <c r="D20" s="851"/>
      <c r="E20" s="851"/>
      <c r="F20" s="851"/>
      <c r="G20" s="851"/>
      <c r="H20" s="851"/>
      <c r="I20" s="852"/>
    </row>
    <row r="21" spans="1:11" s="33" customFormat="1" ht="15" customHeight="1" x14ac:dyDescent="0.2">
      <c r="A21" s="261"/>
      <c r="B21" s="262"/>
      <c r="C21" s="262"/>
      <c r="D21" s="262"/>
      <c r="E21" s="262"/>
      <c r="F21" s="262"/>
      <c r="G21" s="262"/>
      <c r="H21" s="262"/>
      <c r="I21" s="263"/>
    </row>
    <row r="22" spans="1:11" s="33" customFormat="1" ht="15" customHeight="1" x14ac:dyDescent="0.25">
      <c r="A22" s="174"/>
      <c r="B22" s="172"/>
      <c r="C22" s="50"/>
      <c r="D22" s="50"/>
      <c r="E22" s="50"/>
      <c r="F22" s="50"/>
      <c r="G22" s="172"/>
      <c r="H22" s="50"/>
      <c r="I22" s="92"/>
    </row>
    <row r="23" spans="1:11" s="33" customFormat="1" ht="15" customHeight="1" x14ac:dyDescent="0.25">
      <c r="A23" s="174"/>
      <c r="B23" s="393"/>
      <c r="C23" s="393">
        <f>IFERROR(IF(Indice!B6="","2XX2",YEAR(Indice!B6)),"2XX2")</f>
        <v>2021</v>
      </c>
      <c r="D23" s="393"/>
      <c r="E23" s="269"/>
      <c r="F23" s="393"/>
      <c r="G23" s="393">
        <f>IFERROR(YEAR(Indice!B6-365),"2XX1")</f>
        <v>2020</v>
      </c>
      <c r="H23" s="393"/>
      <c r="I23" s="271"/>
      <c r="J23" s="269"/>
      <c r="K23" s="123"/>
    </row>
    <row r="24" spans="1:11" s="33" customFormat="1" ht="15" customHeight="1" x14ac:dyDescent="0.25">
      <c r="A24" s="174"/>
      <c r="B24" s="127" t="s">
        <v>107</v>
      </c>
      <c r="C24" s="196" t="s">
        <v>181</v>
      </c>
      <c r="D24" s="196" t="s">
        <v>182</v>
      </c>
      <c r="E24" s="50"/>
      <c r="F24" s="127" t="s">
        <v>107</v>
      </c>
      <c r="G24" s="196" t="s">
        <v>181</v>
      </c>
      <c r="H24" s="196" t="s">
        <v>182</v>
      </c>
      <c r="I24" s="92"/>
    </row>
    <row r="25" spans="1:11" s="33" customFormat="1" ht="15" customHeight="1" x14ac:dyDescent="0.25">
      <c r="A25" s="174" t="s">
        <v>106</v>
      </c>
      <c r="B25" s="172"/>
      <c r="C25" s="172"/>
      <c r="D25" s="172"/>
      <c r="E25" s="172"/>
      <c r="F25" s="272"/>
      <c r="G25" s="172"/>
      <c r="H25" s="172"/>
      <c r="I25" s="175"/>
      <c r="J25" s="123"/>
      <c r="K25" s="131"/>
    </row>
    <row r="26" spans="1:11" s="33" customFormat="1" ht="15" customHeight="1" x14ac:dyDescent="0.25">
      <c r="A26" s="174"/>
      <c r="B26" s="172"/>
      <c r="C26" s="172"/>
      <c r="D26" s="172"/>
      <c r="E26" s="172"/>
      <c r="F26" s="272"/>
      <c r="G26" s="172"/>
      <c r="H26" s="172"/>
      <c r="I26" s="175"/>
      <c r="J26" s="123"/>
      <c r="K26" s="131"/>
    </row>
    <row r="27" spans="1:11" s="33" customFormat="1" ht="15" customHeight="1" x14ac:dyDescent="0.25">
      <c r="A27" s="174" t="s">
        <v>108</v>
      </c>
      <c r="B27" s="172"/>
      <c r="C27" s="172"/>
      <c r="D27" s="172"/>
      <c r="E27" s="172"/>
      <c r="F27" s="272"/>
      <c r="G27" s="172"/>
      <c r="H27" s="172"/>
      <c r="I27" s="175"/>
      <c r="J27" s="123"/>
      <c r="K27" s="131"/>
    </row>
    <row r="28" spans="1:11" s="33" customFormat="1" ht="15" customHeight="1" x14ac:dyDescent="0.25">
      <c r="A28" s="174"/>
      <c r="B28" s="126"/>
      <c r="C28" s="126"/>
      <c r="D28" s="173"/>
      <c r="E28" s="50"/>
      <c r="F28" s="126"/>
      <c r="G28" s="126"/>
      <c r="H28" s="173"/>
      <c r="I28" s="92"/>
    </row>
    <row r="29" spans="1:11" s="33" customFormat="1" ht="15" customHeight="1" x14ac:dyDescent="0.25">
      <c r="A29" s="273" t="s">
        <v>109</v>
      </c>
      <c r="B29" s="274"/>
      <c r="C29" s="274"/>
      <c r="D29" s="275">
        <f>F25-F27</f>
        <v>0</v>
      </c>
      <c r="E29" s="50"/>
      <c r="F29" s="274"/>
      <c r="G29" s="274"/>
      <c r="H29" s="275">
        <f>K25-K27</f>
        <v>0</v>
      </c>
      <c r="I29" s="92"/>
    </row>
    <row r="30" spans="1:11" s="33" customFormat="1" ht="15" customHeight="1" x14ac:dyDescent="0.25">
      <c r="A30" s="174"/>
      <c r="B30" s="172"/>
      <c r="C30" s="172"/>
      <c r="D30" s="172"/>
      <c r="E30" s="172"/>
      <c r="F30" s="172"/>
      <c r="G30" s="172"/>
      <c r="H30" s="172"/>
      <c r="I30" s="175"/>
      <c r="J30" s="123"/>
      <c r="K30" s="123"/>
    </row>
    <row r="31" spans="1:11" s="33" customFormat="1" ht="15" customHeight="1" x14ac:dyDescent="0.25">
      <c r="A31" s="174"/>
      <c r="B31" s="172"/>
      <c r="C31" s="172"/>
      <c r="D31" s="172"/>
      <c r="E31" s="172"/>
      <c r="F31" s="172"/>
      <c r="G31" s="172"/>
      <c r="H31" s="172"/>
      <c r="I31" s="175"/>
      <c r="J31" s="123"/>
      <c r="K31" s="123"/>
    </row>
    <row r="32" spans="1:11" s="33" customFormat="1" ht="33" customHeight="1" x14ac:dyDescent="0.25">
      <c r="A32" s="820" t="s">
        <v>383</v>
      </c>
      <c r="B32" s="821"/>
      <c r="C32" s="821"/>
      <c r="D32" s="821"/>
      <c r="E32" s="821"/>
      <c r="F32" s="821"/>
      <c r="G32" s="821"/>
      <c r="H32" s="821"/>
      <c r="I32" s="822"/>
      <c r="J32" s="270"/>
      <c r="K32" s="123"/>
    </row>
    <row r="33" spans="1:11" s="33" customFormat="1" ht="15" customHeight="1" x14ac:dyDescent="0.2">
      <c r="A33" s="261"/>
      <c r="B33" s="262"/>
      <c r="C33" s="262"/>
      <c r="D33" s="262"/>
      <c r="E33" s="262"/>
      <c r="F33" s="262"/>
      <c r="G33" s="262"/>
      <c r="H33" s="262"/>
      <c r="I33" s="263"/>
    </row>
    <row r="34" spans="1:11" s="33" customFormat="1" ht="15" customHeight="1" x14ac:dyDescent="0.2">
      <c r="A34" s="826" t="s">
        <v>42</v>
      </c>
      <c r="B34" s="827"/>
      <c r="C34" s="827"/>
      <c r="D34" s="827"/>
      <c r="E34" s="827"/>
      <c r="F34" s="827"/>
      <c r="G34" s="827"/>
      <c r="H34" s="827"/>
      <c r="I34" s="828"/>
      <c r="J34" s="52"/>
      <c r="K34" s="52"/>
    </row>
    <row r="35" spans="1:11" s="33" customFormat="1" ht="28.5" customHeight="1" x14ac:dyDescent="0.2">
      <c r="A35" s="820" t="s">
        <v>287</v>
      </c>
      <c r="B35" s="821"/>
      <c r="C35" s="821"/>
      <c r="D35" s="821"/>
      <c r="E35" s="821"/>
      <c r="F35" s="821"/>
      <c r="G35" s="821"/>
      <c r="H35" s="821"/>
      <c r="I35" s="822"/>
    </row>
    <row r="36" spans="1:11" s="33" customFormat="1" ht="15" customHeight="1" x14ac:dyDescent="0.2">
      <c r="A36" s="227"/>
      <c r="B36" s="228"/>
      <c r="C36" s="228"/>
      <c r="D36" s="228"/>
      <c r="E36" s="228"/>
      <c r="F36" s="228"/>
      <c r="G36" s="228"/>
      <c r="H36" s="228"/>
      <c r="I36" s="229"/>
    </row>
    <row r="37" spans="1:11" s="33" customFormat="1" ht="15" customHeight="1" x14ac:dyDescent="0.2">
      <c r="A37" s="823"/>
      <c r="B37" s="824"/>
      <c r="C37" s="824"/>
      <c r="D37" s="824"/>
      <c r="E37" s="824"/>
      <c r="F37" s="824"/>
      <c r="G37" s="824"/>
      <c r="H37" s="824"/>
      <c r="I37" s="825"/>
    </row>
    <row r="38" spans="1:11" s="33" customFormat="1" ht="15" customHeight="1" x14ac:dyDescent="0.2">
      <c r="A38" s="830" t="s">
        <v>170</v>
      </c>
      <c r="B38" s="831"/>
      <c r="C38" s="831"/>
      <c r="D38" s="831"/>
      <c r="E38" s="831"/>
      <c r="F38" s="831"/>
      <c r="G38" s="831"/>
      <c r="H38" s="831"/>
      <c r="I38" s="832"/>
      <c r="J38" s="52"/>
      <c r="K38" s="52"/>
    </row>
    <row r="39" spans="1:11" s="33" customFormat="1" ht="122.25" customHeight="1" x14ac:dyDescent="0.2">
      <c r="A39" s="820" t="s">
        <v>288</v>
      </c>
      <c r="B39" s="845"/>
      <c r="C39" s="845"/>
      <c r="D39" s="845"/>
      <c r="E39" s="845"/>
      <c r="F39" s="845"/>
      <c r="G39" s="845"/>
      <c r="H39" s="845"/>
      <c r="I39" s="846"/>
      <c r="J39" s="52"/>
      <c r="K39" s="52"/>
    </row>
    <row r="40" spans="1:11" s="33" customFormat="1" ht="27" customHeight="1" x14ac:dyDescent="0.2">
      <c r="A40" s="853" t="s">
        <v>384</v>
      </c>
      <c r="B40" s="854"/>
      <c r="C40" s="854"/>
      <c r="D40" s="854"/>
      <c r="E40" s="854"/>
      <c r="F40" s="854"/>
      <c r="G40" s="854"/>
      <c r="H40" s="854"/>
      <c r="I40" s="855"/>
      <c r="J40" s="52"/>
      <c r="K40" s="52"/>
    </row>
    <row r="41" spans="1:11" s="72" customFormat="1" ht="15" customHeight="1" x14ac:dyDescent="0.2">
      <c r="A41" s="167"/>
      <c r="B41" s="168"/>
      <c r="C41" s="168"/>
      <c r="D41" s="168"/>
      <c r="E41" s="168"/>
      <c r="F41" s="168"/>
      <c r="G41" s="168"/>
      <c r="H41" s="168"/>
      <c r="I41" s="169"/>
      <c r="J41" s="170"/>
      <c r="K41" s="170"/>
    </row>
    <row r="42" spans="1:11" s="33" customFormat="1" ht="15" customHeight="1" x14ac:dyDescent="0.2">
      <c r="A42" s="823"/>
      <c r="B42" s="824"/>
      <c r="C42" s="824"/>
      <c r="D42" s="824"/>
      <c r="E42" s="824"/>
      <c r="F42" s="824"/>
      <c r="G42" s="824"/>
      <c r="H42" s="824"/>
      <c r="I42" s="825"/>
    </row>
    <row r="43" spans="1:11" s="33" customFormat="1" ht="15" customHeight="1" x14ac:dyDescent="0.2">
      <c r="A43" s="826" t="s">
        <v>169</v>
      </c>
      <c r="B43" s="827"/>
      <c r="C43" s="827"/>
      <c r="D43" s="827"/>
      <c r="E43" s="827"/>
      <c r="F43" s="827"/>
      <c r="G43" s="827"/>
      <c r="H43" s="827"/>
      <c r="I43" s="828"/>
      <c r="J43" s="52"/>
      <c r="K43" s="52"/>
    </row>
    <row r="44" spans="1:11" s="33" customFormat="1" ht="43.5" customHeight="1" x14ac:dyDescent="0.2">
      <c r="A44" s="847" t="s">
        <v>289</v>
      </c>
      <c r="B44" s="848"/>
      <c r="C44" s="848"/>
      <c r="D44" s="848"/>
      <c r="E44" s="848"/>
      <c r="F44" s="848"/>
      <c r="G44" s="848"/>
      <c r="H44" s="848"/>
      <c r="I44" s="849"/>
    </row>
    <row r="45" spans="1:11" s="33" customFormat="1" ht="21" customHeight="1" x14ac:dyDescent="0.2">
      <c r="A45" s="847" t="s">
        <v>1269</v>
      </c>
      <c r="B45" s="848"/>
      <c r="C45" s="848"/>
      <c r="D45" s="848"/>
      <c r="E45" s="848"/>
      <c r="F45" s="848"/>
      <c r="G45" s="848"/>
      <c r="H45" s="848"/>
      <c r="I45" s="849"/>
    </row>
    <row r="46" spans="1:11" s="33" customFormat="1" ht="28.5" customHeight="1" x14ac:dyDescent="0.2">
      <c r="A46" s="693"/>
      <c r="B46" s="693"/>
      <c r="C46" s="693"/>
      <c r="D46" s="693"/>
      <c r="E46" s="693"/>
      <c r="F46" s="693"/>
      <c r="G46" s="693"/>
      <c r="H46" s="693"/>
      <c r="I46" s="694"/>
    </row>
    <row r="47" spans="1:11" s="33" customFormat="1" ht="43.5" customHeight="1" x14ac:dyDescent="0.2">
      <c r="A47" s="693"/>
      <c r="B47" s="693"/>
      <c r="C47" s="693"/>
      <c r="D47" s="693"/>
      <c r="E47" s="693"/>
      <c r="F47" s="693"/>
      <c r="G47" s="693"/>
      <c r="H47" s="693"/>
      <c r="I47" s="694"/>
    </row>
    <row r="48" spans="1:11" s="33" customFormat="1" ht="43.5" customHeight="1" x14ac:dyDescent="0.2">
      <c r="A48" s="693"/>
      <c r="B48" s="693"/>
      <c r="C48" s="693"/>
      <c r="D48" s="693"/>
      <c r="E48" s="693"/>
      <c r="F48" s="693"/>
      <c r="G48" s="693"/>
      <c r="H48" s="693"/>
      <c r="I48" s="694"/>
    </row>
    <row r="49" spans="1:11" s="33" customFormat="1" ht="15.75" customHeight="1" x14ac:dyDescent="0.2">
      <c r="A49" s="693"/>
      <c r="B49" s="693"/>
      <c r="C49" s="693"/>
      <c r="D49" s="693"/>
      <c r="E49" s="693"/>
      <c r="F49" s="693"/>
      <c r="G49" s="693"/>
      <c r="H49" s="693"/>
      <c r="I49" s="694"/>
    </row>
    <row r="50" spans="1:11" s="33" customFormat="1" ht="14.25" customHeight="1" x14ac:dyDescent="0.2">
      <c r="A50" s="847" t="s">
        <v>1270</v>
      </c>
      <c r="B50" s="848"/>
      <c r="C50" s="848"/>
      <c r="D50" s="848"/>
      <c r="E50" s="848"/>
      <c r="F50" s="848"/>
      <c r="G50" s="848"/>
      <c r="H50" s="848"/>
      <c r="I50" s="849"/>
    </row>
    <row r="51" spans="1:11" s="33" customFormat="1" ht="15" customHeight="1" x14ac:dyDescent="0.2">
      <c r="A51" s="847" t="s">
        <v>1337</v>
      </c>
      <c r="B51" s="848"/>
      <c r="C51" s="848"/>
      <c r="D51" s="848"/>
      <c r="E51" s="848"/>
      <c r="F51" s="848"/>
      <c r="G51" s="848"/>
      <c r="H51" s="848"/>
      <c r="I51" s="849"/>
    </row>
    <row r="52" spans="1:11" s="33" customFormat="1" ht="15" customHeight="1" x14ac:dyDescent="0.2">
      <c r="A52" s="847" t="s">
        <v>1338</v>
      </c>
      <c r="B52" s="848"/>
      <c r="C52" s="848"/>
      <c r="D52" s="848"/>
      <c r="E52" s="848"/>
      <c r="F52" s="848"/>
      <c r="G52" s="848"/>
      <c r="H52" s="848"/>
      <c r="I52" s="849"/>
    </row>
    <row r="53" spans="1:11" s="33" customFormat="1" ht="15" customHeight="1" x14ac:dyDescent="0.2">
      <c r="A53" s="826" t="s">
        <v>907</v>
      </c>
      <c r="B53" s="827"/>
      <c r="C53" s="827"/>
      <c r="D53" s="827"/>
      <c r="E53" s="827"/>
      <c r="F53" s="827"/>
      <c r="G53" s="827"/>
      <c r="H53" s="827"/>
      <c r="I53" s="828"/>
      <c r="J53" s="52"/>
      <c r="K53" s="52"/>
    </row>
    <row r="54" spans="1:11" s="33" customFormat="1" ht="40.700000000000003" customHeight="1" x14ac:dyDescent="0.2">
      <c r="A54" s="847" t="s">
        <v>973</v>
      </c>
      <c r="B54" s="848"/>
      <c r="C54" s="848"/>
      <c r="D54" s="848"/>
      <c r="E54" s="848"/>
      <c r="F54" s="848"/>
      <c r="G54" s="848"/>
      <c r="H54" s="848"/>
      <c r="I54" s="849"/>
      <c r="J54" s="52"/>
      <c r="K54" s="52"/>
    </row>
    <row r="55" spans="1:11" s="33" customFormat="1" ht="15" customHeight="1" x14ac:dyDescent="0.2">
      <c r="A55" s="91"/>
      <c r="B55" s="50"/>
      <c r="C55" s="50"/>
      <c r="D55" s="50"/>
      <c r="E55" s="50"/>
      <c r="F55" s="50"/>
      <c r="G55" s="50"/>
      <c r="H55" s="50"/>
      <c r="I55" s="92"/>
    </row>
    <row r="56" spans="1:11" s="33" customFormat="1" ht="15" customHeight="1" x14ac:dyDescent="0.2">
      <c r="A56" s="230"/>
      <c r="B56" s="231"/>
      <c r="C56" s="231"/>
      <c r="D56" s="231"/>
      <c r="E56" s="231"/>
      <c r="F56" s="231"/>
      <c r="G56" s="231"/>
      <c r="H56" s="231"/>
      <c r="I56" s="232"/>
    </row>
    <row r="57" spans="1:11" s="33" customFormat="1" ht="15" customHeight="1" x14ac:dyDescent="0.2">
      <c r="A57" s="826" t="s">
        <v>908</v>
      </c>
      <c r="B57" s="827"/>
      <c r="C57" s="827"/>
      <c r="D57" s="827"/>
      <c r="E57" s="827"/>
      <c r="F57" s="827"/>
      <c r="G57" s="827"/>
      <c r="H57" s="827"/>
      <c r="I57" s="828"/>
      <c r="J57" s="52"/>
      <c r="K57" s="52"/>
    </row>
    <row r="58" spans="1:11" s="33" customFormat="1" ht="27" customHeight="1" x14ac:dyDescent="0.2">
      <c r="A58" s="820" t="s">
        <v>171</v>
      </c>
      <c r="B58" s="821"/>
      <c r="C58" s="821"/>
      <c r="D58" s="821"/>
      <c r="E58" s="821"/>
      <c r="F58" s="821"/>
      <c r="G58" s="821"/>
      <c r="H58" s="821"/>
      <c r="I58" s="822"/>
    </row>
    <row r="59" spans="1:11" s="33" customFormat="1" ht="15" customHeight="1" x14ac:dyDescent="0.2">
      <c r="A59" s="239"/>
      <c r="B59" s="240"/>
      <c r="C59" s="240"/>
      <c r="D59" s="240"/>
      <c r="E59" s="240"/>
      <c r="F59" s="240"/>
      <c r="G59" s="240"/>
      <c r="H59" s="240"/>
      <c r="I59" s="241"/>
    </row>
    <row r="60" spans="1:11" s="33" customFormat="1" ht="15" customHeight="1" x14ac:dyDescent="0.2">
      <c r="A60" s="91"/>
      <c r="B60" s="50"/>
      <c r="C60" s="50"/>
      <c r="D60" s="50"/>
      <c r="E60" s="50"/>
      <c r="F60" s="50"/>
      <c r="G60" s="50"/>
      <c r="H60" s="50"/>
      <c r="I60" s="92"/>
    </row>
    <row r="61" spans="1:11" s="33" customFormat="1" ht="15" customHeight="1" x14ac:dyDescent="0.2">
      <c r="A61" s="826" t="s">
        <v>909</v>
      </c>
      <c r="B61" s="827"/>
      <c r="C61" s="827"/>
      <c r="D61" s="827"/>
      <c r="E61" s="827"/>
      <c r="F61" s="827"/>
      <c r="G61" s="827"/>
      <c r="H61" s="827"/>
      <c r="I61" s="828"/>
      <c r="J61" s="819"/>
      <c r="K61" s="819"/>
    </row>
    <row r="62" spans="1:11" s="33" customFormat="1" ht="30.2" customHeight="1" x14ac:dyDescent="0.2">
      <c r="A62" s="820" t="s">
        <v>172</v>
      </c>
      <c r="B62" s="821"/>
      <c r="C62" s="821"/>
      <c r="D62" s="821"/>
      <c r="E62" s="821"/>
      <c r="F62" s="821"/>
      <c r="G62" s="821"/>
      <c r="H62" s="821"/>
      <c r="I62" s="822"/>
      <c r="J62" s="819"/>
      <c r="K62" s="819"/>
    </row>
    <row r="63" spans="1:11" s="33" customFormat="1" ht="15" customHeight="1" x14ac:dyDescent="0.2">
      <c r="A63" s="823"/>
      <c r="B63" s="824"/>
      <c r="C63" s="824"/>
      <c r="D63" s="824"/>
      <c r="E63" s="824"/>
      <c r="F63" s="824"/>
      <c r="G63" s="824"/>
      <c r="H63" s="824"/>
      <c r="I63" s="825"/>
      <c r="J63" s="819"/>
      <c r="K63" s="819"/>
    </row>
    <row r="64" spans="1:11" s="33" customFormat="1" ht="15" customHeight="1" x14ac:dyDescent="0.2">
      <c r="A64" s="826" t="s">
        <v>910</v>
      </c>
      <c r="B64" s="827"/>
      <c r="C64" s="827"/>
      <c r="D64" s="827"/>
      <c r="E64" s="827"/>
      <c r="F64" s="827"/>
      <c r="G64" s="827"/>
      <c r="H64" s="827"/>
      <c r="I64" s="828"/>
      <c r="J64" s="819"/>
      <c r="K64" s="819"/>
    </row>
    <row r="65" spans="1:11" s="33" customFormat="1" ht="22.7" customHeight="1" x14ac:dyDescent="0.2">
      <c r="A65" s="820" t="s">
        <v>1331</v>
      </c>
      <c r="B65" s="821"/>
      <c r="C65" s="821"/>
      <c r="D65" s="821"/>
      <c r="E65" s="821"/>
      <c r="F65" s="821"/>
      <c r="G65" s="821"/>
      <c r="H65" s="821"/>
      <c r="I65" s="822"/>
      <c r="J65" s="819"/>
      <c r="K65" s="819"/>
    </row>
    <row r="66" spans="1:11" s="33" customFormat="1" ht="25.5" customHeight="1" x14ac:dyDescent="0.2">
      <c r="A66" s="820" t="s">
        <v>173</v>
      </c>
      <c r="B66" s="821"/>
      <c r="C66" s="821"/>
      <c r="D66" s="821"/>
      <c r="E66" s="821"/>
      <c r="F66" s="821"/>
      <c r="G66" s="821"/>
      <c r="H66" s="821"/>
      <c r="I66" s="822"/>
      <c r="J66" s="819"/>
      <c r="K66" s="819"/>
    </row>
    <row r="67" spans="1:11" s="33" customFormat="1" ht="39.200000000000003" customHeight="1" x14ac:dyDescent="0.2">
      <c r="A67" s="820" t="s">
        <v>1271</v>
      </c>
      <c r="B67" s="821"/>
      <c r="C67" s="821"/>
      <c r="D67" s="821"/>
      <c r="E67" s="821"/>
      <c r="F67" s="821"/>
      <c r="G67" s="821"/>
      <c r="H67" s="821"/>
      <c r="I67" s="822"/>
      <c r="J67" s="166"/>
      <c r="K67" s="166"/>
    </row>
    <row r="68" spans="1:11" s="33" customFormat="1" ht="24.75" customHeight="1" x14ac:dyDescent="0.2">
      <c r="A68" s="820" t="s">
        <v>1272</v>
      </c>
      <c r="B68" s="821"/>
      <c r="C68" s="821"/>
      <c r="D68" s="821"/>
      <c r="E68" s="821"/>
      <c r="F68" s="821"/>
      <c r="G68" s="821"/>
      <c r="H68" s="821"/>
      <c r="I68" s="822"/>
      <c r="J68" s="166"/>
      <c r="K68" s="166"/>
    </row>
    <row r="69" spans="1:11" s="33" customFormat="1" ht="15" customHeight="1" x14ac:dyDescent="0.2">
      <c r="A69" s="239"/>
      <c r="B69" s="240"/>
      <c r="C69" s="240"/>
      <c r="D69" s="240"/>
      <c r="E69" s="240"/>
      <c r="F69" s="240"/>
      <c r="G69" s="240"/>
      <c r="H69" s="240"/>
      <c r="I69" s="241"/>
      <c r="J69" s="166"/>
      <c r="K69" s="166"/>
    </row>
    <row r="70" spans="1:11" s="33" customFormat="1" ht="15" customHeight="1" x14ac:dyDescent="0.2">
      <c r="A70" s="823"/>
      <c r="B70" s="824"/>
      <c r="C70" s="824"/>
      <c r="D70" s="824"/>
      <c r="E70" s="824"/>
      <c r="F70" s="824"/>
      <c r="G70" s="824"/>
      <c r="H70" s="824"/>
      <c r="I70" s="825"/>
      <c r="J70" s="819"/>
      <c r="K70" s="819"/>
    </row>
    <row r="71" spans="1:11" s="33" customFormat="1" ht="15" customHeight="1" x14ac:dyDescent="0.2">
      <c r="A71" s="826" t="s">
        <v>911</v>
      </c>
      <c r="B71" s="827"/>
      <c r="C71" s="827"/>
      <c r="D71" s="827"/>
      <c r="E71" s="827"/>
      <c r="F71" s="827"/>
      <c r="G71" s="827"/>
      <c r="H71" s="827"/>
      <c r="I71" s="828"/>
      <c r="J71" s="819"/>
      <c r="K71" s="819"/>
    </row>
    <row r="72" spans="1:11" s="53" customFormat="1" ht="15" customHeight="1" x14ac:dyDescent="0.2">
      <c r="A72" s="820" t="s">
        <v>174</v>
      </c>
      <c r="B72" s="821"/>
      <c r="C72" s="821"/>
      <c r="D72" s="821"/>
      <c r="E72" s="821"/>
      <c r="F72" s="821"/>
      <c r="G72" s="821"/>
      <c r="H72" s="821"/>
      <c r="I72" s="822"/>
      <c r="J72" s="829"/>
      <c r="K72" s="829"/>
    </row>
    <row r="73" spans="1:11" s="53" customFormat="1" ht="24.75" customHeight="1" x14ac:dyDescent="0.2">
      <c r="A73" s="820" t="s">
        <v>1273</v>
      </c>
      <c r="B73" s="821"/>
      <c r="C73" s="821"/>
      <c r="D73" s="821"/>
      <c r="E73" s="821"/>
      <c r="F73" s="821"/>
      <c r="G73" s="821"/>
      <c r="H73" s="821"/>
      <c r="I73" s="822"/>
      <c r="J73" s="829"/>
      <c r="K73" s="829"/>
    </row>
    <row r="74" spans="1:11" s="53" customFormat="1" ht="15" customHeight="1" x14ac:dyDescent="0.2">
      <c r="A74" s="820" t="s">
        <v>175</v>
      </c>
      <c r="B74" s="821"/>
      <c r="C74" s="821"/>
      <c r="D74" s="821"/>
      <c r="E74" s="821"/>
      <c r="F74" s="821"/>
      <c r="G74" s="821"/>
      <c r="H74" s="821"/>
      <c r="I74" s="822"/>
      <c r="J74" s="829"/>
      <c r="K74" s="829"/>
    </row>
    <row r="75" spans="1:11" s="33" customFormat="1" ht="15" customHeight="1" x14ac:dyDescent="0.2">
      <c r="A75" s="239"/>
      <c r="B75" s="240"/>
      <c r="C75" s="240"/>
      <c r="D75" s="240"/>
      <c r="E75" s="240"/>
      <c r="F75" s="240"/>
      <c r="G75" s="240"/>
      <c r="H75" s="240"/>
      <c r="I75" s="241"/>
      <c r="J75" s="194"/>
      <c r="K75" s="194"/>
    </row>
    <row r="76" spans="1:11" s="33" customFormat="1" ht="15" customHeight="1" x14ac:dyDescent="0.2">
      <c r="A76" s="823"/>
      <c r="B76" s="824"/>
      <c r="C76" s="824"/>
      <c r="D76" s="824"/>
      <c r="E76" s="824"/>
      <c r="F76" s="824"/>
      <c r="G76" s="824"/>
      <c r="H76" s="824"/>
      <c r="I76" s="825"/>
      <c r="J76" s="819"/>
      <c r="K76" s="819"/>
    </row>
    <row r="77" spans="1:11" s="33" customFormat="1" ht="15" customHeight="1" x14ac:dyDescent="0.2">
      <c r="A77" s="826" t="s">
        <v>912</v>
      </c>
      <c r="B77" s="827"/>
      <c r="C77" s="827"/>
      <c r="D77" s="827"/>
      <c r="E77" s="827"/>
      <c r="F77" s="827"/>
      <c r="G77" s="827"/>
      <c r="H77" s="827"/>
      <c r="I77" s="828"/>
      <c r="J77" s="819"/>
      <c r="K77" s="819"/>
    </row>
    <row r="78" spans="1:11" s="53" customFormat="1" ht="25.5" customHeight="1" x14ac:dyDescent="0.2">
      <c r="A78" s="820" t="s">
        <v>973</v>
      </c>
      <c r="B78" s="821"/>
      <c r="C78" s="821"/>
      <c r="D78" s="821"/>
      <c r="E78" s="821"/>
      <c r="F78" s="821"/>
      <c r="G78" s="821"/>
      <c r="H78" s="821"/>
      <c r="I78" s="822"/>
      <c r="J78" s="195"/>
      <c r="K78" s="195"/>
    </row>
    <row r="79" spans="1:11" s="33" customFormat="1" ht="15" customHeight="1" x14ac:dyDescent="0.2">
      <c r="A79" s="91"/>
      <c r="B79" s="50"/>
      <c r="C79" s="50"/>
      <c r="D79" s="50"/>
      <c r="E79" s="50"/>
      <c r="F79" s="50"/>
      <c r="G79" s="50"/>
      <c r="H79" s="50"/>
      <c r="I79" s="92"/>
      <c r="J79" s="166"/>
      <c r="K79" s="166"/>
    </row>
    <row r="80" spans="1:11" s="26" customFormat="1" ht="15" customHeight="1" x14ac:dyDescent="0.2">
      <c r="A80" s="236"/>
      <c r="B80" s="237"/>
      <c r="C80" s="237"/>
      <c r="D80" s="237"/>
      <c r="E80" s="237"/>
      <c r="F80" s="237"/>
      <c r="G80" s="237"/>
      <c r="H80" s="237"/>
      <c r="I80" s="238"/>
      <c r="J80" s="171"/>
      <c r="K80" s="171"/>
    </row>
    <row r="81" spans="1:11" s="26" customFormat="1" ht="15" customHeight="1" x14ac:dyDescent="0.2">
      <c r="A81" s="826" t="s">
        <v>913</v>
      </c>
      <c r="B81" s="827"/>
      <c r="C81" s="827"/>
      <c r="D81" s="827"/>
      <c r="E81" s="827"/>
      <c r="F81" s="827"/>
      <c r="G81" s="827"/>
      <c r="H81" s="827"/>
      <c r="I81" s="828"/>
      <c r="J81" s="171"/>
      <c r="K81" s="171"/>
    </row>
    <row r="82" spans="1:11" s="26" customFormat="1" ht="15" customHeight="1" x14ac:dyDescent="0.2">
      <c r="A82" s="820" t="s">
        <v>176</v>
      </c>
      <c r="B82" s="821"/>
      <c r="C82" s="821"/>
      <c r="D82" s="821"/>
      <c r="E82" s="821"/>
      <c r="F82" s="821"/>
      <c r="G82" s="821"/>
      <c r="H82" s="821"/>
      <c r="I82" s="822"/>
      <c r="J82" s="171"/>
      <c r="K82" s="171"/>
    </row>
    <row r="83" spans="1:11" s="33" customFormat="1" ht="15" customHeight="1" x14ac:dyDescent="0.2">
      <c r="A83" s="91"/>
      <c r="B83" s="50"/>
      <c r="C83" s="50"/>
      <c r="D83" s="50"/>
      <c r="E83" s="50"/>
      <c r="F83" s="50"/>
      <c r="G83" s="50"/>
      <c r="H83" s="50"/>
      <c r="I83" s="92"/>
      <c r="J83" s="819"/>
      <c r="K83" s="819"/>
    </row>
    <row r="84" spans="1:11" s="33" customFormat="1" ht="15" customHeight="1" x14ac:dyDescent="0.2">
      <c r="A84" s="239"/>
      <c r="B84" s="240"/>
      <c r="C84" s="240"/>
      <c r="D84" s="240"/>
      <c r="E84" s="240"/>
      <c r="F84" s="240"/>
      <c r="G84" s="240"/>
      <c r="H84" s="240"/>
      <c r="I84" s="241"/>
      <c r="J84" s="166"/>
      <c r="K84" s="166"/>
    </row>
    <row r="85" spans="1:11" s="33" customFormat="1" ht="15" customHeight="1" x14ac:dyDescent="0.2">
      <c r="A85" s="826" t="s">
        <v>914</v>
      </c>
      <c r="B85" s="827"/>
      <c r="C85" s="827"/>
      <c r="D85" s="827"/>
      <c r="E85" s="827"/>
      <c r="F85" s="827"/>
      <c r="G85" s="827"/>
      <c r="H85" s="827"/>
      <c r="I85" s="828"/>
      <c r="J85" s="819"/>
      <c r="K85" s="819"/>
    </row>
    <row r="86" spans="1:11" s="33" customFormat="1" ht="36.75" customHeight="1" x14ac:dyDescent="0.2">
      <c r="A86" s="820" t="s">
        <v>177</v>
      </c>
      <c r="B86" s="821"/>
      <c r="C86" s="821"/>
      <c r="D86" s="821"/>
      <c r="E86" s="821"/>
      <c r="F86" s="821"/>
      <c r="G86" s="821"/>
      <c r="H86" s="821"/>
      <c r="I86" s="822"/>
      <c r="J86" s="166"/>
      <c r="K86" s="166"/>
    </row>
    <row r="87" spans="1:11" s="33" customFormat="1" ht="15" customHeight="1" x14ac:dyDescent="0.2">
      <c r="A87" s="261"/>
      <c r="B87" s="262"/>
      <c r="C87" s="262"/>
      <c r="D87" s="262"/>
      <c r="E87" s="262"/>
      <c r="F87" s="262"/>
      <c r="G87" s="262"/>
      <c r="H87" s="262"/>
      <c r="I87" s="263"/>
      <c r="J87" s="260"/>
      <c r="K87" s="260"/>
    </row>
    <row r="88" spans="1:11" s="33" customFormat="1" ht="15" customHeight="1" x14ac:dyDescent="0.2">
      <c r="A88" s="839" t="s">
        <v>915</v>
      </c>
      <c r="B88" s="840"/>
      <c r="C88" s="840"/>
      <c r="D88" s="840"/>
      <c r="E88" s="840"/>
      <c r="F88" s="840"/>
      <c r="G88" s="840"/>
      <c r="H88" s="840"/>
      <c r="I88" s="841"/>
      <c r="J88" s="51"/>
      <c r="K88" s="51"/>
    </row>
    <row r="89" spans="1:11" s="33" customFormat="1" ht="15" customHeight="1" x14ac:dyDescent="0.2">
      <c r="A89" s="820" t="s">
        <v>183</v>
      </c>
      <c r="B89" s="821"/>
      <c r="C89" s="821"/>
      <c r="D89" s="821"/>
      <c r="E89" s="821"/>
      <c r="F89" s="821"/>
      <c r="G89" s="821"/>
      <c r="H89" s="821"/>
      <c r="I89" s="822"/>
      <c r="J89" s="276"/>
      <c r="K89" s="276"/>
    </row>
    <row r="90" spans="1:11" s="33" customFormat="1" ht="15" customHeight="1" x14ac:dyDescent="0.2">
      <c r="A90" s="264"/>
      <c r="B90" s="265"/>
      <c r="C90" s="265"/>
      <c r="D90" s="265"/>
      <c r="E90" s="265"/>
      <c r="F90" s="265"/>
      <c r="G90" s="265"/>
      <c r="H90" s="265"/>
      <c r="I90" s="266"/>
      <c r="J90" s="166"/>
      <c r="K90" s="166"/>
    </row>
    <row r="91" spans="1:11" s="33" customFormat="1" ht="15" customHeight="1" x14ac:dyDescent="0.2">
      <c r="A91" s="826" t="s">
        <v>916</v>
      </c>
      <c r="B91" s="827"/>
      <c r="C91" s="827"/>
      <c r="D91" s="827"/>
      <c r="E91" s="827"/>
      <c r="F91" s="827"/>
      <c r="G91" s="827"/>
      <c r="H91" s="827"/>
      <c r="I91" s="828"/>
      <c r="J91" s="166"/>
      <c r="K91" s="166"/>
    </row>
    <row r="92" spans="1:11" s="53" customFormat="1" ht="36" customHeight="1" x14ac:dyDescent="0.2">
      <c r="A92" s="820" t="s">
        <v>178</v>
      </c>
      <c r="B92" s="821"/>
      <c r="C92" s="821"/>
      <c r="D92" s="821"/>
      <c r="E92" s="821"/>
      <c r="F92" s="821"/>
      <c r="G92" s="821"/>
      <c r="H92" s="821"/>
      <c r="I92" s="822"/>
      <c r="J92" s="195"/>
      <c r="K92" s="195"/>
    </row>
    <row r="93" spans="1:11" s="53" customFormat="1" ht="23.25" customHeight="1" x14ac:dyDescent="0.2">
      <c r="A93" s="820" t="s">
        <v>179</v>
      </c>
      <c r="B93" s="821"/>
      <c r="C93" s="821"/>
      <c r="D93" s="821"/>
      <c r="E93" s="821"/>
      <c r="F93" s="821"/>
      <c r="G93" s="821"/>
      <c r="H93" s="821"/>
      <c r="I93" s="822"/>
      <c r="J93" s="195"/>
      <c r="K93" s="195"/>
    </row>
    <row r="94" spans="1:11" s="33" customFormat="1" ht="15" customHeight="1" x14ac:dyDescent="0.2">
      <c r="A94" s="91"/>
      <c r="B94" s="50"/>
      <c r="C94" s="50"/>
      <c r="D94" s="50"/>
      <c r="E94" s="50"/>
      <c r="F94" s="50"/>
      <c r="G94" s="50"/>
      <c r="H94" s="50"/>
      <c r="I94" s="92"/>
      <c r="J94" s="194"/>
      <c r="K94" s="194"/>
    </row>
    <row r="95" spans="1:11" s="33" customFormat="1" ht="15" customHeight="1" x14ac:dyDescent="0.2">
      <c r="A95" s="826" t="s">
        <v>917</v>
      </c>
      <c r="B95" s="827"/>
      <c r="C95" s="827"/>
      <c r="D95" s="827"/>
      <c r="E95" s="827"/>
      <c r="F95" s="827"/>
      <c r="G95" s="827"/>
      <c r="H95" s="827"/>
      <c r="I95" s="828"/>
      <c r="J95" s="166"/>
      <c r="K95" s="166"/>
    </row>
    <row r="96" spans="1:11" s="33" customFormat="1" ht="25.5" customHeight="1" x14ac:dyDescent="0.2">
      <c r="A96" s="820" t="s">
        <v>180</v>
      </c>
      <c r="B96" s="821"/>
      <c r="C96" s="821"/>
      <c r="D96" s="821"/>
      <c r="E96" s="821"/>
      <c r="F96" s="821"/>
      <c r="G96" s="821"/>
      <c r="H96" s="821"/>
      <c r="I96" s="822"/>
      <c r="J96" s="166"/>
      <c r="K96" s="166"/>
    </row>
    <row r="97" spans="1:11" s="33" customFormat="1" ht="29.25" customHeight="1" x14ac:dyDescent="0.2">
      <c r="A97" s="837" t="s">
        <v>411</v>
      </c>
      <c r="B97" s="837"/>
      <c r="C97" s="837"/>
      <c r="D97" s="837"/>
      <c r="E97" s="837"/>
      <c r="F97" s="837"/>
      <c r="G97" s="837"/>
      <c r="H97" s="837"/>
      <c r="I97" s="838"/>
      <c r="J97" s="166"/>
      <c r="K97" s="166"/>
    </row>
    <row r="98" spans="1:11" s="26" customFormat="1" ht="15" customHeight="1" x14ac:dyDescent="0.2">
      <c r="A98" s="834"/>
      <c r="B98" s="835"/>
      <c r="C98" s="835"/>
      <c r="D98" s="835"/>
      <c r="E98" s="835"/>
      <c r="F98" s="835"/>
      <c r="G98" s="835"/>
      <c r="H98" s="835"/>
      <c r="I98" s="836"/>
    </row>
    <row r="99" spans="1:11" s="33" customFormat="1" ht="15" customHeight="1" x14ac:dyDescent="0.2"/>
    <row r="100" spans="1:11" s="33" customFormat="1" ht="15" customHeight="1" x14ac:dyDescent="0.2"/>
    <row r="101" spans="1:11" s="33" customFormat="1" ht="15" customHeight="1" x14ac:dyDescent="0.2">
      <c r="A101" s="278"/>
    </row>
    <row r="102" spans="1:11" s="33" customFormat="1" ht="15" customHeight="1" x14ac:dyDescent="0.2"/>
    <row r="103" spans="1:11" s="33" customFormat="1" ht="15" customHeight="1" x14ac:dyDescent="0.2"/>
    <row r="104" spans="1:11" ht="15" customHeight="1" x14ac:dyDescent="0.2"/>
    <row r="105" spans="1:11" ht="15" customHeight="1" x14ac:dyDescent="0.2"/>
    <row r="106" spans="1:11" ht="15" customHeight="1" x14ac:dyDescent="0.2"/>
    <row r="107" spans="1:11" ht="15" customHeight="1" x14ac:dyDescent="0.2"/>
    <row r="108" spans="1:11" ht="15" customHeight="1" x14ac:dyDescent="0.2"/>
    <row r="109" spans="1:11" ht="15" customHeight="1" x14ac:dyDescent="0.2"/>
    <row r="110" spans="1:11" ht="15" customHeight="1" x14ac:dyDescent="0.2"/>
    <row r="111" spans="1:11" ht="15" customHeight="1" x14ac:dyDescent="0.2"/>
    <row r="115" spans="6:14" x14ac:dyDescent="0.2">
      <c r="F115" s="833"/>
      <c r="G115" s="833"/>
      <c r="H115" s="833"/>
      <c r="I115" s="833"/>
      <c r="J115" s="833"/>
      <c r="K115" s="833"/>
      <c r="L115" s="833"/>
      <c r="M115" s="833"/>
      <c r="N115" s="833"/>
    </row>
  </sheetData>
  <mergeCells count="75">
    <mergeCell ref="A40:I40"/>
    <mergeCell ref="A32:I32"/>
    <mergeCell ref="A7:I7"/>
    <mergeCell ref="A15:I15"/>
    <mergeCell ref="A11:I11"/>
    <mergeCell ref="A12:I12"/>
    <mergeCell ref="A10:I10"/>
    <mergeCell ref="A14:I14"/>
    <mergeCell ref="A42:I42"/>
    <mergeCell ref="A6:I6"/>
    <mergeCell ref="A67:I67"/>
    <mergeCell ref="A72:I72"/>
    <mergeCell ref="A35:I35"/>
    <mergeCell ref="A39:I39"/>
    <mergeCell ref="A44:I44"/>
    <mergeCell ref="A43:I43"/>
    <mergeCell ref="A54:I54"/>
    <mergeCell ref="A16:I16"/>
    <mergeCell ref="A20:I20"/>
    <mergeCell ref="A19:I19"/>
    <mergeCell ref="A45:I45"/>
    <mergeCell ref="A50:I50"/>
    <mergeCell ref="A51:I51"/>
    <mergeCell ref="A52:I52"/>
    <mergeCell ref="A53:I53"/>
    <mergeCell ref="A57:I57"/>
    <mergeCell ref="A86:I86"/>
    <mergeCell ref="A88:I88"/>
    <mergeCell ref="A82:I82"/>
    <mergeCell ref="A58:I58"/>
    <mergeCell ref="A64:I64"/>
    <mergeCell ref="A61:I61"/>
    <mergeCell ref="A73:I73"/>
    <mergeCell ref="A63:I63"/>
    <mergeCell ref="F115:N115"/>
    <mergeCell ref="J83:K83"/>
    <mergeCell ref="J85:K85"/>
    <mergeCell ref="A74:I74"/>
    <mergeCell ref="J74:K74"/>
    <mergeCell ref="A98:I98"/>
    <mergeCell ref="A91:I91"/>
    <mergeCell ref="A92:I92"/>
    <mergeCell ref="A97:I97"/>
    <mergeCell ref="A95:I95"/>
    <mergeCell ref="A89:I89"/>
    <mergeCell ref="A17:I17"/>
    <mergeCell ref="A18:I18"/>
    <mergeCell ref="A37:I37"/>
    <mergeCell ref="A38:I38"/>
    <mergeCell ref="A34:I34"/>
    <mergeCell ref="J61:K61"/>
    <mergeCell ref="J62:K62"/>
    <mergeCell ref="A77:I77"/>
    <mergeCell ref="J72:K72"/>
    <mergeCell ref="J73:K73"/>
    <mergeCell ref="J66:K66"/>
    <mergeCell ref="J77:K77"/>
    <mergeCell ref="J70:K70"/>
    <mergeCell ref="J71:K71"/>
    <mergeCell ref="J64:K64"/>
    <mergeCell ref="J63:K63"/>
    <mergeCell ref="A66:I66"/>
    <mergeCell ref="A62:I62"/>
    <mergeCell ref="J76:K76"/>
    <mergeCell ref="A76:I76"/>
    <mergeCell ref="J65:K65"/>
    <mergeCell ref="A96:I96"/>
    <mergeCell ref="A68:I68"/>
    <mergeCell ref="A70:I70"/>
    <mergeCell ref="A71:I71"/>
    <mergeCell ref="A65:I65"/>
    <mergeCell ref="A78:I78"/>
    <mergeCell ref="A85:I85"/>
    <mergeCell ref="A93:I93"/>
    <mergeCell ref="A81:I81"/>
  </mergeCells>
  <hyperlinks>
    <hyperlink ref="I1" location="BG!A1" display="BG"/>
  </hyperlinks>
  <pageMargins left="0.70866141732283472" right="0.70866141732283472" top="0.74803149606299213" bottom="0.74803149606299213" header="0.31496062992125984" footer="0.31496062992125984"/>
  <pageSetup paperSize="5" scale="8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1"/>
  <sheetViews>
    <sheetView showGridLines="0" workbookViewId="0">
      <selection activeCell="C29" sqref="C29"/>
    </sheetView>
  </sheetViews>
  <sheetFormatPr baseColWidth="10" defaultColWidth="11.42578125" defaultRowHeight="12.75" x14ac:dyDescent="0.2"/>
  <cols>
    <col min="1" max="1" width="45.42578125" style="2" customWidth="1"/>
    <col min="2" max="2" width="5.85546875" style="2" customWidth="1"/>
    <col min="3" max="3" width="22.85546875" style="2" customWidth="1"/>
    <col min="4" max="4" width="16.5703125" style="2" customWidth="1"/>
    <col min="5" max="5" width="11.42578125" style="2"/>
    <col min="6" max="6" width="15.28515625" style="2" bestFit="1" customWidth="1"/>
    <col min="7" max="16384" width="11.42578125" style="2"/>
  </cols>
  <sheetData>
    <row r="1" spans="1:7" ht="15" x14ac:dyDescent="0.25">
      <c r="A1" s="2" t="str">
        <f>Indice!C1</f>
        <v>NEGOFIN S.A.E.C.A.</v>
      </c>
      <c r="E1" s="143" t="s">
        <v>132</v>
      </c>
    </row>
    <row r="2" spans="1:7" x14ac:dyDescent="0.2">
      <c r="A2" s="2" t="s">
        <v>121</v>
      </c>
    </row>
    <row r="7" spans="1:7" x14ac:dyDescent="0.2">
      <c r="A7" s="279" t="s">
        <v>439</v>
      </c>
      <c r="B7" s="279"/>
      <c r="C7" s="279"/>
      <c r="D7" s="279"/>
    </row>
    <row r="8" spans="1:7" x14ac:dyDescent="0.2">
      <c r="A8" s="394" t="s">
        <v>313</v>
      </c>
      <c r="B8" s="394"/>
    </row>
    <row r="9" spans="1:7" x14ac:dyDescent="0.2">
      <c r="A9" s="4" t="s">
        <v>4</v>
      </c>
    </row>
    <row r="10" spans="1:7" x14ac:dyDescent="0.2">
      <c r="A10" s="4"/>
    </row>
    <row r="11" spans="1:7" x14ac:dyDescent="0.2">
      <c r="A11" s="34" t="s">
        <v>5</v>
      </c>
      <c r="B11" s="35"/>
      <c r="C11" s="393">
        <f>IFERROR(IF(Indice!B6="","2XX2",YEAR(Indice!B6)),"2XX2")</f>
        <v>2021</v>
      </c>
      <c r="D11" s="393">
        <f>IFERROR(YEAR(Indice!B6-365),"2XX1")</f>
        <v>2020</v>
      </c>
    </row>
    <row r="12" spans="1:7" x14ac:dyDescent="0.2">
      <c r="A12" s="36"/>
      <c r="B12" s="35"/>
      <c r="C12" s="98"/>
      <c r="D12" s="98"/>
    </row>
    <row r="13" spans="1:7" ht="14.25" x14ac:dyDescent="0.2">
      <c r="A13" s="38" t="s">
        <v>2</v>
      </c>
      <c r="B13" s="35"/>
      <c r="C13" s="457">
        <v>41858.991000000002</v>
      </c>
      <c r="D13" s="457">
        <v>37110.699999999997</v>
      </c>
    </row>
    <row r="14" spans="1:7" ht="14.25" x14ac:dyDescent="0.2">
      <c r="A14" s="10" t="s">
        <v>6</v>
      </c>
      <c r="B14" s="37"/>
      <c r="C14" s="457">
        <v>800</v>
      </c>
      <c r="D14" s="457">
        <v>1300</v>
      </c>
    </row>
    <row r="15" spans="1:7" ht="14.25" x14ac:dyDescent="0.2">
      <c r="A15" s="38" t="s">
        <v>436</v>
      </c>
      <c r="B15" s="37"/>
      <c r="C15" s="457">
        <v>14872724.581</v>
      </c>
      <c r="D15" s="457">
        <v>13239914.800000001</v>
      </c>
      <c r="F15" s="457"/>
      <c r="G15" s="457"/>
    </row>
    <row r="16" spans="1:7" ht="15" x14ac:dyDescent="0.25">
      <c r="A16" s="38" t="s">
        <v>435</v>
      </c>
      <c r="B16" s="37"/>
      <c r="C16" s="457">
        <v>0</v>
      </c>
      <c r="D16" s="457">
        <v>0</v>
      </c>
      <c r="F16" s="455"/>
    </row>
    <row r="17" spans="1:4" ht="14.25" x14ac:dyDescent="0.2">
      <c r="A17" s="38" t="s">
        <v>438</v>
      </c>
      <c r="B17" s="37"/>
      <c r="C17" s="457">
        <v>0</v>
      </c>
      <c r="D17" s="457">
        <v>0</v>
      </c>
    </row>
    <row r="18" spans="1:4" ht="14.25" x14ac:dyDescent="0.2">
      <c r="A18" s="38" t="s">
        <v>437</v>
      </c>
      <c r="B18" s="37"/>
      <c r="C18" s="457">
        <v>0</v>
      </c>
      <c r="D18" s="457">
        <v>0</v>
      </c>
    </row>
    <row r="19" spans="1:4" ht="14.25" x14ac:dyDescent="0.2">
      <c r="A19" s="38" t="s">
        <v>453</v>
      </c>
      <c r="B19" s="37"/>
      <c r="C19" s="457">
        <v>0</v>
      </c>
      <c r="D19" s="457">
        <v>0</v>
      </c>
    </row>
    <row r="20" spans="1:4" ht="15.75" thickBot="1" x14ac:dyDescent="0.3">
      <c r="A20" s="39" t="s">
        <v>3</v>
      </c>
      <c r="B20" s="40"/>
      <c r="C20" s="499">
        <f>SUM($C$13:C19)</f>
        <v>14915383.572000001</v>
      </c>
      <c r="D20" s="499">
        <f>SUM($D$13:D19)</f>
        <v>13278325.5</v>
      </c>
    </row>
    <row r="21" spans="1:4" ht="13.5" thickTop="1" x14ac:dyDescent="0.2"/>
  </sheetData>
  <hyperlinks>
    <hyperlink ref="E1" location="BG!A1" display="BG"/>
  </hyperlinks>
  <pageMargins left="0.70866141732283472" right="0.70866141732283472" top="0.74803149606299213" bottom="0.74803149606299213" header="0.31496062992125984" footer="0.31496062992125984"/>
  <pageSetup paperSize="5" scale="8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V70"/>
  <sheetViews>
    <sheetView workbookViewId="0">
      <selection activeCell="B18" sqref="B18"/>
    </sheetView>
  </sheetViews>
  <sheetFormatPr baseColWidth="10" defaultRowHeight="15" x14ac:dyDescent="0.25"/>
  <cols>
    <col min="1" max="1" width="72.85546875" bestFit="1" customWidth="1"/>
    <col min="2" max="2" width="16.140625" customWidth="1"/>
    <col min="3" max="3" width="18.28515625" customWidth="1"/>
    <col min="6" max="6" width="11.42578125" customWidth="1"/>
    <col min="7" max="30" width="11.42578125" style="123" customWidth="1"/>
  </cols>
  <sheetData>
    <row r="1" spans="1:256" x14ac:dyDescent="0.25">
      <c r="A1" s="123" t="str">
        <f>Indice!C1</f>
        <v>NEGOFIN S.A.E.C.A.</v>
      </c>
      <c r="B1" s="123"/>
      <c r="C1" s="123"/>
      <c r="D1" s="144" t="s">
        <v>132</v>
      </c>
      <c r="E1" s="123"/>
      <c r="F1" s="123"/>
    </row>
    <row r="2" spans="1:256" x14ac:dyDescent="0.25">
      <c r="A2" s="123"/>
      <c r="B2" s="123"/>
      <c r="C2" s="123"/>
      <c r="D2" s="123"/>
      <c r="E2" s="123"/>
      <c r="F2" s="123"/>
    </row>
    <row r="3" spans="1:256" x14ac:dyDescent="0.25">
      <c r="A3" s="123"/>
      <c r="B3" s="123"/>
      <c r="C3" s="123"/>
      <c r="D3" s="123"/>
      <c r="E3" s="123"/>
      <c r="F3" s="123"/>
    </row>
    <row r="4" spans="1:256" x14ac:dyDescent="0.25">
      <c r="A4" s="859" t="s">
        <v>290</v>
      </c>
      <c r="B4" s="859"/>
      <c r="C4" s="859"/>
      <c r="D4" s="123"/>
      <c r="E4" s="123"/>
      <c r="F4" s="123"/>
    </row>
    <row r="5" spans="1:256" x14ac:dyDescent="0.25">
      <c r="A5" s="122"/>
      <c r="B5" s="122"/>
      <c r="C5" s="122"/>
      <c r="D5" s="123"/>
      <c r="E5" s="123"/>
      <c r="F5" s="123"/>
    </row>
    <row r="6" spans="1:256" x14ac:dyDescent="0.25">
      <c r="A6" s="121" t="s">
        <v>4</v>
      </c>
      <c r="B6" s="122"/>
      <c r="C6" s="122"/>
      <c r="D6" s="123"/>
      <c r="E6" s="123"/>
      <c r="F6" s="123"/>
    </row>
    <row r="7" spans="1:256" x14ac:dyDescent="0.25">
      <c r="A7" s="121"/>
      <c r="B7" s="860" t="s">
        <v>313</v>
      </c>
      <c r="C7" s="860"/>
      <c r="D7" s="123"/>
      <c r="E7" s="123"/>
      <c r="F7" s="123"/>
    </row>
    <row r="8" spans="1:256" x14ac:dyDescent="0.25">
      <c r="A8" s="34" t="s">
        <v>5</v>
      </c>
      <c r="B8" s="393">
        <f>IFERROR(IF(Indice!B6="","2XX2",YEAR(Indice!B6)),"2XX2")</f>
        <v>2021</v>
      </c>
      <c r="C8" s="393">
        <f>IFERROR(YEAR(Indice!B6-365),"2XX1")</f>
        <v>2020</v>
      </c>
      <c r="D8" s="123"/>
      <c r="E8" s="123"/>
      <c r="F8" s="123"/>
    </row>
    <row r="9" spans="1:256" x14ac:dyDescent="0.25">
      <c r="A9" s="123" t="s">
        <v>446</v>
      </c>
      <c r="B9" s="449">
        <v>0</v>
      </c>
      <c r="C9" s="449">
        <v>0</v>
      </c>
      <c r="D9" s="123"/>
      <c r="E9" s="123"/>
      <c r="F9" s="123"/>
    </row>
    <row r="10" spans="1:256" s="259" customFormat="1" x14ac:dyDescent="0.25">
      <c r="A10" s="123" t="s">
        <v>441</v>
      </c>
      <c r="B10" s="449">
        <v>0</v>
      </c>
      <c r="C10" s="449">
        <v>0</v>
      </c>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row>
    <row r="11" spans="1:256" s="259" customFormat="1" x14ac:dyDescent="0.25">
      <c r="A11" s="123" t="s">
        <v>440</v>
      </c>
      <c r="B11" s="449">
        <v>0</v>
      </c>
      <c r="C11" s="449">
        <v>0</v>
      </c>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row>
    <row r="12" spans="1:256" s="292" customFormat="1" x14ac:dyDescent="0.25">
      <c r="A12" s="123" t="s">
        <v>447</v>
      </c>
      <c r="B12" s="449">
        <v>0</v>
      </c>
      <c r="C12" s="449">
        <v>0</v>
      </c>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3"/>
      <c r="FZ12" s="123"/>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3"/>
      <c r="HS12" s="123"/>
      <c r="HT12" s="123"/>
      <c r="HU12" s="123"/>
      <c r="HV12" s="123"/>
      <c r="HW12" s="123"/>
      <c r="HX12" s="123"/>
      <c r="HY12" s="123"/>
      <c r="HZ12" s="123"/>
      <c r="IA12" s="123"/>
      <c r="IB12" s="123"/>
      <c r="IC12" s="123"/>
      <c r="ID12" s="123"/>
      <c r="IE12" s="123"/>
      <c r="IF12" s="123"/>
      <c r="IG12" s="123"/>
      <c r="IH12" s="123"/>
      <c r="II12" s="123"/>
      <c r="IJ12" s="123"/>
      <c r="IK12" s="123"/>
      <c r="IL12" s="123"/>
      <c r="IM12" s="123"/>
      <c r="IN12" s="123"/>
      <c r="IO12" s="123"/>
      <c r="IP12" s="123"/>
      <c r="IQ12" s="123"/>
      <c r="IR12" s="123"/>
      <c r="IS12" s="123"/>
      <c r="IT12" s="123"/>
      <c r="IU12" s="123"/>
      <c r="IV12" s="123"/>
    </row>
    <row r="13" spans="1:256" s="292" customFormat="1" x14ac:dyDescent="0.25">
      <c r="A13" s="123" t="s">
        <v>442</v>
      </c>
      <c r="B13" s="449">
        <v>0</v>
      </c>
      <c r="C13" s="449">
        <v>0</v>
      </c>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row>
    <row r="14" spans="1:256" s="292" customFormat="1" x14ac:dyDescent="0.25">
      <c r="A14" s="123" t="s">
        <v>443</v>
      </c>
      <c r="B14" s="449">
        <v>0</v>
      </c>
      <c r="C14" s="449">
        <v>0</v>
      </c>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row>
    <row r="15" spans="1:256" s="292" customFormat="1" x14ac:dyDescent="0.25">
      <c r="A15" s="123" t="s">
        <v>444</v>
      </c>
      <c r="B15" s="449">
        <v>0</v>
      </c>
      <c r="C15" s="449">
        <v>0</v>
      </c>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c r="HC15" s="123"/>
      <c r="HD15" s="123"/>
      <c r="HE15" s="123"/>
      <c r="HF15" s="123"/>
      <c r="HG15" s="123"/>
      <c r="HH15" s="123"/>
      <c r="HI15" s="123"/>
      <c r="HJ15" s="123"/>
      <c r="HK15" s="123"/>
      <c r="HL15" s="123"/>
      <c r="HM15" s="123"/>
      <c r="HN15" s="123"/>
      <c r="HO15" s="123"/>
      <c r="HP15" s="123"/>
      <c r="HQ15" s="123"/>
      <c r="HR15" s="123"/>
      <c r="HS15" s="123"/>
      <c r="HT15" s="123"/>
      <c r="HU15" s="123"/>
      <c r="HV15" s="123"/>
      <c r="HW15" s="123"/>
      <c r="HX15" s="123"/>
      <c r="HY15" s="123"/>
      <c r="HZ15" s="123"/>
      <c r="IA15" s="123"/>
      <c r="IB15" s="123"/>
      <c r="IC15" s="123"/>
      <c r="ID15" s="123"/>
      <c r="IE15" s="123"/>
      <c r="IF15" s="123"/>
      <c r="IG15" s="123"/>
      <c r="IH15" s="123"/>
      <c r="II15" s="123"/>
      <c r="IJ15" s="123"/>
      <c r="IK15" s="123"/>
      <c r="IL15" s="123"/>
      <c r="IM15" s="123"/>
      <c r="IN15" s="123"/>
      <c r="IO15" s="123"/>
      <c r="IP15" s="123"/>
      <c r="IQ15" s="123"/>
      <c r="IR15" s="123"/>
      <c r="IS15" s="123"/>
      <c r="IT15" s="123"/>
      <c r="IU15" s="123"/>
      <c r="IV15" s="123"/>
    </row>
    <row r="16" spans="1:256" x14ac:dyDescent="0.25">
      <c r="A16" s="123" t="s">
        <v>445</v>
      </c>
      <c r="B16" s="471">
        <v>5072868.9730000002</v>
      </c>
      <c r="C16" s="471">
        <v>27704369.745999999</v>
      </c>
      <c r="D16" s="123"/>
      <c r="E16" s="123"/>
      <c r="F16" s="123"/>
    </row>
    <row r="17" spans="1:6" x14ac:dyDescent="0.25">
      <c r="A17" s="123" t="s">
        <v>448</v>
      </c>
      <c r="B17" s="449">
        <v>0</v>
      </c>
      <c r="C17" s="449">
        <v>0</v>
      </c>
      <c r="D17" s="123"/>
      <c r="E17" s="123"/>
      <c r="F17" s="123"/>
    </row>
    <row r="18" spans="1:6" ht="15.75" thickBot="1" x14ac:dyDescent="0.3">
      <c r="A18" s="39" t="s">
        <v>3</v>
      </c>
      <c r="B18" s="708">
        <f>SUM($B$9:B17)</f>
        <v>5072868.9730000002</v>
      </c>
      <c r="C18" s="708">
        <f>SUM($C$9:C17)</f>
        <v>27704369.745999999</v>
      </c>
      <c r="D18" s="123"/>
      <c r="E18" s="123"/>
      <c r="F18" s="123"/>
    </row>
    <row r="19" spans="1:6" ht="15.75" thickTop="1" x14ac:dyDescent="0.25">
      <c r="A19" s="123"/>
      <c r="B19" s="123"/>
      <c r="C19" s="123"/>
      <c r="D19" s="123"/>
      <c r="E19" s="123"/>
      <c r="F19" s="123"/>
    </row>
    <row r="20" spans="1:6" x14ac:dyDescent="0.25">
      <c r="A20" s="123"/>
      <c r="B20" s="123"/>
      <c r="C20" s="123"/>
      <c r="D20" s="123"/>
      <c r="E20" s="123"/>
      <c r="F20" s="123"/>
    </row>
    <row r="21" spans="1:6" x14ac:dyDescent="0.25">
      <c r="A21" s="123"/>
      <c r="B21" s="123"/>
      <c r="C21" s="123"/>
      <c r="D21" s="123"/>
      <c r="E21" s="123"/>
      <c r="F21" s="123"/>
    </row>
    <row r="22" spans="1:6" x14ac:dyDescent="0.25">
      <c r="A22" s="123"/>
      <c r="B22" s="123"/>
      <c r="C22" s="123"/>
      <c r="D22" s="123"/>
      <c r="E22" s="123"/>
      <c r="F22" s="123"/>
    </row>
    <row r="23" spans="1:6" x14ac:dyDescent="0.25">
      <c r="A23" s="123"/>
      <c r="B23" s="123"/>
      <c r="C23" s="123"/>
      <c r="D23" s="123"/>
      <c r="E23" s="123"/>
      <c r="F23" s="123"/>
    </row>
    <row r="24" spans="1:6" x14ac:dyDescent="0.25">
      <c r="A24" s="123"/>
      <c r="B24" s="123"/>
      <c r="C24" s="123"/>
      <c r="D24" s="123"/>
      <c r="E24" s="123"/>
      <c r="F24" s="123"/>
    </row>
    <row r="25" spans="1:6" x14ac:dyDescent="0.25">
      <c r="A25" s="123"/>
      <c r="B25" s="123"/>
      <c r="C25" s="123"/>
      <c r="D25" s="123"/>
      <c r="E25" s="123"/>
      <c r="F25" s="123"/>
    </row>
    <row r="26" spans="1:6" x14ac:dyDescent="0.25">
      <c r="A26" s="123"/>
      <c r="B26" s="123"/>
      <c r="C26" s="123"/>
      <c r="D26" s="123"/>
      <c r="E26" s="123"/>
      <c r="F26" s="123"/>
    </row>
    <row r="27" spans="1:6" x14ac:dyDescent="0.25">
      <c r="A27" s="123"/>
      <c r="B27" s="123"/>
      <c r="C27" s="123"/>
      <c r="D27" s="123"/>
      <c r="E27" s="123"/>
      <c r="F27" s="123"/>
    </row>
    <row r="28" spans="1:6" x14ac:dyDescent="0.25">
      <c r="A28" s="123"/>
      <c r="B28" s="123"/>
      <c r="C28" s="123"/>
      <c r="D28" s="123"/>
      <c r="E28" s="123"/>
      <c r="F28" s="123"/>
    </row>
    <row r="29" spans="1:6" x14ac:dyDescent="0.25">
      <c r="A29" s="123"/>
      <c r="B29" s="123"/>
      <c r="C29" s="123"/>
      <c r="D29" s="123"/>
      <c r="E29" s="123"/>
      <c r="F29" s="123"/>
    </row>
    <row r="30" spans="1:6" x14ac:dyDescent="0.25">
      <c r="A30" s="123"/>
      <c r="B30" s="123"/>
      <c r="C30" s="123"/>
      <c r="D30" s="123"/>
      <c r="E30" s="123"/>
      <c r="F30" s="123"/>
    </row>
    <row r="31" spans="1:6" x14ac:dyDescent="0.25">
      <c r="A31" s="123"/>
      <c r="B31" s="123"/>
      <c r="C31" s="123"/>
      <c r="D31" s="123"/>
      <c r="E31" s="123"/>
      <c r="F31" s="123"/>
    </row>
    <row r="32" spans="1:6" x14ac:dyDescent="0.25">
      <c r="A32" s="123"/>
      <c r="B32" s="123"/>
      <c r="C32" s="123"/>
      <c r="D32" s="123"/>
      <c r="E32" s="123"/>
      <c r="F32" s="123"/>
    </row>
    <row r="33" spans="1:6" x14ac:dyDescent="0.25">
      <c r="A33" s="123"/>
      <c r="B33" s="123"/>
      <c r="C33" s="123"/>
      <c r="D33" s="123"/>
      <c r="E33" s="123"/>
      <c r="F33" s="123"/>
    </row>
    <row r="34" spans="1:6" x14ac:dyDescent="0.25">
      <c r="A34" s="123"/>
      <c r="B34" s="123"/>
      <c r="C34" s="123"/>
      <c r="D34" s="123"/>
      <c r="E34" s="123"/>
      <c r="F34" s="123"/>
    </row>
    <row r="35" spans="1:6" x14ac:dyDescent="0.25">
      <c r="A35" s="123"/>
      <c r="B35" s="123"/>
      <c r="C35" s="123"/>
      <c r="D35" s="123"/>
      <c r="E35" s="123"/>
      <c r="F35" s="123"/>
    </row>
    <row r="36" spans="1:6" x14ac:dyDescent="0.25">
      <c r="A36" s="123"/>
      <c r="B36" s="123"/>
      <c r="C36" s="123"/>
      <c r="D36" s="123"/>
      <c r="E36" s="123"/>
      <c r="F36" s="123"/>
    </row>
    <row r="37" spans="1:6" x14ac:dyDescent="0.25">
      <c r="A37" s="123"/>
      <c r="B37" s="123"/>
      <c r="C37" s="123"/>
      <c r="D37" s="123"/>
      <c r="E37" s="123"/>
      <c r="F37" s="123"/>
    </row>
    <row r="38" spans="1:6" x14ac:dyDescent="0.25">
      <c r="A38" s="123"/>
      <c r="B38" s="123"/>
      <c r="C38" s="123"/>
      <c r="D38" s="123"/>
      <c r="E38" s="123"/>
      <c r="F38" s="123"/>
    </row>
    <row r="39" spans="1:6" x14ac:dyDescent="0.25">
      <c r="A39" s="123"/>
      <c r="B39" s="123"/>
      <c r="C39" s="123"/>
      <c r="D39" s="123"/>
      <c r="E39" s="123"/>
      <c r="F39" s="123"/>
    </row>
    <row r="40" spans="1:6" x14ac:dyDescent="0.25">
      <c r="A40" s="123"/>
      <c r="B40" s="123"/>
      <c r="C40" s="123"/>
      <c r="D40" s="123"/>
      <c r="E40" s="123"/>
      <c r="F40" s="123"/>
    </row>
    <row r="41" spans="1:6" x14ac:dyDescent="0.25">
      <c r="A41" s="123"/>
      <c r="B41" s="123"/>
      <c r="C41" s="123"/>
      <c r="D41" s="123"/>
      <c r="E41" s="123"/>
      <c r="F41" s="123"/>
    </row>
    <row r="42" spans="1:6" x14ac:dyDescent="0.25">
      <c r="A42" s="123"/>
      <c r="B42" s="123"/>
      <c r="C42" s="123"/>
      <c r="D42" s="123"/>
      <c r="E42" s="123"/>
      <c r="F42" s="123"/>
    </row>
    <row r="43" spans="1:6" x14ac:dyDescent="0.25">
      <c r="A43" s="123"/>
      <c r="B43" s="123"/>
      <c r="C43" s="123"/>
      <c r="D43" s="123"/>
      <c r="E43" s="123"/>
      <c r="F43" s="123"/>
    </row>
    <row r="44" spans="1:6" x14ac:dyDescent="0.25">
      <c r="A44" s="123"/>
      <c r="B44" s="123"/>
      <c r="C44" s="123"/>
      <c r="D44" s="123"/>
      <c r="E44" s="123"/>
      <c r="F44" s="123"/>
    </row>
    <row r="45" spans="1:6" x14ac:dyDescent="0.25">
      <c r="A45" s="123"/>
      <c r="B45" s="123"/>
      <c r="C45" s="123"/>
      <c r="D45" s="123"/>
      <c r="E45" s="123"/>
      <c r="F45" s="123"/>
    </row>
    <row r="46" spans="1:6" x14ac:dyDescent="0.25">
      <c r="A46" s="123"/>
      <c r="B46" s="123"/>
      <c r="C46" s="123"/>
      <c r="D46" s="123"/>
      <c r="E46" s="123"/>
      <c r="F46" s="123"/>
    </row>
    <row r="47" spans="1:6" x14ac:dyDescent="0.25">
      <c r="A47" s="123"/>
      <c r="B47" s="123"/>
      <c r="C47" s="123"/>
      <c r="D47" s="123"/>
      <c r="E47" s="123"/>
      <c r="F47" s="123"/>
    </row>
    <row r="48" spans="1:6" x14ac:dyDescent="0.25">
      <c r="A48" s="123"/>
      <c r="B48" s="123"/>
      <c r="C48" s="123"/>
      <c r="D48" s="123"/>
      <c r="E48" s="123"/>
      <c r="F48" s="123"/>
    </row>
    <row r="49" spans="1:6" x14ac:dyDescent="0.25">
      <c r="A49" s="123"/>
      <c r="B49" s="123"/>
      <c r="C49" s="123"/>
      <c r="D49" s="123"/>
      <c r="E49" s="123"/>
      <c r="F49" s="123"/>
    </row>
    <row r="50" spans="1:6" x14ac:dyDescent="0.25">
      <c r="A50" s="123"/>
      <c r="B50" s="123"/>
      <c r="C50" s="123"/>
      <c r="D50" s="123"/>
      <c r="E50" s="123"/>
      <c r="F50" s="123"/>
    </row>
    <row r="51" spans="1:6" x14ac:dyDescent="0.25">
      <c r="A51" s="123"/>
      <c r="B51" s="123"/>
      <c r="C51" s="123"/>
      <c r="D51" s="123"/>
      <c r="E51" s="123"/>
      <c r="F51" s="123"/>
    </row>
    <row r="52" spans="1:6" x14ac:dyDescent="0.25">
      <c r="A52" s="123"/>
      <c r="B52" s="123"/>
      <c r="C52" s="123"/>
      <c r="D52" s="123"/>
      <c r="E52" s="123"/>
      <c r="F52" s="123"/>
    </row>
    <row r="53" spans="1:6" x14ac:dyDescent="0.25">
      <c r="A53" s="123"/>
      <c r="B53" s="123"/>
      <c r="C53" s="123"/>
      <c r="D53" s="123"/>
      <c r="E53" s="123"/>
      <c r="F53" s="123"/>
    </row>
    <row r="54" spans="1:6" x14ac:dyDescent="0.25">
      <c r="A54" s="123"/>
      <c r="B54" s="123"/>
      <c r="C54" s="123"/>
      <c r="D54" s="123"/>
      <c r="E54" s="123"/>
      <c r="F54" s="123"/>
    </row>
    <row r="55" spans="1:6" x14ac:dyDescent="0.25">
      <c r="A55" s="123"/>
      <c r="B55" s="123"/>
      <c r="C55" s="123"/>
      <c r="D55" s="123"/>
      <c r="E55" s="123"/>
      <c r="F55" s="123"/>
    </row>
    <row r="56" spans="1:6" x14ac:dyDescent="0.25">
      <c r="A56" s="123"/>
      <c r="B56" s="123"/>
      <c r="C56" s="123"/>
      <c r="D56" s="123"/>
      <c r="E56" s="123"/>
      <c r="F56" s="123"/>
    </row>
    <row r="57" spans="1:6" x14ac:dyDescent="0.25">
      <c r="A57" s="123"/>
      <c r="B57" s="123"/>
      <c r="C57" s="123"/>
      <c r="D57" s="123"/>
      <c r="E57" s="123"/>
      <c r="F57" s="123"/>
    </row>
    <row r="58" spans="1:6" x14ac:dyDescent="0.25">
      <c r="A58" s="123"/>
      <c r="B58" s="123"/>
      <c r="C58" s="123"/>
      <c r="D58" s="123"/>
      <c r="E58" s="123"/>
      <c r="F58" s="123"/>
    </row>
    <row r="59" spans="1:6" x14ac:dyDescent="0.25">
      <c r="A59" s="123"/>
      <c r="B59" s="123"/>
      <c r="C59" s="123"/>
      <c r="D59" s="123"/>
      <c r="E59" s="123"/>
      <c r="F59" s="123"/>
    </row>
    <row r="60" spans="1:6" x14ac:dyDescent="0.25">
      <c r="A60" s="123"/>
      <c r="B60" s="123"/>
      <c r="C60" s="123"/>
      <c r="D60" s="123"/>
      <c r="E60" s="123"/>
      <c r="F60" s="123"/>
    </row>
    <row r="61" spans="1:6" x14ac:dyDescent="0.25">
      <c r="A61" s="123"/>
      <c r="B61" s="123"/>
      <c r="C61" s="123"/>
      <c r="D61" s="123"/>
      <c r="E61" s="123"/>
      <c r="F61" s="123"/>
    </row>
    <row r="62" spans="1:6" x14ac:dyDescent="0.25">
      <c r="A62" s="123"/>
      <c r="B62" s="123"/>
      <c r="C62" s="123"/>
      <c r="D62" s="123"/>
      <c r="E62" s="123"/>
      <c r="F62" s="123"/>
    </row>
    <row r="63" spans="1:6" x14ac:dyDescent="0.25">
      <c r="A63" s="123"/>
      <c r="B63" s="123"/>
      <c r="C63" s="123"/>
      <c r="D63" s="123"/>
      <c r="E63" s="123"/>
      <c r="F63" s="123"/>
    </row>
    <row r="64" spans="1:6" x14ac:dyDescent="0.25">
      <c r="A64" s="123"/>
      <c r="B64" s="123"/>
      <c r="C64" s="123"/>
      <c r="D64" s="123"/>
      <c r="E64" s="123"/>
      <c r="F64" s="123"/>
    </row>
    <row r="65" spans="1:6" x14ac:dyDescent="0.25">
      <c r="A65" s="123"/>
      <c r="B65" s="123"/>
      <c r="C65" s="123"/>
      <c r="D65" s="123"/>
      <c r="E65" s="123"/>
      <c r="F65" s="123"/>
    </row>
    <row r="66" spans="1:6" x14ac:dyDescent="0.25">
      <c r="A66" s="123"/>
      <c r="B66" s="123"/>
      <c r="C66" s="123"/>
      <c r="D66" s="123"/>
      <c r="E66" s="123"/>
      <c r="F66" s="123"/>
    </row>
    <row r="67" spans="1:6" x14ac:dyDescent="0.25">
      <c r="A67" s="123"/>
      <c r="B67" s="123"/>
      <c r="C67" s="123"/>
      <c r="D67" s="123"/>
      <c r="E67" s="123"/>
      <c r="F67" s="123"/>
    </row>
    <row r="68" spans="1:6" x14ac:dyDescent="0.25">
      <c r="A68" s="123"/>
      <c r="B68" s="123"/>
      <c r="C68" s="123"/>
      <c r="D68" s="123"/>
      <c r="E68" s="123"/>
      <c r="F68" s="123"/>
    </row>
    <row r="69" spans="1:6" x14ac:dyDescent="0.25">
      <c r="A69" s="123"/>
      <c r="B69" s="123"/>
      <c r="C69" s="123"/>
      <c r="D69" s="123"/>
      <c r="E69" s="123"/>
      <c r="F69" s="123"/>
    </row>
    <row r="70" spans="1:6" x14ac:dyDescent="0.25">
      <c r="A70" s="123"/>
      <c r="B70" s="123"/>
      <c r="C70" s="123"/>
      <c r="D70" s="123"/>
      <c r="E70" s="123"/>
      <c r="F70" s="123"/>
    </row>
  </sheetData>
  <mergeCells count="2">
    <mergeCell ref="A4:C4"/>
    <mergeCell ref="B7:C7"/>
  </mergeCells>
  <hyperlinks>
    <hyperlink ref="D1" location="BG!A1" display="BG"/>
  </hyperlinks>
  <pageMargins left="0.7" right="0.7" top="0.75" bottom="0.75" header="0.3" footer="0.3"/>
  <drawing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oGMv2sLqvbgL/52MabhICp9LcWVcbwaKHpx6RMQ8i0Y=</DigestValue>
    </Reference>
    <Reference Type="http://www.w3.org/2000/09/xmldsig#Object" URI="#idOfficeObject">
      <DigestMethod Algorithm="http://www.w3.org/2001/04/xmlenc#sha256"/>
      <DigestValue>S+OermlFRrZLM2s8vZgKkRumn2kTAYYGeZV7Y973C0w=</DigestValue>
    </Reference>
    <Reference Type="http://uri.etsi.org/01903#SignedProperties" URI="#idSignedProperties">
      <Transforms>
        <Transform Algorithm="http://www.w3.org/TR/2001/REC-xml-c14n-20010315"/>
      </Transforms>
      <DigestMethod Algorithm="http://www.w3.org/2001/04/xmlenc#sha256"/>
      <DigestValue>IaJXIlVIpQr46bUsaNtkk2aZ0xEDuCoXDyyPCmDS9F0=</DigestValue>
    </Reference>
  </SignedInfo>
  <SignatureValue>Sqt7anOyuf13NPZtTlbzbPEPlxhutXuCtR53Qfh2QCeVyZVojYb0tUPaXm5sKQybNJrCa+vc1FTS
JL0kZnlfsMqBQJLdCyIn7+I5SeldxHEJtxvz6N5TLc2sdShwTW7a/l5VuUAIuMcRa1robunaqSPT
wMqhOvfuLyCxksDLSHj2iP5bBW/K8noHH98cxllmDNyVPbuDLsNNpC+EA6f7kAAsGf3ksk1ZHKmD
MFeRuhk1B/9lOtivccrCboB9r2WFdPmRai99WelLgiscTqcyzFzJrpoiAFGmfs4DTT+nYj6Sy5qR
ByfPNtrYtjpm93SilmNkNgelneqhEBU17lqd+w==</SignatureValue>
  <KeyInfo>
    <X509Data>
      <X509Certificate>MIIIBzCCBe+gAwIBAgIIOTruW9CKRtkwDQYJKoZIhvcNAQELBQAwWzEXMBUGA1UEBRMOUlVDIDgwMDUwMTcyLTExGjAYBgNVBAMTEUNBLURPQ1VNRU5UQSBTLkEuMRcwFQYDVQQKEw5ET0NVTUVOVEEgUy5BLjELMAkGA1UEBhMCUFkwHhcNMjEwMzAyMTY1ODAwWhcNMjMwMzAyMTcwODAwWjCBqTELMAkGA1UEBhMCUFkxGjAYBgNVBAQMEUJPUkdPR05PTiBNT05URVJPMRIwEAYDVQQFEwlDSTEwMjY5MDAxFTATBgNVBCoMDEdVU1RBVk8gTFVJUzEXMBUGA1UECgwOUEVSU09OQSBGSVNJQ0ExETAPBgNVBAsMCEZJUk1BIEYyMScwJQYDVQQDDB5HVVNUQVZPIExVSVMgQk9SR09HTk9OIE1PTlRFUk8wggEiMA0GCSqGSIb3DQEBAQUAA4IBDwAwggEKAoIBAQDjp666IFFdvrAShCyKdrioeZrKCCLQHTJzvBv0447maGx4eBJtnJKK/mg2ystdgWzDZXTMHQCcU/+GDer1PhwpgX3LjUNkH32VIV5mohncG9cW1/DLFwGKUmpP+DPKmc6LluPAD4U8srYyNE3Nxe/G4Zcu3vnUmSZEV5WwoSpo4CPl9PJ1KVJN8jJY0RRByJc7gh9NLZXCBevb7VovQpzWZb8f9+XxR81h3gd+BaWMMvwDmisQg9+MicVJAC4U3Xrbcv2RLJuMd6OENFzx+Wa2dLZYwh3fwcojmZuWLrbP+9Aw1A7BwnXhCP3fK6/F1+MwdNiu5x2YnuFZZRG+coXnAgMBAAGjggN+MIIDejAMBgNVHRMBAf8EAjAAMA4GA1UdDwEB/wQEAwIF4DAqBgNVHSUBAf8EIDAeBggrBgEFBQcDAQYIKwYBBQUHAwIGCCsGAQUFBwMEMB0GA1UdDgQWBBTrqEevhiC5r7ox/YAJMPe5GJg1Y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gYDVR0RBBswGYEXZ3VzdGF2b2JAbmVnb2Zpbi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jYogjzi9KpDrUM/iOWrVWDp7PlVFM0ic0oLeWP5IUpgQAAxYYJFYjMWx2VIuUym3BYALUx7ukrNMiosm3/QUk2Zlv7VxQZBPeD/hqf5dh5lKsrK6iBP+FbryrysKtBKRotCQxfV+N7wvrAV9mqGysQtohvYRQWJ68RL1YnZLQaPQvXbzbttUiZA+gsvL8pXBnIRmgJ4FyumEWVIBLyap2mOzfYdhyKbQ/6Vzh7wYH5x53Repq2BBaAquVHQft+g88/iT8/Wz7jYwonAVH8nFc4Xa77Du9tXryq8C7fLdAST2UH/KICWfwmfbw+3g26lfEki6sZoeKMjIRylBXfwa1jxW7JHj9ov+uB27jwtkWwpwbWZBV6D6nFq+3GwaTDOPR1EPDpipldlvQsoaGnNP+qoYpZ38E5YO3DQwpP2WZySne8VvUVPHygHvBzttXXoOswcxzJwb++BxqVaY+l7iw7arU8HSIoB7NP3u4H+OJd1fDW7AmpMFsrg2KnGsv66QuLsid4V4lyuQG9E/DAGZs3IU5L5mDgPyOOzlzr3S6pK/uIRQ+cL4FcyXWNjkjB4YhBNrSRhQMik224jFOWya5qtI4OhrFYBbeFAb20frXuKcsP8GtjlVA841RfoTcrfbIPUER7BUhV3GXtNwkNbbWJfcSDwiw38aIgU0lCqIq9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Transform>
          <Transform Algorithm="http://www.w3.org/TR/2001/REC-xml-c14n-20010315"/>
        </Transforms>
        <DigestMethod Algorithm="http://www.w3.org/2001/04/xmlenc#sha256"/>
        <DigestValue>XTm5RcAjDLtJVy7diVztEWKUr6TRNuvbKaG3mXm85f8=</DigestValue>
      </Reference>
      <Reference URI="/xl/calcChain.xml?ContentType=application/vnd.openxmlformats-officedocument.spreadsheetml.calcChain+xml">
        <DigestMethod Algorithm="http://www.w3.org/2001/04/xmlenc#sha256"/>
        <DigestValue>Q0MNvaZjIpKmQbJpZEwhX0X890XxtOGVuGl7vkxKbq8=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5J44/KSJd6LA4b/YmjQMo7BjnzB/vFLMSn6BAVFYuV0=</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MXIbGfyNCNE9/UCG0pgItebfblVWgyNs2Tr3vBU4e+s=</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drawing1.xml?ContentType=application/vnd.openxmlformats-officedocument.drawing+xml">
        <DigestMethod Algorithm="http://www.w3.org/2001/04/xmlenc#sha256"/>
        <DigestValue>vHDo8i3nPbSj7IgbVjZufrmwdDoUIxOSE5e6AXdBeJE=</DigestValue>
      </Reference>
      <Reference URI="/xl/drawings/drawing10.xml?ContentType=application/vnd.openxmlformats-officedocument.drawing+xml">
        <DigestMethod Algorithm="http://www.w3.org/2001/04/xmlenc#sha256"/>
        <DigestValue>hN1+ijpm4u5I5CWqfB2hV+2ojXkdmiX4TiZCdxDERZc=</DigestValue>
      </Reference>
      <Reference URI="/xl/drawings/drawing11.xml?ContentType=application/vnd.openxmlformats-officedocument.drawing+xml">
        <DigestMethod Algorithm="http://www.w3.org/2001/04/xmlenc#sha256"/>
        <DigestValue>6CkqQsjEkpV+u0eK4RZNIYTRHo4l7YJ5kOzKO3B3PEI=</DigestValue>
      </Reference>
      <Reference URI="/xl/drawings/drawing12.xml?ContentType=application/vnd.openxmlformats-officedocument.drawing+xml">
        <DigestMethod Algorithm="http://www.w3.org/2001/04/xmlenc#sha256"/>
        <DigestValue>yMX6Kpy9XKPiA4Trhh51tV39RoyE6w6seEuVg9phokM=</DigestValue>
      </Reference>
      <Reference URI="/xl/drawings/drawing13.xml?ContentType=application/vnd.openxmlformats-officedocument.drawing+xml">
        <DigestMethod Algorithm="http://www.w3.org/2001/04/xmlenc#sha256"/>
        <DigestValue>d/VoLQvIvn93bE7WcUrL0XAmWYoLtN4pQbncbTri7Wo=</DigestValue>
      </Reference>
      <Reference URI="/xl/drawings/drawing14.xml?ContentType=application/vnd.openxmlformats-officedocument.drawing+xml">
        <DigestMethod Algorithm="http://www.w3.org/2001/04/xmlenc#sha256"/>
        <DigestValue>A4hm4oM9p98YTGG6FBodhp1NOz+wGSplSnJ/OZAoSxQ=</DigestValue>
      </Reference>
      <Reference URI="/xl/drawings/drawing15.xml?ContentType=application/vnd.openxmlformats-officedocument.drawing+xml">
        <DigestMethod Algorithm="http://www.w3.org/2001/04/xmlenc#sha256"/>
        <DigestValue>bis88mUd9Ahmg6PnaoLPfHsNPuFn2ALfVskAqaXURso=</DigestValue>
      </Reference>
      <Reference URI="/xl/drawings/drawing16.xml?ContentType=application/vnd.openxmlformats-officedocument.drawing+xml">
        <DigestMethod Algorithm="http://www.w3.org/2001/04/xmlenc#sha256"/>
        <DigestValue>mVifmcWUmQog7//1t1bh/D5hG/DcOdOQKvanKPMizss=</DigestValue>
      </Reference>
      <Reference URI="/xl/drawings/drawing17.xml?ContentType=application/vnd.openxmlformats-officedocument.drawing+xml">
        <DigestMethod Algorithm="http://www.w3.org/2001/04/xmlenc#sha256"/>
        <DigestValue>Al1Tz9iqVRk9QaHT+0LUUwwG4Tujmz8GDRGRKYw/XJM=</DigestValue>
      </Reference>
      <Reference URI="/xl/drawings/drawing18.xml?ContentType=application/vnd.openxmlformats-officedocument.drawing+xml">
        <DigestMethod Algorithm="http://www.w3.org/2001/04/xmlenc#sha256"/>
        <DigestValue>EWP5/osW+AYSpu/P1bL1bnskhRfcxIyBClelAdpN1Ys=</DigestValue>
      </Reference>
      <Reference URI="/xl/drawings/drawing19.xml?ContentType=application/vnd.openxmlformats-officedocument.drawing+xml">
        <DigestMethod Algorithm="http://www.w3.org/2001/04/xmlenc#sha256"/>
        <DigestValue>sT8uw/ZAIIMuG/H55743zZbprAQoRHrEIBtQgZzC4Oc=</DigestValue>
      </Reference>
      <Reference URI="/xl/drawings/drawing2.xml?ContentType=application/vnd.openxmlformats-officedocument.drawing+xml">
        <DigestMethod Algorithm="http://www.w3.org/2001/04/xmlenc#sha256"/>
        <DigestValue>V9LYHgCHYwH9iQmKOQwPsnY9mRqC1TG8Z2c3mWZCgpo=</DigestValue>
      </Reference>
      <Reference URI="/xl/drawings/drawing20.xml?ContentType=application/vnd.openxmlformats-officedocument.drawing+xml">
        <DigestMethod Algorithm="http://www.w3.org/2001/04/xmlenc#sha256"/>
        <DigestValue>4HISAFgjFjniz1yvLcD2+ujwl2oYRg0mfllXj8afxs0=</DigestValue>
      </Reference>
      <Reference URI="/xl/drawings/drawing21.xml?ContentType=application/vnd.openxmlformats-officedocument.drawing+xml">
        <DigestMethod Algorithm="http://www.w3.org/2001/04/xmlenc#sha256"/>
        <DigestValue>K7aLi3zKsgfcZc0fGIlkNiHPEu9Yb8dmd58ngDEo3nc=</DigestValue>
      </Reference>
      <Reference URI="/xl/drawings/drawing22.xml?ContentType=application/vnd.openxmlformats-officedocument.drawing+xml">
        <DigestMethod Algorithm="http://www.w3.org/2001/04/xmlenc#sha256"/>
        <DigestValue>lyFkVQFjfcdZ1USuC70m8lcvSfGdXDfQLtcm3qZaAGI=</DigestValue>
      </Reference>
      <Reference URI="/xl/drawings/drawing23.xml?ContentType=application/vnd.openxmlformats-officedocument.drawing+xml">
        <DigestMethod Algorithm="http://www.w3.org/2001/04/xmlenc#sha256"/>
        <DigestValue>m771v5Dnml16/RxgyjQrOgxcvgFh2PBGX9t7E8FB+VI=</DigestValue>
      </Reference>
      <Reference URI="/xl/drawings/drawing24.xml?ContentType=application/vnd.openxmlformats-officedocument.drawing+xml">
        <DigestMethod Algorithm="http://www.w3.org/2001/04/xmlenc#sha256"/>
        <DigestValue>YwYR4eBbFovXp/X0Znoihmd1iPVPPOmSzBuYdc0DvPo=</DigestValue>
      </Reference>
      <Reference URI="/xl/drawings/drawing25.xml?ContentType=application/vnd.openxmlformats-officedocument.drawing+xml">
        <DigestMethod Algorithm="http://www.w3.org/2001/04/xmlenc#sha256"/>
        <DigestValue>WMY8qZ0/s5dtPUgkg8asFwgqp0NPP9ajzqzJkiygGMU=</DigestValue>
      </Reference>
      <Reference URI="/xl/drawings/drawing26.xml?ContentType=application/vnd.openxmlformats-officedocument.drawing+xml">
        <DigestMethod Algorithm="http://www.w3.org/2001/04/xmlenc#sha256"/>
        <DigestValue>r79WK2obgLMt639+Pal8NEggrd4S3qq8U/O8CfTKebw=</DigestValue>
      </Reference>
      <Reference URI="/xl/drawings/drawing27.xml?ContentType=application/vnd.openxmlformats-officedocument.drawing+xml">
        <DigestMethod Algorithm="http://www.w3.org/2001/04/xmlenc#sha256"/>
        <DigestValue>a/gC6WUteb2RQg6RrzxuKAkgUuq2REpNNRI8TlkFzHw=</DigestValue>
      </Reference>
      <Reference URI="/xl/drawings/drawing28.xml?ContentType=application/vnd.openxmlformats-officedocument.drawing+xml">
        <DigestMethod Algorithm="http://www.w3.org/2001/04/xmlenc#sha256"/>
        <DigestValue>/cRzmN1Au4+N9lrhPEL7I3qAMXhJKxpz8LKy1irBk6A=</DigestValue>
      </Reference>
      <Reference URI="/xl/drawings/drawing29.xml?ContentType=application/vnd.openxmlformats-officedocument.drawing+xml">
        <DigestMethod Algorithm="http://www.w3.org/2001/04/xmlenc#sha256"/>
        <DigestValue>MDRdfrKTxGOoqd3sQQ7cr7QTdEJgxJl9JRHE0P45Ugw=</DigestValue>
      </Reference>
      <Reference URI="/xl/drawings/drawing3.xml?ContentType=application/vnd.openxmlformats-officedocument.drawing+xml">
        <DigestMethod Algorithm="http://www.w3.org/2001/04/xmlenc#sha256"/>
        <DigestValue>Po4ycDmEwgQXWKe1gTuDLLLpI8JSBMqbVnwuiRsGets=</DigestValue>
      </Reference>
      <Reference URI="/xl/drawings/drawing30.xml?ContentType=application/vnd.openxmlformats-officedocument.drawing+xml">
        <DigestMethod Algorithm="http://www.w3.org/2001/04/xmlenc#sha256"/>
        <DigestValue>SgdTXvAMcvswvBhI/oOfa5HKLSQXyHHbCj8QZGqDymk=</DigestValue>
      </Reference>
      <Reference URI="/xl/drawings/drawing31.xml?ContentType=application/vnd.openxmlformats-officedocument.drawing+xml">
        <DigestMethod Algorithm="http://www.w3.org/2001/04/xmlenc#sha256"/>
        <DigestValue>L0hBm1w5IdqptHVVi242AjohjmN2AEu32NjSSeTZOf4=</DigestValue>
      </Reference>
      <Reference URI="/xl/drawings/drawing32.xml?ContentType=application/vnd.openxmlformats-officedocument.drawing+xml">
        <DigestMethod Algorithm="http://www.w3.org/2001/04/xmlenc#sha256"/>
        <DigestValue>TQbZzIgqlLyeYn3bcxZlI7qoa1Q2csVt1fVmJaZRz+o=</DigestValue>
      </Reference>
      <Reference URI="/xl/drawings/drawing33.xml?ContentType=application/vnd.openxmlformats-officedocument.drawing+xml">
        <DigestMethod Algorithm="http://www.w3.org/2001/04/xmlenc#sha256"/>
        <DigestValue>oMhNSeLLkLem2lcQoGNTx6wSYHYrkMMEchb47933OqM=</DigestValue>
      </Reference>
      <Reference URI="/xl/drawings/drawing34.xml?ContentType=application/vnd.openxmlformats-officedocument.drawing+xml">
        <DigestMethod Algorithm="http://www.w3.org/2001/04/xmlenc#sha256"/>
        <DigestValue>Fl6bTfM6RIgHDEChSyMNFHT5h3BzHYcgrQYJuseuKww=</DigestValue>
      </Reference>
      <Reference URI="/xl/drawings/drawing35.xml?ContentType=application/vnd.openxmlformats-officedocument.drawing+xml">
        <DigestMethod Algorithm="http://www.w3.org/2001/04/xmlenc#sha256"/>
        <DigestValue>SeMMgAMO66FDxdF/pYCd0CL0Vt0YLO9CJQMVmMnEt0U=</DigestValue>
      </Reference>
      <Reference URI="/xl/drawings/drawing36.xml?ContentType=application/vnd.openxmlformats-officedocument.drawing+xml">
        <DigestMethod Algorithm="http://www.w3.org/2001/04/xmlenc#sha256"/>
        <DigestValue>vn/Pks3uwfC+V3eXeSVIEWbdlaEkxtu2Z16vsC1D1z8=</DigestValue>
      </Reference>
      <Reference URI="/xl/drawings/drawing37.xml?ContentType=application/vnd.openxmlformats-officedocument.drawing+xml">
        <DigestMethod Algorithm="http://www.w3.org/2001/04/xmlenc#sha256"/>
        <DigestValue>f/NvO7P+2pijfJ4XFACcwYT9hJyZ/ASz2nLbZ8LniTo=</DigestValue>
      </Reference>
      <Reference URI="/xl/drawings/drawing38.xml?ContentType=application/vnd.openxmlformats-officedocument.drawing+xml">
        <DigestMethod Algorithm="http://www.w3.org/2001/04/xmlenc#sha256"/>
        <DigestValue>Lwox2+hW8pekyPIkJs/whkKczHmq2O5gmRCOwgffyj0=</DigestValue>
      </Reference>
      <Reference URI="/xl/drawings/drawing39.xml?ContentType=application/vnd.openxmlformats-officedocument.drawing+xml">
        <DigestMethod Algorithm="http://www.w3.org/2001/04/xmlenc#sha256"/>
        <DigestValue>NHR31Lz9zEPocwmhya8u+ZOFmme7hvTn3wg8lW7Uso8=</DigestValue>
      </Reference>
      <Reference URI="/xl/drawings/drawing4.xml?ContentType=application/vnd.openxmlformats-officedocument.drawing+xml">
        <DigestMethod Algorithm="http://www.w3.org/2001/04/xmlenc#sha256"/>
        <DigestValue>tZmOgcEOP2c3x3zot7Ann5L/xgwAma7zdKvfYadiDt0=</DigestValue>
      </Reference>
      <Reference URI="/xl/drawings/drawing40.xml?ContentType=application/vnd.openxmlformats-officedocument.drawing+xml">
        <DigestMethod Algorithm="http://www.w3.org/2001/04/xmlenc#sha256"/>
        <DigestValue>jnAp3UE4GvPf+CWq/MZfrxisS61fSjjGZMt1rd5Mrw0=</DigestValue>
      </Reference>
      <Reference URI="/xl/drawings/drawing41.xml?ContentType=application/vnd.openxmlformats-officedocument.drawing+xml">
        <DigestMethod Algorithm="http://www.w3.org/2001/04/xmlenc#sha256"/>
        <DigestValue>LqU3OTdzL2vWZ/eYw1D/ARGzSpDhcLxPL3w0q2825Bc=</DigestValue>
      </Reference>
      <Reference URI="/xl/drawings/drawing42.xml?ContentType=application/vnd.openxmlformats-officedocument.drawing+xml">
        <DigestMethod Algorithm="http://www.w3.org/2001/04/xmlenc#sha256"/>
        <DigestValue>FhS8yXEcJ6V0xgUkJztMujIvcuA+nURgsPDCnpiBsVQ=</DigestValue>
      </Reference>
      <Reference URI="/xl/drawings/drawing43.xml?ContentType=application/vnd.openxmlformats-officedocument.drawing+xml">
        <DigestMethod Algorithm="http://www.w3.org/2001/04/xmlenc#sha256"/>
        <DigestValue>vWqT9oo+uZL0r8b+BFufjU47VMdqXqQYPjhuWqXdWk8=</DigestValue>
      </Reference>
      <Reference URI="/xl/drawings/drawing44.xml?ContentType=application/vnd.openxmlformats-officedocument.drawing+xml">
        <DigestMethod Algorithm="http://www.w3.org/2001/04/xmlenc#sha256"/>
        <DigestValue>6JDDWtsP/cDvzoTZ0XHJkOcL9jXiWAvKtFPommgXmUA=</DigestValue>
      </Reference>
      <Reference URI="/xl/drawings/drawing45.xml?ContentType=application/vnd.openxmlformats-officedocument.drawing+xml">
        <DigestMethod Algorithm="http://www.w3.org/2001/04/xmlenc#sha256"/>
        <DigestValue>+51Bo2wXzpF++m2vc4a4c1uf7zrAKBK4hvd5nQo2PBc=</DigestValue>
      </Reference>
      <Reference URI="/xl/drawings/drawing46.xml?ContentType=application/vnd.openxmlformats-officedocument.drawing+xml">
        <DigestMethod Algorithm="http://www.w3.org/2001/04/xmlenc#sha256"/>
        <DigestValue>UhQH0ElrW2TgFZCNJOJ3EOgqe6k99sJKP8LLctEU2tk=</DigestValue>
      </Reference>
      <Reference URI="/xl/drawings/drawing47.xml?ContentType=application/vnd.openxmlformats-officedocument.drawing+xml">
        <DigestMethod Algorithm="http://www.w3.org/2001/04/xmlenc#sha256"/>
        <DigestValue>lf4N1Myj1ILBhn8XH2DUbd1cFwfFAkNqToKtuQ7CsH8=</DigestValue>
      </Reference>
      <Reference URI="/xl/drawings/drawing5.xml?ContentType=application/vnd.openxmlformats-officedocument.drawing+xml">
        <DigestMethod Algorithm="http://www.w3.org/2001/04/xmlenc#sha256"/>
        <DigestValue>zN24M8E+nPikE6sqkVLSKaUZY36Y1CZiANA9nmuFjYI=</DigestValue>
      </Reference>
      <Reference URI="/xl/drawings/drawing6.xml?ContentType=application/vnd.openxmlformats-officedocument.drawing+xml">
        <DigestMethod Algorithm="http://www.w3.org/2001/04/xmlenc#sha256"/>
        <DigestValue>k8Q5iPXKEVct+9nBB+LQDVdy3B8XSQsQCuT7/Hp9gAE=</DigestValue>
      </Reference>
      <Reference URI="/xl/drawings/drawing7.xml?ContentType=application/vnd.openxmlformats-officedocument.drawing+xml">
        <DigestMethod Algorithm="http://www.w3.org/2001/04/xmlenc#sha256"/>
        <DigestValue>Dg1Lzou8Vn7jVyUeMw4NoRzBNacQ9UocqCMj9mxx1/4=</DigestValue>
      </Reference>
      <Reference URI="/xl/drawings/drawing8.xml?ContentType=application/vnd.openxmlformats-officedocument.drawing+xml">
        <DigestMethod Algorithm="http://www.w3.org/2001/04/xmlenc#sha256"/>
        <DigestValue>iCIXD0YNQORidQn1szLejArL+FNsZzQ7ldIamzV8UMQ=</DigestValue>
      </Reference>
      <Reference URI="/xl/drawings/drawing9.xml?ContentType=application/vnd.openxmlformats-officedocument.drawing+xml">
        <DigestMethod Algorithm="http://www.w3.org/2001/04/xmlenc#sha256"/>
        <DigestValue>iU3Ol++7dA2FL9eP0+EQMJimoA6/haDOW+kBXf7L8Gs=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nNdtToCyLrRYWZfhcW/7nLY8AYzRnAi9ypTvfLK8yzg=</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HTS300lQGDlk+MfHgIuLeJkenBPS47RQ3xm//T/J2sc=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n5RCuDtTgbfx6gM1jae7WBqbrsQKdN6GSGUR52gPk7A=</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X3EtYllnFoaKEw7Tw0bNOvriyHqAzVq8twNuwJIBPxU=</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6fKzEJ8mshlLVALUgoExoLXjB3Nsj3v209Zq6btkSY4=</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Z7oPw6R7No62hayvTlMi5PYCHgD7Shg6qtWGfkOIMT8=</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0+HKp5UiGaFx8+DzqVnMnAxN1MO0MZb7IctkQURuaSg=</DigestValue>
      </Reference>
      <Reference URI="/xl/externalLinks/externalLink1.xml?ContentType=application/vnd.openxmlformats-officedocument.spreadsheetml.externalLink+xml">
        <DigestMethod Algorithm="http://www.w3.org/2001/04/xmlenc#sha256"/>
        <DigestValue>gnxBHzBduqFNBgyv7H1bqWiAMobpecJfs9K5XHb72YQ=</DigestValue>
      </Reference>
      <Reference URI="/xl/externalLinks/externalLink2.xml?ContentType=application/vnd.openxmlformats-officedocument.spreadsheetml.externalLink+xml">
        <DigestMethod Algorithm="http://www.w3.org/2001/04/xmlenc#sha256"/>
        <DigestValue>6abysXUOzPEGsPOfi6Q1G0iqM4hWlMtSpZLD+sKJhME=</DigestValue>
      </Reference>
      <Reference URI="/xl/externalLinks/externalLink3.xml?ContentType=application/vnd.openxmlformats-officedocument.spreadsheetml.externalLink+xml">
        <DigestMethod Algorithm="http://www.w3.org/2001/04/xmlenc#sha256"/>
        <DigestValue>heKQ6rHGfHBxEnaGCVNoDsf2Ql2K2mw+9Uig9fq18VY=</DigestValue>
      </Reference>
      <Reference URI="/xl/externalLinks/externalLink4.xml?ContentType=application/vnd.openxmlformats-officedocument.spreadsheetml.externalLink+xml">
        <DigestMethod Algorithm="http://www.w3.org/2001/04/xmlenc#sha256"/>
        <DigestValue>JhRNuQShnbzoIdkNVGFOvXKMp2rCrSiMTZhsiqD1rsE=</DigestValue>
      </Reference>
      <Reference URI="/xl/externalLinks/externalLink5.xml?ContentType=application/vnd.openxmlformats-officedocument.spreadsheetml.externalLink+xml">
        <DigestMethod Algorithm="http://www.w3.org/2001/04/xmlenc#sha256"/>
        <DigestValue>W+AVPsGAFCvSzPdq4v5OC5fSKMEb1ZHkUY0+KxovhpY=</DigestValue>
      </Reference>
      <Reference URI="/xl/externalLinks/externalLink6.xml?ContentType=application/vnd.openxmlformats-officedocument.spreadsheetml.externalLink+xml">
        <DigestMethod Algorithm="http://www.w3.org/2001/04/xmlenc#sha256"/>
        <DigestValue>7u5LpxsyIwS79jOb+whDqzSErETjPi9K3BM9tD+S1+E=</DigestValue>
      </Reference>
      <Reference URI="/xl/externalLinks/externalLink7.xml?ContentType=application/vnd.openxmlformats-officedocument.spreadsheetml.externalLink+xml">
        <DigestMethod Algorithm="http://www.w3.org/2001/04/xmlenc#sha256"/>
        <DigestValue>rKIs3vtfau+jg9Ra6Fa1n/9hWPdb0RkrMu3LArYoGWw=</DigestValue>
      </Reference>
      <Reference URI="/xl/media/image1.jpeg?ContentType=image/jpeg">
        <DigestMethod Algorithm="http://www.w3.org/2001/04/xmlenc#sha256"/>
        <DigestValue>uNFBI25vJ0QwZIkEhW50Js70TtBqJFCDzdOvl5Lk0JE=</DigestValue>
      </Reference>
      <Reference URI="/xl/media/image2.emf?ContentType=image/x-emf">
        <DigestMethod Algorithm="http://www.w3.org/2001/04/xmlenc#sha256"/>
        <DigestValue>n9NiYkbnHKobqiGQJShD5wvxuDlKQ41js8x7Z01+ezI=</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kF5ZZIJqhfGzJ/MsJ4GmTO8c/Lu25qDRfABMjxEfjBg=</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tVOuYuRrdzbo8LP45TcsSYVclOdSaPaGljr1PpHM/4g=</DigestValue>
      </Reference>
      <Reference URI="/xl/printerSettings/printerSettings13.bin?ContentType=application/vnd.openxmlformats-officedocument.spreadsheetml.printerSettings">
        <DigestMethod Algorithm="http://www.w3.org/2001/04/xmlenc#sha256"/>
        <DigestValue>hn9N2FuhLED1G+oO9NyaIcvvOOi+Obt7ukBjap+G5yY=</DigestValue>
      </Reference>
      <Reference URI="/xl/printerSettings/printerSettings14.bin?ContentType=application/vnd.openxmlformats-officedocument.spreadsheetml.printerSettings">
        <DigestMethod Algorithm="http://www.w3.org/2001/04/xmlenc#sha256"/>
        <DigestValue>akHyixeXryQ1BBml1QzWyxPvdav7SNQR62N+Fak77QQ=</DigestValue>
      </Reference>
      <Reference URI="/xl/printerSettings/printerSettings15.bin?ContentType=application/vnd.openxmlformats-officedocument.spreadsheetml.printerSettings">
        <DigestMethod Algorithm="http://www.w3.org/2001/04/xmlenc#sha256"/>
        <DigestValue>jqnpqOdrZNpPDlsA6eGCQZiw1dum7FB9Gc4KLWxc6MM=</DigestValue>
      </Reference>
      <Reference URI="/xl/printerSettings/printerSettings16.bin?ContentType=application/vnd.openxmlformats-officedocument.spreadsheetml.printerSettings">
        <DigestMethod Algorithm="http://www.w3.org/2001/04/xmlenc#sha256"/>
        <DigestValue>uixKkHxT7c7vuGcgO7TroOm8W22jxRIFIfGA5u30LXw=</DigestValue>
      </Reference>
      <Reference URI="/xl/printerSettings/printerSettings17.bin?ContentType=application/vnd.openxmlformats-officedocument.spreadsheetml.printerSettings">
        <DigestMethod Algorithm="http://www.w3.org/2001/04/xmlenc#sha256"/>
        <DigestValue>akHyixeXryQ1BBml1QzWyxPvdav7SNQR62N+Fak77QQ=</DigestValue>
      </Reference>
      <Reference URI="/xl/printerSettings/printerSettings18.bin?ContentType=application/vnd.openxmlformats-officedocument.spreadsheetml.printerSettings">
        <DigestMethod Algorithm="http://www.w3.org/2001/04/xmlenc#sha256"/>
        <DigestValue>tVOuYuRrdzbo8LP45TcsSYVclOdSaPaGljr1PpHM/4g=</DigestValue>
      </Reference>
      <Reference URI="/xl/printerSettings/printerSettings19.bin?ContentType=application/vnd.openxmlformats-officedocument.spreadsheetml.printerSettings">
        <DigestMethod Algorithm="http://www.w3.org/2001/04/xmlenc#sha256"/>
        <DigestValue>lhqNU7rBRuoOJmmM9bzOZSyyB084+UHPE3b+4bG2W2E=</DigestValue>
      </Reference>
      <Reference URI="/xl/printerSettings/printerSettings2.bin?ContentType=application/vnd.openxmlformats-officedocument.spreadsheetml.printerSettings">
        <DigestMethod Algorithm="http://www.w3.org/2001/04/xmlenc#sha256"/>
        <DigestValue>vl0GPJKuVCrc0qAYXS+k1h6i7oxiEfqX05Zyh8EKr9s=</DigestValue>
      </Reference>
      <Reference URI="/xl/printerSettings/printerSettings20.bin?ContentType=application/vnd.openxmlformats-officedocument.spreadsheetml.printerSettings">
        <DigestMethod Algorithm="http://www.w3.org/2001/04/xmlenc#sha256"/>
        <DigestValue>hn9N2FuhLED1G+oO9NyaIcvvOOi+Obt7ukBjap+G5yY=</DigestValue>
      </Reference>
      <Reference URI="/xl/printerSettings/printerSettings21.bin?ContentType=application/vnd.openxmlformats-officedocument.spreadsheetml.printerSettings">
        <DigestMethod Algorithm="http://www.w3.org/2001/04/xmlenc#sha256"/>
        <DigestValue>eyrafQt42PO5IixG42EBDPuWLmU5GCuFx37r5Ws58H0=</DigestValue>
      </Reference>
      <Reference URI="/xl/printerSettings/printerSettings22.bin?ContentType=application/vnd.openxmlformats-officedocument.spreadsheetml.printerSettings">
        <DigestMethod Algorithm="http://www.w3.org/2001/04/xmlenc#sha256"/>
        <DigestValue>Gk2iFnrZMn3Pwh1M3lfOQ8puAQfX64Ox/ICQ23vq6AY=</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CPmghBcq8M3AOC7OD9E4RGQCJ4N82avzjW2vuKZebXA=</DigestValue>
      </Reference>
      <Reference URI="/xl/printerSettings/printerSettings26.bin?ContentType=application/vnd.openxmlformats-officedocument.spreadsheetml.printerSettings">
        <DigestMethod Algorithm="http://www.w3.org/2001/04/xmlenc#sha256"/>
        <DigestValue>CPmghBcq8M3AOC7OD9E4RGQCJ4N82avzjW2vuKZebXA=</DigestValue>
      </Reference>
      <Reference URI="/xl/printerSettings/printerSettings27.bin?ContentType=application/vnd.openxmlformats-officedocument.spreadsheetml.printerSettings">
        <DigestMethod Algorithm="http://www.w3.org/2001/04/xmlenc#sha256"/>
        <DigestValue>tVOuYuRrdzbo8LP45TcsSYVclOdSaPaGljr1PpHM/4g=</DigestValue>
      </Reference>
      <Reference URI="/xl/printerSettings/printerSettings28.bin?ContentType=application/vnd.openxmlformats-officedocument.spreadsheetml.printerSettings">
        <DigestMethod Algorithm="http://www.w3.org/2001/04/xmlenc#sha256"/>
        <DigestValue>kZOtkzgPOxpTjLf3wXk0oK9/1T7tKMq+b4mHViW9c2E=</DigestValue>
      </Reference>
      <Reference URI="/xl/printerSettings/printerSettings3.bin?ContentType=application/vnd.openxmlformats-officedocument.spreadsheetml.printerSettings">
        <DigestMethod Algorithm="http://www.w3.org/2001/04/xmlenc#sha256"/>
        <DigestValue>kZOtkzgPOxpTjLf3wXk0oK9/1T7tKMq+b4mHViW9c2E=</DigestValue>
      </Reference>
      <Reference URI="/xl/printerSettings/printerSettings4.bin?ContentType=application/vnd.openxmlformats-officedocument.spreadsheetml.printerSettings">
        <DigestMethod Algorithm="http://www.w3.org/2001/04/xmlenc#sha256"/>
        <DigestValue>wLiy6LpEuHxBnsxzQ892jbm/w59pzVZlxGs3Du30RNs=</DigestValue>
      </Reference>
      <Reference URI="/xl/printerSettings/printerSettings5.bin?ContentType=application/vnd.openxmlformats-officedocument.spreadsheetml.printerSettings">
        <DigestMethod Algorithm="http://www.w3.org/2001/04/xmlenc#sha256"/>
        <DigestValue>Dz27cbWr41kVTaSP3vl/G9giw0/aTSuchDZ4fbkwKi4=</DigestValue>
      </Reference>
      <Reference URI="/xl/printerSettings/printerSettings6.bin?ContentType=application/vnd.openxmlformats-officedocument.spreadsheetml.printerSettings">
        <DigestMethod Algorithm="http://www.w3.org/2001/04/xmlenc#sha256"/>
        <DigestValue>JuSJ0sPwXaJNp2rhlFULwXlAGYoSRM2uI2u75aoftZM=</DigestValue>
      </Reference>
      <Reference URI="/xl/printerSettings/printerSettings7.bin?ContentType=application/vnd.openxmlformats-officedocument.spreadsheetml.printerSettings">
        <DigestMethod Algorithm="http://www.w3.org/2001/04/xmlenc#sha256"/>
        <DigestValue>pzHCxJZJqV8QN3TxJNQIsgGd/jmH7l/G8/3LR3ZSRLA=</DigestValue>
      </Reference>
      <Reference URI="/xl/printerSettings/printerSettings8.bin?ContentType=application/vnd.openxmlformats-officedocument.spreadsheetml.printerSettings">
        <DigestMethod Algorithm="http://www.w3.org/2001/04/xmlenc#sha256"/>
        <DigestValue>kF5ZZIJqhfGzJ/MsJ4GmTO8c/Lu25qDRfABMjxEfjBg=</DigestValue>
      </Reference>
      <Reference URI="/xl/printerSettings/printerSettings9.bin?ContentType=application/vnd.openxmlformats-officedocument.spreadsheetml.printerSettings">
        <DigestMethod Algorithm="http://www.w3.org/2001/04/xmlenc#sha256"/>
        <DigestValue>edWPBlAR1vYIEuwXnUTS6MWjgNoH6Ap+On30xKduCsc=</DigestValue>
      </Reference>
      <Reference URI="/xl/sharedStrings.xml?ContentType=application/vnd.openxmlformats-officedocument.spreadsheetml.sharedStrings+xml">
        <DigestMethod Algorithm="http://www.w3.org/2001/04/xmlenc#sha256"/>
        <DigestValue>ckorfJby7FLOaE+jVwe5QJ3YZhJuMs6s3TB5Blihc6k=</DigestValue>
      </Reference>
      <Reference URI="/xl/styles.xml?ContentType=application/vnd.openxmlformats-officedocument.spreadsheetml.styles+xml">
        <DigestMethod Algorithm="http://www.w3.org/2001/04/xmlenc#sha256"/>
        <DigestValue>tmbTHnbZNzkJQvx3ITqR8T8QwNmxqoe4jYJ+JEWHTy8=</DigestValue>
      </Reference>
      <Reference URI="/xl/theme/theme1.xml?ContentType=application/vnd.openxmlformats-officedocument.theme+xml">
        <DigestMethod Algorithm="http://www.w3.org/2001/04/xmlenc#sha256"/>
        <DigestValue>gcKivLSR62CMLp3FoReG1kslclLlHYCA7f/kGgXQhW4=</DigestValue>
      </Reference>
      <Reference URI="/xl/workbook.xml?ContentType=application/vnd.openxmlformats-officedocument.spreadsheetml.sheet.main+xml">
        <DigestMethod Algorithm="http://www.w3.org/2001/04/xmlenc#sha256"/>
        <DigestValue>zqMDzHB86l6FiDrdCtz9JIGxJsvffZK67VNZ+kF07QQ=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axdv82m5VHKFytv75vJeON3yEPwuItf7sYdijAWraFU=</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72Dh22/5nJs8GzgoNSIITAueNO0MuL3xBNDlajrLDKQ=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28p94RhPvxo0se6wl6MOMJa0E+rPlmClHeh/tIl7z5Y=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S7Rit4EslipY9D6d2iHhm4nRhUEB4O+cERRjXlVuPgg=</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tS9m/g4OKf9uC2AtUvPu1FoO6JxaerJYQnTV+nSZI5s=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OVEG+hZGyQkUGaKxml2VRFVVtLAFCM3aZOIFB9oAaRk=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/Rw9CKLkiOvmYBOWXaZ8NHMJTCbDLTqUsP9tiEUohu4=</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5s73pDIlbQg78s3y8iW9m5qQKRNBHdZ353yv5hKxPnQ=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HtzyufmJNT7O2443iR1Shlftl3O7rtCjsWneT2DiPhw=</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02lJbVdVnanyLfi4AmozvxTwDr/5WWaeBKAdQv8SS0E=</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i2TtP0YIuAjCH7eaUWVxULzP3CL1pHiiTRZrqMKlmxk=</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WW4/ZeauOP6s2KE/uu/QX7A00WxNkLvTceLuEEoYuQE=</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BIcejRhrOvMTA+NddOhgubZ8KZT6Nv8f4u/FW95TfD0=</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1sLqT74frk9tHB3RhD93B6Tvl8mVnCtTp7N1y7wuE5E=</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wetYv5KKw7LrWEZeNSoPqIsPz3IpdRh5kDOOL3To1gY=</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1z2IX2FtUXLQBYafOsq/Xuvzaa+HQquBn7K+cS9L/ko=</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TFTJWlcTFqpsWSyI0c/R/AtsM6QqhMKs7MqwNH3COsg=</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xtGxpqrt37iD/KHXDxHVvL4MnUdHCcozoBH7GMRZJ0Y=</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5dGEBXVB03aLoMSs3kVj+7uSVfRUn+P+vrF5Xe7KTag=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B6LFnSCXBuyGbaDdfRzvbbRlz9K1Nb2H4QCm1aFeooM=</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sUr5cGGCZAgyT4j/71yB+996HAe1GRxmfMaH8At1fNA=</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q/t2KFusp3aHwObHXGKKbxLqBTVqI1dvemGeZjBzgkM=</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Xhy7onXyb25NxSE6bSDNn+udXc+SVtVyRx5o4pKJPsU=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ixeEd4smAs2iL+h6rGnMuUq8dVBb/5aODMs5d16k7oc=</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fwwrWkVIvR4weGPwZBLBkAt1ezkGlUkOs1CaP/T0GFo=</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BJ/TvD4Ovy1TY0HBJnlON3clyxWKoxuB8jyq7og5RCE=</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txYOOqSyIG6wUlus+Od3AYEKNq154StiK6SF2sBxqno=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WXgpl+lersRy+NzSVT8+UqCYX+yXMdkMBPihtEeIqxw=</DigestValue>
      </Reference>
      <Reference URI="/xl/worksheets/sheet10.xml?ContentType=application/vnd.openxmlformats-officedocument.spreadsheetml.worksheet+xml">
        <DigestMethod Algorithm="http://www.w3.org/2001/04/xmlenc#sha256"/>
        <DigestValue>y4DOrgiLjt1dTTWLqkysf7wFJBbr8YqHO95SyYeildI=</DigestValue>
      </Reference>
      <Reference URI="/xl/worksheets/sheet11.xml?ContentType=application/vnd.openxmlformats-officedocument.spreadsheetml.worksheet+xml">
        <DigestMethod Algorithm="http://www.w3.org/2001/04/xmlenc#sha256"/>
        <DigestValue>yz5z8NFigeMkIrg6ccIpzsI/+S334dy0YvkhEhqMh/0=</DigestValue>
      </Reference>
      <Reference URI="/xl/worksheets/sheet12.xml?ContentType=application/vnd.openxmlformats-officedocument.spreadsheetml.worksheet+xml">
        <DigestMethod Algorithm="http://www.w3.org/2001/04/xmlenc#sha256"/>
        <DigestValue>ozXzp8OMMs/vm7mPnraFBBCNOVJu9UIWfTyEQJU8bmw=</DigestValue>
      </Reference>
      <Reference URI="/xl/worksheets/sheet13.xml?ContentType=application/vnd.openxmlformats-officedocument.spreadsheetml.worksheet+xml">
        <DigestMethod Algorithm="http://www.w3.org/2001/04/xmlenc#sha256"/>
        <DigestValue>b8lK3IRRD9R2lZQpcNcVmR36u6Q/wd879e3P89pMaG0=</DigestValue>
      </Reference>
      <Reference URI="/xl/worksheets/sheet14.xml?ContentType=application/vnd.openxmlformats-officedocument.spreadsheetml.worksheet+xml">
        <DigestMethod Algorithm="http://www.w3.org/2001/04/xmlenc#sha256"/>
        <DigestValue>ksDFv4ZIlnIQOIG6cRMKPCYizFhW16QgEpCJPRlwmec=</DigestValue>
      </Reference>
      <Reference URI="/xl/worksheets/sheet15.xml?ContentType=application/vnd.openxmlformats-officedocument.spreadsheetml.worksheet+xml">
        <DigestMethod Algorithm="http://www.w3.org/2001/04/xmlenc#sha256"/>
        <DigestValue>yS4AuOsoLRMYVe9mMjoI8VTMTQs/1G1isRhal/mvYiY=</DigestValue>
      </Reference>
      <Reference URI="/xl/worksheets/sheet16.xml?ContentType=application/vnd.openxmlformats-officedocument.spreadsheetml.worksheet+xml">
        <DigestMethod Algorithm="http://www.w3.org/2001/04/xmlenc#sha256"/>
        <DigestValue>niZGSm0Q2TwdIMHHYslZr+HgrPMHijsjKPkHokBQaiA=</DigestValue>
      </Reference>
      <Reference URI="/xl/worksheets/sheet17.xml?ContentType=application/vnd.openxmlformats-officedocument.spreadsheetml.worksheet+xml">
        <DigestMethod Algorithm="http://www.w3.org/2001/04/xmlenc#sha256"/>
        <DigestValue>qhCFeW4nKqppqnFmMP3vvib9iNyyK7gLUIIKaJ/68s0=</DigestValue>
      </Reference>
      <Reference URI="/xl/worksheets/sheet18.xml?ContentType=application/vnd.openxmlformats-officedocument.spreadsheetml.worksheet+xml">
        <DigestMethod Algorithm="http://www.w3.org/2001/04/xmlenc#sha256"/>
        <DigestValue>+Ue+DmqMr0GO2wfpLmcUtqGO63iEHNrlTRPfgQq6x0I=</DigestValue>
      </Reference>
      <Reference URI="/xl/worksheets/sheet19.xml?ContentType=application/vnd.openxmlformats-officedocument.spreadsheetml.worksheet+xml">
        <DigestMethod Algorithm="http://www.w3.org/2001/04/xmlenc#sha256"/>
        <DigestValue>/MU01JSTxTJsHhESwnylyTLgYjIo/j8vu6q8sz8aih0=</DigestValue>
      </Reference>
      <Reference URI="/xl/worksheets/sheet2.xml?ContentType=application/vnd.openxmlformats-officedocument.spreadsheetml.worksheet+xml">
        <DigestMethod Algorithm="http://www.w3.org/2001/04/xmlenc#sha256"/>
        <DigestValue>scZVtx6fsrFicfK+hQlxWjPlNjEy6FrwkKR1G6coCnE=</DigestValue>
      </Reference>
      <Reference URI="/xl/worksheets/sheet20.xml?ContentType=application/vnd.openxmlformats-officedocument.spreadsheetml.worksheet+xml">
        <DigestMethod Algorithm="http://www.w3.org/2001/04/xmlenc#sha256"/>
        <DigestValue>TJ2rgSl7/zZQA/2RYM8h8+KoSdDQWBkTwGD9G6g2D90=</DigestValue>
      </Reference>
      <Reference URI="/xl/worksheets/sheet21.xml?ContentType=application/vnd.openxmlformats-officedocument.spreadsheetml.worksheet+xml">
        <DigestMethod Algorithm="http://www.w3.org/2001/04/xmlenc#sha256"/>
        <DigestValue>X2HjIywp1hMUsmUM7gD9QBFyWAm5Y0poJc1E70iESmw=</DigestValue>
      </Reference>
      <Reference URI="/xl/worksheets/sheet22.xml?ContentType=application/vnd.openxmlformats-officedocument.spreadsheetml.worksheet+xml">
        <DigestMethod Algorithm="http://www.w3.org/2001/04/xmlenc#sha256"/>
        <DigestValue>fLB68xklFQtjW6yHi6MOCdGjeqqGSjEHxvrQNOneF+g=</DigestValue>
      </Reference>
      <Reference URI="/xl/worksheets/sheet23.xml?ContentType=application/vnd.openxmlformats-officedocument.spreadsheetml.worksheet+xml">
        <DigestMethod Algorithm="http://www.w3.org/2001/04/xmlenc#sha256"/>
        <DigestValue>9U8ZaEHd/rpG+M8pTSO2IKRBJ16VX8j3iPaJjgaXNmI=</DigestValue>
      </Reference>
      <Reference URI="/xl/worksheets/sheet24.xml?ContentType=application/vnd.openxmlformats-officedocument.spreadsheetml.worksheet+xml">
        <DigestMethod Algorithm="http://www.w3.org/2001/04/xmlenc#sha256"/>
        <DigestValue>W2JG2bG3vF7sze4qgmEPKCgKzhZLQmumVYg2DXz3Ue8=</DigestValue>
      </Reference>
      <Reference URI="/xl/worksheets/sheet25.xml?ContentType=application/vnd.openxmlformats-officedocument.spreadsheetml.worksheet+xml">
        <DigestMethod Algorithm="http://www.w3.org/2001/04/xmlenc#sha256"/>
        <DigestValue>C7EkKZkaMZH9iN0Z9rao2KPJjpoej3siaXtjKHI9zSE=</DigestValue>
      </Reference>
      <Reference URI="/xl/worksheets/sheet26.xml?ContentType=application/vnd.openxmlformats-officedocument.spreadsheetml.worksheet+xml">
        <DigestMethod Algorithm="http://www.w3.org/2001/04/xmlenc#sha256"/>
        <DigestValue>LtJvCfGOR+m2XlJ1lAbjaRUllV9/mXMad3wRx/MomNc=</DigestValue>
      </Reference>
      <Reference URI="/xl/worksheets/sheet27.xml?ContentType=application/vnd.openxmlformats-officedocument.spreadsheetml.worksheet+xml">
        <DigestMethod Algorithm="http://www.w3.org/2001/04/xmlenc#sha256"/>
        <DigestValue>BT39ILliNJ7XLmAj294LLstgPuwC8zRHWkfp82UjUxU=</DigestValue>
      </Reference>
      <Reference URI="/xl/worksheets/sheet28.xml?ContentType=application/vnd.openxmlformats-officedocument.spreadsheetml.worksheet+xml">
        <DigestMethod Algorithm="http://www.w3.org/2001/04/xmlenc#sha256"/>
        <DigestValue>h10hhEW975BzWGRZAX/2y4unzisD6NIkMUW5Di70AXM=</DigestValue>
      </Reference>
      <Reference URI="/xl/worksheets/sheet29.xml?ContentType=application/vnd.openxmlformats-officedocument.spreadsheetml.worksheet+xml">
        <DigestMethod Algorithm="http://www.w3.org/2001/04/xmlenc#sha256"/>
        <DigestValue>VULc0VvLTe3+GDU0s9I6+r2Cmh9O0SIycb7UOcPCcSw=</DigestValue>
      </Reference>
      <Reference URI="/xl/worksheets/sheet3.xml?ContentType=application/vnd.openxmlformats-officedocument.spreadsheetml.worksheet+xml">
        <DigestMethod Algorithm="http://www.w3.org/2001/04/xmlenc#sha256"/>
        <DigestValue>zFir1LV+2SaLLH04sum69rbISN1l2UGL9C/AlEpNhoc=</DigestValue>
      </Reference>
      <Reference URI="/xl/worksheets/sheet30.xml?ContentType=application/vnd.openxmlformats-officedocument.spreadsheetml.worksheet+xml">
        <DigestMethod Algorithm="http://www.w3.org/2001/04/xmlenc#sha256"/>
        <DigestValue>ENCHBDrvkBWlNdRw66EPC+pQdlvXvunGDPW6SZOL6oM=</DigestValue>
      </Reference>
      <Reference URI="/xl/worksheets/sheet31.xml?ContentType=application/vnd.openxmlformats-officedocument.spreadsheetml.worksheet+xml">
        <DigestMethod Algorithm="http://www.w3.org/2001/04/xmlenc#sha256"/>
        <DigestValue>dv5EeKbtF1P5cl6k5ZK8VC81Ut0aflPjqoPQmedksXU=</DigestValue>
      </Reference>
      <Reference URI="/xl/worksheets/sheet32.xml?ContentType=application/vnd.openxmlformats-officedocument.spreadsheetml.worksheet+xml">
        <DigestMethod Algorithm="http://www.w3.org/2001/04/xmlenc#sha256"/>
        <DigestValue>URMfnbLExtUX8a1zZrUpv2q8sJ9Y0v9txhQcrQKX2JM=</DigestValue>
      </Reference>
      <Reference URI="/xl/worksheets/sheet33.xml?ContentType=application/vnd.openxmlformats-officedocument.spreadsheetml.worksheet+xml">
        <DigestMethod Algorithm="http://www.w3.org/2001/04/xmlenc#sha256"/>
        <DigestValue>yRTCFmefjI2hAZ0gzMe8haHfO5/oR4L/g2XjJRCI/sE=</DigestValue>
      </Reference>
      <Reference URI="/xl/worksheets/sheet34.xml?ContentType=application/vnd.openxmlformats-officedocument.spreadsheetml.worksheet+xml">
        <DigestMethod Algorithm="http://www.w3.org/2001/04/xmlenc#sha256"/>
        <DigestValue>G5ZLYRQ1eBMuQE99h+6pmk9+lxFx38643KqUSlP8vP0=</DigestValue>
      </Reference>
      <Reference URI="/xl/worksheets/sheet35.xml?ContentType=application/vnd.openxmlformats-officedocument.spreadsheetml.worksheet+xml">
        <DigestMethod Algorithm="http://www.w3.org/2001/04/xmlenc#sha256"/>
        <DigestValue>uei5erjRyNeuFYVCq4lemiv0yRJfxRmsPF9n22mLZUk=</DigestValue>
      </Reference>
      <Reference URI="/xl/worksheets/sheet36.xml?ContentType=application/vnd.openxmlformats-officedocument.spreadsheetml.worksheet+xml">
        <DigestMethod Algorithm="http://www.w3.org/2001/04/xmlenc#sha256"/>
        <DigestValue>zlOD6zi0NqGmUJum/Gou8XkI/W8xW8ZrF1vkiQjUWII=</DigestValue>
      </Reference>
      <Reference URI="/xl/worksheets/sheet37.xml?ContentType=application/vnd.openxmlformats-officedocument.spreadsheetml.worksheet+xml">
        <DigestMethod Algorithm="http://www.w3.org/2001/04/xmlenc#sha256"/>
        <DigestValue>lSZvvpCh2BLsiqrAtQteTLRLWLttaD0j7UTJyzhW9FY=</DigestValue>
      </Reference>
      <Reference URI="/xl/worksheets/sheet38.xml?ContentType=application/vnd.openxmlformats-officedocument.spreadsheetml.worksheet+xml">
        <DigestMethod Algorithm="http://www.w3.org/2001/04/xmlenc#sha256"/>
        <DigestValue>dU0V0HxMN71qlN9fbfKSiT6xUHIJOA9rJ/xxPMLO2Rs=</DigestValue>
      </Reference>
      <Reference URI="/xl/worksheets/sheet39.xml?ContentType=application/vnd.openxmlformats-officedocument.spreadsheetml.worksheet+xml">
        <DigestMethod Algorithm="http://www.w3.org/2001/04/xmlenc#sha256"/>
        <DigestValue>EaYzgoj9gDpWzLsMixPsLQnxExb3wdbVszxZUUeExzk=</DigestValue>
      </Reference>
      <Reference URI="/xl/worksheets/sheet4.xml?ContentType=application/vnd.openxmlformats-officedocument.spreadsheetml.worksheet+xml">
        <DigestMethod Algorithm="http://www.w3.org/2001/04/xmlenc#sha256"/>
        <DigestValue>CL49/pXcU7oAgIgaPcuXw4wvFVhHspFgVqrjx13UD2g=</DigestValue>
      </Reference>
      <Reference URI="/xl/worksheets/sheet40.xml?ContentType=application/vnd.openxmlformats-officedocument.spreadsheetml.worksheet+xml">
        <DigestMethod Algorithm="http://www.w3.org/2001/04/xmlenc#sha256"/>
        <DigestValue>/oOOSTEtRmOTkJRquHuZ0cXtG6Aj+WvABm94t0I2agA=</DigestValue>
      </Reference>
      <Reference URI="/xl/worksheets/sheet41.xml?ContentType=application/vnd.openxmlformats-officedocument.spreadsheetml.worksheet+xml">
        <DigestMethod Algorithm="http://www.w3.org/2001/04/xmlenc#sha256"/>
        <DigestValue>LRLSp3mDBnBeyMD8y8UehF4vd+7In3B37O4GoaT8Dt0=</DigestValue>
      </Reference>
      <Reference URI="/xl/worksheets/sheet42.xml?ContentType=application/vnd.openxmlformats-officedocument.spreadsheetml.worksheet+xml">
        <DigestMethod Algorithm="http://www.w3.org/2001/04/xmlenc#sha256"/>
        <DigestValue>hTdiqZyM62ivArNLrZp+pswAxhr8/6DIzwOboGaTdZU=</DigestValue>
      </Reference>
      <Reference URI="/xl/worksheets/sheet43.xml?ContentType=application/vnd.openxmlformats-officedocument.spreadsheetml.worksheet+xml">
        <DigestMethod Algorithm="http://www.w3.org/2001/04/xmlenc#sha256"/>
        <DigestValue>4E9mZgdhw3D2kkr4fTzK9pjDe1dfNFcdxjHim1BHgTY=</DigestValue>
      </Reference>
      <Reference URI="/xl/worksheets/sheet44.xml?ContentType=application/vnd.openxmlformats-officedocument.spreadsheetml.worksheet+xml">
        <DigestMethod Algorithm="http://www.w3.org/2001/04/xmlenc#sha256"/>
        <DigestValue>v0oyK+4LauYbIaK11eGmcCI0NK8zbtyV1pZfeqbi8DY=</DigestValue>
      </Reference>
      <Reference URI="/xl/worksheets/sheet45.xml?ContentType=application/vnd.openxmlformats-officedocument.spreadsheetml.worksheet+xml">
        <DigestMethod Algorithm="http://www.w3.org/2001/04/xmlenc#sha256"/>
        <DigestValue>X9pG5RZixV0o1XqCDFi0mPLvZZAGg7nlsnpe9cPZD5g=</DigestValue>
      </Reference>
      <Reference URI="/xl/worksheets/sheet46.xml?ContentType=application/vnd.openxmlformats-officedocument.spreadsheetml.worksheet+xml">
        <DigestMethod Algorithm="http://www.w3.org/2001/04/xmlenc#sha256"/>
        <DigestValue>3AAqW9IgQdB+d03q1z9acXz96xOrgevf3ddSkobIeqc=</DigestValue>
      </Reference>
      <Reference URI="/xl/worksheets/sheet47.xml?ContentType=application/vnd.openxmlformats-officedocument.spreadsheetml.worksheet+xml">
        <DigestMethod Algorithm="http://www.w3.org/2001/04/xmlenc#sha256"/>
        <DigestValue>e9hc1x2Tql88OhiRwFG5wJKL+k7kE0pVRtjlVORZN2g=</DigestValue>
      </Reference>
      <Reference URI="/xl/worksheets/sheet48.xml?ContentType=application/vnd.openxmlformats-officedocument.spreadsheetml.worksheet+xml">
        <DigestMethod Algorithm="http://www.w3.org/2001/04/xmlenc#sha256"/>
        <DigestValue>Q/B28hakSrnz5tHL1RbHkJ0zSgnUWsx7oxtBlwHb2+c=</DigestValue>
      </Reference>
      <Reference URI="/xl/worksheets/sheet5.xml?ContentType=application/vnd.openxmlformats-officedocument.spreadsheetml.worksheet+xml">
        <DigestMethod Algorithm="http://www.w3.org/2001/04/xmlenc#sha256"/>
        <DigestValue>Q+BeBmK/w9RgjK5XrdKfibaD2NssQ7ng5kMoK2BP7L8=</DigestValue>
      </Reference>
      <Reference URI="/xl/worksheets/sheet6.xml?ContentType=application/vnd.openxmlformats-officedocument.spreadsheetml.worksheet+xml">
        <DigestMethod Algorithm="http://www.w3.org/2001/04/xmlenc#sha256"/>
        <DigestValue>4nsA7lCxekL6oRFEK4HPyvKOGnLqD4F8Q+jJ3tiDK8s=</DigestValue>
      </Reference>
      <Reference URI="/xl/worksheets/sheet7.xml?ContentType=application/vnd.openxmlformats-officedocument.spreadsheetml.worksheet+xml">
        <DigestMethod Algorithm="http://www.w3.org/2001/04/xmlenc#sha256"/>
        <DigestValue>bddsmP0zqc4ROjVIOlP4lFRFhkdcllz+X7y3Zo+05B0=</DigestValue>
      </Reference>
      <Reference URI="/xl/worksheets/sheet8.xml?ContentType=application/vnd.openxmlformats-officedocument.spreadsheetml.worksheet+xml">
        <DigestMethod Algorithm="http://www.w3.org/2001/04/xmlenc#sha256"/>
        <DigestValue>6NhkAKLb+ebZyRyrwpSZOnSAiE6t7d6REtePZiHTCaA=</DigestValue>
      </Reference>
      <Reference URI="/xl/worksheets/sheet9.xml?ContentType=application/vnd.openxmlformats-officedocument.spreadsheetml.worksheet+xml">
        <DigestMethod Algorithm="http://www.w3.org/2001/04/xmlenc#sha256"/>
        <DigestValue>L2HJg3JXKUGKMeumjG2c/KaUHoTPDbl720mHFP6CJJs=</DigestValue>
      </Reference>
    </Manifest>
    <SignatureProperties>
      <SignatureProperty Id="idSignatureTime" Target="#idPackageSignature">
        <mdssi:SignatureTime xmlns:mdssi="http://schemas.openxmlformats.org/package/2006/digital-signature">
          <mdssi:Format>YYYY-MM-DDThh:mm:ssTZD</mdssi:Format>
          <mdssi:Value>2021-08-16T19:25:50Z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16.0.14131/22</OfficeVersion>
          <ApplicationVersion>16.0.14131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2021-08-16T19:25:50Z</xd:SigningTime>
          <xd:SigningCertificate>
            <xd:Cert>
              <xd:CertDigest>
                <DigestMethod Algorithm="http://www.w3.org/2001/04/xmlenc#sha256"/>
                <DigestValue>xtiPB5f2J09aTub6rvZQUYiqpqmuEPbX1iBP/Eaww0U=</DigestValue>
              </xd:CertDigest>
              <xd:IssuerSerial>
                <X509IssuerName>C=PY, O=DOCUMENTA S.A., CN=CA-DOCUMENTA S.A., SERIALNUMBER=RUC 80050172-1</X509IssuerName>
                <X509SerialNumber>4123870486919268057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3UTi2/LdLfDOy2ov5z+HkSpIszmesGmqCtTRr23s0fY=</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0omSa2NTL/cVQdAA5G4UGlotGEuHWt9QlidWOBhrvps=</DigestValue>
    </Reference>
  </SignedInfo>
  <SignatureValue>xpehXoBU21AY08SEtgmlM+bCRD5js+MOkvttZlNM9qAC+mn/fp3cwiRunhc+Tz61RVc32lQAPgae
55AsiXHgNp1Va9CV0SHooMRVP10NZryRI9fOw2POFTxT5M2BuWdlcHhdo3TSASkjzm6kicyKptO5
Dn1l43fb0xSfq/bOcAkKuzohnIt0iEA/t3uDTVv8kOXhW8IbrFJv/qdaH9BWijrfCVi+Uo0J+b3G
+iM7xzd0v5fElZOl1PlRCN+d+7FLBgC+gHeFJRNvg3yLQkew22Y1gPvIBIwP/myRl6qcecuExVWl
mjG0D+/KKHocji4unUiUQij18JIE27rA638yGw==</SignatureValue>
  <KeyInfo>
    <X509Data>
      <X509Certificate>MIIICDCCBfCgAwIBAgIIa5DM6aKm3UUwDQYJKoZIhvcNAQELBQAwWzEXMBUGA1UEBRMOUlVDIDgwMDUwMTcyLTExGjAYBgNVBAMTEUNBLURPQ1VNRU5UQSBTLkEuMRcwFQYDVQQKEw5ET0NVTUVOVEEgUy5BLjELMAkGA1UEBhMCUFkwHhcNMjEwNTA1MTQxMjEyWhcNMjMwNTA1MTQyMjEyWjCBqzELMAkGA1UEBhMCUFkxGDAWBgNVBAQMD1ZFUkdBUkEgUEFDSEVDTzESMBAGA1UEBRMJQ0kzOTA4NzAyMRgwFgYDVQQqDA9HTEFEWVMgRklPUkVMTEExFzAVBgNVBAoMDlBFUlNPTkEgRklTSUNBMREwDwYDVQQLDAhGSVJNQSBGMjEoMCYGA1UEAwwfR0xBRFlTIEZJT1JFTExBIFZFUkdBUkEgUEFDSEVDTzCCASIwDQYJKoZIhvcNAQEBBQADggEPADCCAQoCggEBANdfKvH8/mUlmVxg3pX/ixoBC473iHnQJFNR3+FcIxW9ybcdGT+2rlxQgy5pF7NdDKKYFoKUpkX6sOMOD0jNpCSK3Pcz/PAAHOgB3ShTd0bd1Qz6D/TRnVwt8sOLnF8u1lk+ntJb0ZJYibuaHJn4wx73k3mBGLYrLLixz8NTnHdCcAp3Lh9KnfTUkRf6doef6wCF2b00rKL+uiN3eTVEBxfvFlK8K26rLhOeLZSlUYWSdGmhSDgygo/HUmddMS5P08x+W0n5YxNCgAw0lWfwWFysi3Tjcc6gfqGL7amW5Vof0zmOMCXCIY6I8DUBYR7WPLJIMBoUv6zhN4XUt4kaoxkCAwEAAaOCA30wggN5MAwGA1UdEwEB/wQCMAAwDgYDVR0PAQH/BAQDAgXgMCoGA1UdJQEB/wQgMB4GCCsGAQUFBwMBBggrBgEFBQcDAgYIKwYBBQUHAwQwHQYDVR0OBBYEFMPp4Bj73sXmF0anfr1sW6xIDiic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maW92ZXJnYXJh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RQNVzxh1OfbwRH8B+DbrqXQ0R2O/GUfIsiaMkDZfr3raAvwLIZeRSCdm5NOgSjpSoxJym1y8J+hPeMDF6vJKSCUZbvQ+y0Isex0zhJrNNiOb/yZurwzZyWOtjRp0GrFn6N9KCi3hSu8SvfBfsFO0ya+4mdJnLeK+9YxCCLTBSgowv25dYUuu6ZRUvIEnWUCt1l2lxLbvMdMKfasGrRLm8PnPlMfJeyVhrV3Y4ij3XF2XhTSDUANn37LOUGKFy2xOTvyXO341MrFI2a+9ApQL+sa97xUm74B/VwB5eSVbT+jE7dhBgN2h2CntQwiVltcqMQeaLUzqGK82Vc9aR6UG5OvLIeKdLGjKAG7+OKeW6Jib+pKJymsoS6WhOplLrWfafx3aft2u1MSXm+atZVLUhK4DTdbrx/52xUctSdQJVobhqY2ktzEjY4jEl+tfwqtE0g0deV3skpcMasP3qZh7H96Q1admLpkpMCmv0dMM2WSsd3J1ue+wZ/SouHkKY0u6hMWCchOfVtn1a4PQW4Lc6D12dYhVv3kmzNJ9XbRaoKTGoVQRyL3ukJ+P+wyMrW6Q61KIiRyoOXPfwCkdjVQcLSj5Y03awb5JNinZA97BfubpO7PErJXxijWoqr/VqSSZdSoWgMMlHRHVWBtJJpuyQx4GZqmdHBirBf1XPFy/a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XTm5RcAjDLtJVy7diVztEWKUr6TRNuvbKaG3mXm85f8=</DigestValue>
      </Reference>
      <Reference URI="/xl/calcChain.xml?ContentType=application/vnd.openxmlformats-officedocument.spreadsheetml.calcChain+xml">
        <DigestMethod Algorithm="http://www.w3.org/2001/04/xmlenc#sha256"/>
        <DigestValue>ZqERlNkx1TVEQNCwNJgLhkbGqZLwJHstRw/2YXVeXjw=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5J44/KSJd6LA4b/YmjQMo7BjnzB/vFLMSn6BAVFYuV0=</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drawing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MXIbGfyNCNE9/UCG0pgItebfblVWgyNs2Tr3vBU4e+s=</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drawing1.xml?ContentType=application/vnd.openxmlformats-officedocument.drawing+xml">
        <DigestMethod Algorithm="http://www.w3.org/2001/04/xmlenc#sha256"/>
        <DigestValue>vHDo8i3nPbSj7IgbVjZufrmwdDoUIxOSE5e6AXdBeJE=</DigestValue>
      </Reference>
      <Reference URI="/xl/drawings/drawing10.xml?ContentType=application/vnd.openxmlformats-officedocument.drawing+xml">
        <DigestMethod Algorithm="http://www.w3.org/2001/04/xmlenc#sha256"/>
        <DigestValue>hN1+ijpm4u5I5CWqfB2hV+2ojXkdmiX4TiZCdxDERZc=</DigestValue>
      </Reference>
      <Reference URI="/xl/drawings/drawing11.xml?ContentType=application/vnd.openxmlformats-officedocument.drawing+xml">
        <DigestMethod Algorithm="http://www.w3.org/2001/04/xmlenc#sha256"/>
        <DigestValue>6CkqQsjEkpV+u0eK4RZNIYTRHo4l7YJ5kOzKO3B3PEI=</DigestValue>
      </Reference>
      <Reference URI="/xl/drawings/drawing12.xml?ContentType=application/vnd.openxmlformats-officedocument.drawing+xml">
        <DigestMethod Algorithm="http://www.w3.org/2001/04/xmlenc#sha256"/>
        <DigestValue>yMX6Kpy9XKPiA4Trhh51tV39RoyE6w6seEuVg9phokM=</DigestValue>
      </Reference>
      <Reference URI="/xl/drawings/drawing13.xml?ContentType=application/vnd.openxmlformats-officedocument.drawing+xml">
        <DigestMethod Algorithm="http://www.w3.org/2001/04/xmlenc#sha256"/>
        <DigestValue>d/VoLQvIvn93bE7WcUrL0XAmWYoLtN4pQbncbTri7Wo=</DigestValue>
      </Reference>
      <Reference URI="/xl/drawings/drawing14.xml?ContentType=application/vnd.openxmlformats-officedocument.drawing+xml">
        <DigestMethod Algorithm="http://www.w3.org/2001/04/xmlenc#sha256"/>
        <DigestValue>A4hm4oM9p98YTGG6FBodhp1NOz+wGSplSnJ/OZAoSxQ=</DigestValue>
      </Reference>
      <Reference URI="/xl/drawings/drawing15.xml?ContentType=application/vnd.openxmlformats-officedocument.drawing+xml">
        <DigestMethod Algorithm="http://www.w3.org/2001/04/xmlenc#sha256"/>
        <DigestValue>bis88mUd9Ahmg6PnaoLPfHsNPuFn2ALfVskAqaXURso=</DigestValue>
      </Reference>
      <Reference URI="/xl/drawings/drawing16.xml?ContentType=application/vnd.openxmlformats-officedocument.drawing+xml">
        <DigestMethod Algorithm="http://www.w3.org/2001/04/xmlenc#sha256"/>
        <DigestValue>mVifmcWUmQog7//1t1bh/D5hG/DcOdOQKvanKPMizss=</DigestValue>
      </Reference>
      <Reference URI="/xl/drawings/drawing17.xml?ContentType=application/vnd.openxmlformats-officedocument.drawing+xml">
        <DigestMethod Algorithm="http://www.w3.org/2001/04/xmlenc#sha256"/>
        <DigestValue>Al1Tz9iqVRk9QaHT+0LUUwwG4Tujmz8GDRGRKYw/XJM=</DigestValue>
      </Reference>
      <Reference URI="/xl/drawings/drawing18.xml?ContentType=application/vnd.openxmlformats-officedocument.drawing+xml">
        <DigestMethod Algorithm="http://www.w3.org/2001/04/xmlenc#sha256"/>
        <DigestValue>EWP5/osW+AYSpu/P1bL1bnskhRfcxIyBClelAdpN1Ys=</DigestValue>
      </Reference>
      <Reference URI="/xl/drawings/drawing19.xml?ContentType=application/vnd.openxmlformats-officedocument.drawing+xml">
        <DigestMethod Algorithm="http://www.w3.org/2001/04/xmlenc#sha256"/>
        <DigestValue>sT8uw/ZAIIMuG/H55743zZbprAQoRHrEIBtQgZzC4Oc=</DigestValue>
      </Reference>
      <Reference URI="/xl/drawings/drawing2.xml?ContentType=application/vnd.openxmlformats-officedocument.drawing+xml">
        <DigestMethod Algorithm="http://www.w3.org/2001/04/xmlenc#sha256"/>
        <DigestValue>V9LYHgCHYwH9iQmKOQwPsnY9mRqC1TG8Z2c3mWZCgpo=</DigestValue>
      </Reference>
      <Reference URI="/xl/drawings/drawing20.xml?ContentType=application/vnd.openxmlformats-officedocument.drawing+xml">
        <DigestMethod Algorithm="http://www.w3.org/2001/04/xmlenc#sha256"/>
        <DigestValue>4HISAFgjFjniz1yvLcD2+ujwl2oYRg0mfllXj8afxs0=</DigestValue>
      </Reference>
      <Reference URI="/xl/drawings/drawing21.xml?ContentType=application/vnd.openxmlformats-officedocument.drawing+xml">
        <DigestMethod Algorithm="http://www.w3.org/2001/04/xmlenc#sha256"/>
        <DigestValue>K7aLi3zKsgfcZc0fGIlkNiHPEu9Yb8dmd58ngDEo3nc=</DigestValue>
      </Reference>
      <Reference URI="/xl/drawings/drawing22.xml?ContentType=application/vnd.openxmlformats-officedocument.drawing+xml">
        <DigestMethod Algorithm="http://www.w3.org/2001/04/xmlenc#sha256"/>
        <DigestValue>lyFkVQFjfcdZ1USuC70m8lcvSfGdXDfQLtcm3qZaAGI=</DigestValue>
      </Reference>
      <Reference URI="/xl/drawings/drawing23.xml?ContentType=application/vnd.openxmlformats-officedocument.drawing+xml">
        <DigestMethod Algorithm="http://www.w3.org/2001/04/xmlenc#sha256"/>
        <DigestValue>m771v5Dnml16/RxgyjQrOgxcvgFh2PBGX9t7E8FB+VI=</DigestValue>
      </Reference>
      <Reference URI="/xl/drawings/drawing24.xml?ContentType=application/vnd.openxmlformats-officedocument.drawing+xml">
        <DigestMethod Algorithm="http://www.w3.org/2001/04/xmlenc#sha256"/>
        <DigestValue>YwYR4eBbFovXp/X0Znoihmd1iPVPPOmSzBuYdc0DvPo=</DigestValue>
      </Reference>
      <Reference URI="/xl/drawings/drawing25.xml?ContentType=application/vnd.openxmlformats-officedocument.drawing+xml">
        <DigestMethod Algorithm="http://www.w3.org/2001/04/xmlenc#sha256"/>
        <DigestValue>WMY8qZ0/s5dtPUgkg8asFwgqp0NPP9ajzqzJkiygGMU=</DigestValue>
      </Reference>
      <Reference URI="/xl/drawings/drawing26.xml?ContentType=application/vnd.openxmlformats-officedocument.drawing+xml">
        <DigestMethod Algorithm="http://www.w3.org/2001/04/xmlenc#sha256"/>
        <DigestValue>r79WK2obgLMt639+Pal8NEggrd4S3qq8U/O8CfTKebw=</DigestValue>
      </Reference>
      <Reference URI="/xl/drawings/drawing27.xml?ContentType=application/vnd.openxmlformats-officedocument.drawing+xml">
        <DigestMethod Algorithm="http://www.w3.org/2001/04/xmlenc#sha256"/>
        <DigestValue>a/gC6WUteb2RQg6RrzxuKAkgUuq2REpNNRI8TlkFzHw=</DigestValue>
      </Reference>
      <Reference URI="/xl/drawings/drawing28.xml?ContentType=application/vnd.openxmlformats-officedocument.drawing+xml">
        <DigestMethod Algorithm="http://www.w3.org/2001/04/xmlenc#sha256"/>
        <DigestValue>/cRzmN1Au4+N9lrhPEL7I3qAMXhJKxpz8LKy1irBk6A=</DigestValue>
      </Reference>
      <Reference URI="/xl/drawings/drawing29.xml?ContentType=application/vnd.openxmlformats-officedocument.drawing+xml">
        <DigestMethod Algorithm="http://www.w3.org/2001/04/xmlenc#sha256"/>
        <DigestValue>MDRdfrKTxGOoqd3sQQ7cr7QTdEJgxJl9JRHE0P45Ugw=</DigestValue>
      </Reference>
      <Reference URI="/xl/drawings/drawing3.xml?ContentType=application/vnd.openxmlformats-officedocument.drawing+xml">
        <DigestMethod Algorithm="http://www.w3.org/2001/04/xmlenc#sha256"/>
        <DigestValue>Po4ycDmEwgQXWKe1gTuDLLLpI8JSBMqbVnwuiRsGets=</DigestValue>
      </Reference>
      <Reference URI="/xl/drawings/drawing30.xml?ContentType=application/vnd.openxmlformats-officedocument.drawing+xml">
        <DigestMethod Algorithm="http://www.w3.org/2001/04/xmlenc#sha256"/>
        <DigestValue>SgdTXvAMcvswvBhI/oOfa5HKLSQXyHHbCj8QZGqDymk=</DigestValue>
      </Reference>
      <Reference URI="/xl/drawings/drawing31.xml?ContentType=application/vnd.openxmlformats-officedocument.drawing+xml">
        <DigestMethod Algorithm="http://www.w3.org/2001/04/xmlenc#sha256"/>
        <DigestValue>L0hBm1w5IdqptHVVi242AjohjmN2AEu32NjSSeTZOf4=</DigestValue>
      </Reference>
      <Reference URI="/xl/drawings/drawing32.xml?ContentType=application/vnd.openxmlformats-officedocument.drawing+xml">
        <DigestMethod Algorithm="http://www.w3.org/2001/04/xmlenc#sha256"/>
        <DigestValue>TQbZzIgqlLyeYn3bcxZlI7qoa1Q2csVt1fVmJaZRz+o=</DigestValue>
      </Reference>
      <Reference URI="/xl/drawings/drawing33.xml?ContentType=application/vnd.openxmlformats-officedocument.drawing+xml">
        <DigestMethod Algorithm="http://www.w3.org/2001/04/xmlenc#sha256"/>
        <DigestValue>oMhNSeLLkLem2lcQoGNTx6wSYHYrkMMEchb47933OqM=</DigestValue>
      </Reference>
      <Reference URI="/xl/drawings/drawing34.xml?ContentType=application/vnd.openxmlformats-officedocument.drawing+xml">
        <DigestMethod Algorithm="http://www.w3.org/2001/04/xmlenc#sha256"/>
        <DigestValue>Fl6bTfM6RIgHDEChSyMNFHT5h3BzHYcgrQYJuseuKww=</DigestValue>
      </Reference>
      <Reference URI="/xl/drawings/drawing35.xml?ContentType=application/vnd.openxmlformats-officedocument.drawing+xml">
        <DigestMethod Algorithm="http://www.w3.org/2001/04/xmlenc#sha256"/>
        <DigestValue>SeMMgAMO66FDxdF/pYCd0CL0Vt0YLO9CJQMVmMnEt0U=</DigestValue>
      </Reference>
      <Reference URI="/xl/drawings/drawing36.xml?ContentType=application/vnd.openxmlformats-officedocument.drawing+xml">
        <DigestMethod Algorithm="http://www.w3.org/2001/04/xmlenc#sha256"/>
        <DigestValue>vn/Pks3uwfC+V3eXeSVIEWbdlaEkxtu2Z16vsC1D1z8=</DigestValue>
      </Reference>
      <Reference URI="/xl/drawings/drawing37.xml?ContentType=application/vnd.openxmlformats-officedocument.drawing+xml">
        <DigestMethod Algorithm="http://www.w3.org/2001/04/xmlenc#sha256"/>
        <DigestValue>f/NvO7P+2pijfJ4XFACcwYT9hJyZ/ASz2nLbZ8LniTo=</DigestValue>
      </Reference>
      <Reference URI="/xl/drawings/drawing38.xml?ContentType=application/vnd.openxmlformats-officedocument.drawing+xml">
        <DigestMethod Algorithm="http://www.w3.org/2001/04/xmlenc#sha256"/>
        <DigestValue>Lwox2+hW8pekyPIkJs/whkKczHmq2O5gmRCOwgffyj0=</DigestValue>
      </Reference>
      <Reference URI="/xl/drawings/drawing39.xml?ContentType=application/vnd.openxmlformats-officedocument.drawing+xml">
        <DigestMethod Algorithm="http://www.w3.org/2001/04/xmlenc#sha256"/>
        <DigestValue>NHR31Lz9zEPocwmhya8u+ZOFmme7hvTn3wg8lW7Uso8=</DigestValue>
      </Reference>
      <Reference URI="/xl/drawings/drawing4.xml?ContentType=application/vnd.openxmlformats-officedocument.drawing+xml">
        <DigestMethod Algorithm="http://www.w3.org/2001/04/xmlenc#sha256"/>
        <DigestValue>tZmOgcEOP2c3x3zot7Ann5L/xgwAma7zdKvfYadiDt0=</DigestValue>
      </Reference>
      <Reference URI="/xl/drawings/drawing40.xml?ContentType=application/vnd.openxmlformats-officedocument.drawing+xml">
        <DigestMethod Algorithm="http://www.w3.org/2001/04/xmlenc#sha256"/>
        <DigestValue>jnAp3UE4GvPf+CWq/MZfrxisS61fSjjGZMt1rd5Mrw0=</DigestValue>
      </Reference>
      <Reference URI="/xl/drawings/drawing41.xml?ContentType=application/vnd.openxmlformats-officedocument.drawing+xml">
        <DigestMethod Algorithm="http://www.w3.org/2001/04/xmlenc#sha256"/>
        <DigestValue>LqU3OTdzL2vWZ/eYw1D/ARGzSpDhcLxPL3w0q2825Bc=</DigestValue>
      </Reference>
      <Reference URI="/xl/drawings/drawing42.xml?ContentType=application/vnd.openxmlformats-officedocument.drawing+xml">
        <DigestMethod Algorithm="http://www.w3.org/2001/04/xmlenc#sha256"/>
        <DigestValue>FhS8yXEcJ6V0xgUkJztMujIvcuA+nURgsPDCnpiBsVQ=</DigestValue>
      </Reference>
      <Reference URI="/xl/drawings/drawing43.xml?ContentType=application/vnd.openxmlformats-officedocument.drawing+xml">
        <DigestMethod Algorithm="http://www.w3.org/2001/04/xmlenc#sha256"/>
        <DigestValue>vWqT9oo+uZL0r8b+BFufjU47VMdqXqQYPjhuWqXdWk8=</DigestValue>
      </Reference>
      <Reference URI="/xl/drawings/drawing44.xml?ContentType=application/vnd.openxmlformats-officedocument.drawing+xml">
        <DigestMethod Algorithm="http://www.w3.org/2001/04/xmlenc#sha256"/>
        <DigestValue>6JDDWtsP/cDvzoTZ0XHJkOcL9jXiWAvKtFPommgXmUA=</DigestValue>
      </Reference>
      <Reference URI="/xl/drawings/drawing45.xml?ContentType=application/vnd.openxmlformats-officedocument.drawing+xml">
        <DigestMethod Algorithm="http://www.w3.org/2001/04/xmlenc#sha256"/>
        <DigestValue>+51Bo2wXzpF++m2vc4a4c1uf7zrAKBK4hvd5nQo2PBc=</DigestValue>
      </Reference>
      <Reference URI="/xl/drawings/drawing46.xml?ContentType=application/vnd.openxmlformats-officedocument.drawing+xml">
        <DigestMethod Algorithm="http://www.w3.org/2001/04/xmlenc#sha256"/>
        <DigestValue>UhQH0ElrW2TgFZCNJOJ3EOgqe6k99sJKP8LLctEU2tk=</DigestValue>
      </Reference>
      <Reference URI="/xl/drawings/drawing47.xml?ContentType=application/vnd.openxmlformats-officedocument.drawing+xml">
        <DigestMethod Algorithm="http://www.w3.org/2001/04/xmlenc#sha256"/>
        <DigestValue>lf4N1Myj1ILBhn8XH2DUbd1cFwfFAkNqToKtuQ7CsH8=</DigestValue>
      </Reference>
      <Reference URI="/xl/drawings/drawing5.xml?ContentType=application/vnd.openxmlformats-officedocument.drawing+xml">
        <DigestMethod Algorithm="http://www.w3.org/2001/04/xmlenc#sha256"/>
        <DigestValue>zN24M8E+nPikE6sqkVLSKaUZY36Y1CZiANA9nmuFjYI=</DigestValue>
      </Reference>
      <Reference URI="/xl/drawings/drawing6.xml?ContentType=application/vnd.openxmlformats-officedocument.drawing+xml">
        <DigestMethod Algorithm="http://www.w3.org/2001/04/xmlenc#sha256"/>
        <DigestValue>k8Q5iPXKEVct+9nBB+LQDVdy3B8XSQsQCuT7/Hp9gAE=</DigestValue>
      </Reference>
      <Reference URI="/xl/drawings/drawing7.xml?ContentType=application/vnd.openxmlformats-officedocument.drawing+xml">
        <DigestMethod Algorithm="http://www.w3.org/2001/04/xmlenc#sha256"/>
        <DigestValue>Dg1Lzou8Vn7jVyUeMw4NoRzBNacQ9UocqCMj9mxx1/4=</DigestValue>
      </Reference>
      <Reference URI="/xl/drawings/drawing8.xml?ContentType=application/vnd.openxmlformats-officedocument.drawing+xml">
        <DigestMethod Algorithm="http://www.w3.org/2001/04/xmlenc#sha256"/>
        <DigestValue>iCIXD0YNQORidQn1szLejArL+FNsZzQ7ldIamzV8UMQ=</DigestValue>
      </Reference>
      <Reference URI="/xl/drawings/drawing9.xml?ContentType=application/vnd.openxmlformats-officedocument.drawing+xml">
        <DigestMethod Algorithm="http://www.w3.org/2001/04/xmlenc#sha256"/>
        <DigestValue>iU3Ol++7dA2FL9eP0+EQMJimoA6/haDOW+kBXf7L8Gs=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nNdtToCyLrRYWZfhcW/7nLY8AYzRnAi9ypTvfLK8yzg=</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HTS300lQGDlk+MfHgIuLeJkenBPS47RQ3xm//T/J2sc=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n5RCuDtTgbfx6gM1jae7WBqbrsQKdN6GSGUR52gPk7A=</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X3EtYllnFoaKEw7Tw0bNOvriyHqAzVq8twNuwJIBPxU=</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6fKzEJ8mshlLVALUgoExoLXjB3Nsj3v209Zq6btkSY4=</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Z7oPw6R7No62hayvTlMi5PYCHgD7Shg6qtWGfkOIMT8=</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0+HKp5UiGaFx8+DzqVnMnAxN1MO0MZb7IctkQURuaSg=</DigestValue>
      </Reference>
      <Reference URI="/xl/externalLinks/externalLink1.xml?ContentType=application/vnd.openxmlformats-officedocument.spreadsheetml.externalLink+xml">
        <DigestMethod Algorithm="http://www.w3.org/2001/04/xmlenc#sha256"/>
        <DigestValue>gnxBHzBduqFNBgyv7H1bqWiAMobpecJfs9K5XHb72YQ=</DigestValue>
      </Reference>
      <Reference URI="/xl/externalLinks/externalLink2.xml?ContentType=application/vnd.openxmlformats-officedocument.spreadsheetml.externalLink+xml">
        <DigestMethod Algorithm="http://www.w3.org/2001/04/xmlenc#sha256"/>
        <DigestValue>6abysXUOzPEGsPOfi6Q1G0iqM4hWlMtSpZLD+sKJhME=</DigestValue>
      </Reference>
      <Reference URI="/xl/externalLinks/externalLink3.xml?ContentType=application/vnd.openxmlformats-officedocument.spreadsheetml.externalLink+xml">
        <DigestMethod Algorithm="http://www.w3.org/2001/04/xmlenc#sha256"/>
        <DigestValue>heKQ6rHGfHBxEnaGCVNoDsf2Ql2K2mw+9Uig9fq18VY=</DigestValue>
      </Reference>
      <Reference URI="/xl/externalLinks/externalLink4.xml?ContentType=application/vnd.openxmlformats-officedocument.spreadsheetml.externalLink+xml">
        <DigestMethod Algorithm="http://www.w3.org/2001/04/xmlenc#sha256"/>
        <DigestValue>JhRNuQShnbzoIdkNVGFOvXKMp2rCrSiMTZhsiqD1rsE=</DigestValue>
      </Reference>
      <Reference URI="/xl/externalLinks/externalLink5.xml?ContentType=application/vnd.openxmlformats-officedocument.spreadsheetml.externalLink+xml">
        <DigestMethod Algorithm="http://www.w3.org/2001/04/xmlenc#sha256"/>
        <DigestValue>W+AVPsGAFCvSzPdq4v5OC5fSKMEb1ZHkUY0+KxovhpY=</DigestValue>
      </Reference>
      <Reference URI="/xl/externalLinks/externalLink6.xml?ContentType=application/vnd.openxmlformats-officedocument.spreadsheetml.externalLink+xml">
        <DigestMethod Algorithm="http://www.w3.org/2001/04/xmlenc#sha256"/>
        <DigestValue>7u5LpxsyIwS79jOb+whDqzSErETjPi9K3BM9tD+S1+E=</DigestValue>
      </Reference>
      <Reference URI="/xl/externalLinks/externalLink7.xml?ContentType=application/vnd.openxmlformats-officedocument.spreadsheetml.externalLink+xml">
        <DigestMethod Algorithm="http://www.w3.org/2001/04/xmlenc#sha256"/>
        <DigestValue>rKIs3vtfau+jg9Ra6Fa1n/9hWPdb0RkrMu3LArYoGWw=</DigestValue>
      </Reference>
      <Reference URI="/xl/media/image1.jpeg?ContentType=image/jpeg">
        <DigestMethod Algorithm="http://www.w3.org/2001/04/xmlenc#sha256"/>
        <DigestValue>uNFBI25vJ0QwZIkEhW50Js70TtBqJFCDzdOvl5Lk0JE=</DigestValue>
      </Reference>
      <Reference URI="/xl/media/image2.emf?ContentType=image/x-emf">
        <DigestMethod Algorithm="http://www.w3.org/2001/04/xmlenc#sha256"/>
        <DigestValue>n9NiYkbnHKobqiGQJShD5wvxuDlKQ41js8x7Z01+ezI=</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kF5ZZIJqhfGzJ/MsJ4GmTO8c/Lu25qDRfABMjxEfjBg=</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tVOuYuRrdzbo8LP45TcsSYVclOdSaPaGljr1PpHM/4g=</DigestValue>
      </Reference>
      <Reference URI="/xl/printerSettings/printerSettings13.bin?ContentType=application/vnd.openxmlformats-officedocument.spreadsheetml.printerSettings">
        <DigestMethod Algorithm="http://www.w3.org/2001/04/xmlenc#sha256"/>
        <DigestValue>hn9N2FuhLED1G+oO9NyaIcvvOOi+Obt7ukBjap+G5yY=</DigestValue>
      </Reference>
      <Reference URI="/xl/printerSettings/printerSettings14.bin?ContentType=application/vnd.openxmlformats-officedocument.spreadsheetml.printerSettings">
        <DigestMethod Algorithm="http://www.w3.org/2001/04/xmlenc#sha256"/>
        <DigestValue>akHyixeXryQ1BBml1QzWyxPvdav7SNQR62N+Fak77QQ=</DigestValue>
      </Reference>
      <Reference URI="/xl/printerSettings/printerSettings15.bin?ContentType=application/vnd.openxmlformats-officedocument.spreadsheetml.printerSettings">
        <DigestMethod Algorithm="http://www.w3.org/2001/04/xmlenc#sha256"/>
        <DigestValue>jqnpqOdrZNpPDlsA6eGCQZiw1dum7FB9Gc4KLWxc6MM=</DigestValue>
      </Reference>
      <Reference URI="/xl/printerSettings/printerSettings16.bin?ContentType=application/vnd.openxmlformats-officedocument.spreadsheetml.printerSettings">
        <DigestMethod Algorithm="http://www.w3.org/2001/04/xmlenc#sha256"/>
        <DigestValue>uixKkHxT7c7vuGcgO7TroOm8W22jxRIFIfGA5u30LXw=</DigestValue>
      </Reference>
      <Reference URI="/xl/printerSettings/printerSettings17.bin?ContentType=application/vnd.openxmlformats-officedocument.spreadsheetml.printerSettings">
        <DigestMethod Algorithm="http://www.w3.org/2001/04/xmlenc#sha256"/>
        <DigestValue>akHyixeXryQ1BBml1QzWyxPvdav7SNQR62N+Fak77QQ=</DigestValue>
      </Reference>
      <Reference URI="/xl/printerSettings/printerSettings18.bin?ContentType=application/vnd.openxmlformats-officedocument.spreadsheetml.printerSettings">
        <DigestMethod Algorithm="http://www.w3.org/2001/04/xmlenc#sha256"/>
        <DigestValue>tVOuYuRrdzbo8LP45TcsSYVclOdSaPaGljr1PpHM/4g=</DigestValue>
      </Reference>
      <Reference URI="/xl/printerSettings/printerSettings19.bin?ContentType=application/vnd.openxmlformats-officedocument.spreadsheetml.printerSettings">
        <DigestMethod Algorithm="http://www.w3.org/2001/04/xmlenc#sha256"/>
        <DigestValue>lhqNU7rBRuoOJmmM9bzOZSyyB084+UHPE3b+4bG2W2E=</DigestValue>
      </Reference>
      <Reference URI="/xl/printerSettings/printerSettings2.bin?ContentType=application/vnd.openxmlformats-officedocument.spreadsheetml.printerSettings">
        <DigestMethod Algorithm="http://www.w3.org/2001/04/xmlenc#sha256"/>
        <DigestValue>vl0GPJKuVCrc0qAYXS+k1h6i7oxiEfqX05Zyh8EKr9s=</DigestValue>
      </Reference>
      <Reference URI="/xl/printerSettings/printerSettings20.bin?ContentType=application/vnd.openxmlformats-officedocument.spreadsheetml.printerSettings">
        <DigestMethod Algorithm="http://www.w3.org/2001/04/xmlenc#sha256"/>
        <DigestValue>hn9N2FuhLED1G+oO9NyaIcvvOOi+Obt7ukBjap+G5yY=</DigestValue>
      </Reference>
      <Reference URI="/xl/printerSettings/printerSettings21.bin?ContentType=application/vnd.openxmlformats-officedocument.spreadsheetml.printerSettings">
        <DigestMethod Algorithm="http://www.w3.org/2001/04/xmlenc#sha256"/>
        <DigestValue>eyrafQt42PO5IixG42EBDPuWLmU5GCuFx37r5Ws58H0=</DigestValue>
      </Reference>
      <Reference URI="/xl/printerSettings/printerSettings22.bin?ContentType=application/vnd.openxmlformats-officedocument.spreadsheetml.printerSettings">
        <DigestMethod Algorithm="http://www.w3.org/2001/04/xmlenc#sha256"/>
        <DigestValue>Gk2iFnrZMn3Pwh1M3lfOQ8puAQfX64Ox/ICQ23vq6AY=</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CPmghBcq8M3AOC7OD9E4RGQCJ4N82avzjW2vuKZebXA=</DigestValue>
      </Reference>
      <Reference URI="/xl/printerSettings/printerSettings26.bin?ContentType=application/vnd.openxmlformats-officedocument.spreadsheetml.printerSettings">
        <DigestMethod Algorithm="http://www.w3.org/2001/04/xmlenc#sha256"/>
        <DigestValue>CPmghBcq8M3AOC7OD9E4RGQCJ4N82avzjW2vuKZebXA=</DigestValue>
      </Reference>
      <Reference URI="/xl/printerSettings/printerSettings27.bin?ContentType=application/vnd.openxmlformats-officedocument.spreadsheetml.printerSettings">
        <DigestMethod Algorithm="http://www.w3.org/2001/04/xmlenc#sha256"/>
        <DigestValue>tVOuYuRrdzbo8LP45TcsSYVclOdSaPaGljr1PpHM/4g=</DigestValue>
      </Reference>
      <Reference URI="/xl/printerSettings/printerSettings28.bin?ContentType=application/vnd.openxmlformats-officedocument.spreadsheetml.printerSettings">
        <DigestMethod Algorithm="http://www.w3.org/2001/04/xmlenc#sha256"/>
        <DigestValue>kZOtkzgPOxpTjLf3wXk0oK9/1T7tKMq+b4mHViW9c2E=</DigestValue>
      </Reference>
      <Reference URI="/xl/printerSettings/printerSettings3.bin?ContentType=application/vnd.openxmlformats-officedocument.spreadsheetml.printerSettings">
        <DigestMethod Algorithm="http://www.w3.org/2001/04/xmlenc#sha256"/>
        <DigestValue>kZOtkzgPOxpTjLf3wXk0oK9/1T7tKMq+b4mHViW9c2E=</DigestValue>
      </Reference>
      <Reference URI="/xl/printerSettings/printerSettings4.bin?ContentType=application/vnd.openxmlformats-officedocument.spreadsheetml.printerSettings">
        <DigestMethod Algorithm="http://www.w3.org/2001/04/xmlenc#sha256"/>
        <DigestValue>wLiy6LpEuHxBnsxzQ892jbm/w59pzVZlxGs3Du30RNs=</DigestValue>
      </Reference>
      <Reference URI="/xl/printerSettings/printerSettings5.bin?ContentType=application/vnd.openxmlformats-officedocument.spreadsheetml.printerSettings">
        <DigestMethod Algorithm="http://www.w3.org/2001/04/xmlenc#sha256"/>
        <DigestValue>Dz27cbWr41kVTaSP3vl/G9giw0/aTSuchDZ4fbkwKi4=</DigestValue>
      </Reference>
      <Reference URI="/xl/printerSettings/printerSettings6.bin?ContentType=application/vnd.openxmlformats-officedocument.spreadsheetml.printerSettings">
        <DigestMethod Algorithm="http://www.w3.org/2001/04/xmlenc#sha256"/>
        <DigestValue>JuSJ0sPwXaJNp2rhlFULwXlAGYoSRM2uI2u75aoftZM=</DigestValue>
      </Reference>
      <Reference URI="/xl/printerSettings/printerSettings7.bin?ContentType=application/vnd.openxmlformats-officedocument.spreadsheetml.printerSettings">
        <DigestMethod Algorithm="http://www.w3.org/2001/04/xmlenc#sha256"/>
        <DigestValue>pzHCxJZJqV8QN3TxJNQIsgGd/jmH7l/G8/3LR3ZSRLA=</DigestValue>
      </Reference>
      <Reference URI="/xl/printerSettings/printerSettings8.bin?ContentType=application/vnd.openxmlformats-officedocument.spreadsheetml.printerSettings">
        <DigestMethod Algorithm="http://www.w3.org/2001/04/xmlenc#sha256"/>
        <DigestValue>kF5ZZIJqhfGzJ/MsJ4GmTO8c/Lu25qDRfABMjxEfjBg=</DigestValue>
      </Reference>
      <Reference URI="/xl/printerSettings/printerSettings9.bin?ContentType=application/vnd.openxmlformats-officedocument.spreadsheetml.printerSettings">
        <DigestMethod Algorithm="http://www.w3.org/2001/04/xmlenc#sha256"/>
        <DigestValue>edWPBlAR1vYIEuwXnUTS6MWjgNoH6Ap+On30xKduCsc=</DigestValue>
      </Reference>
      <Reference URI="/xl/sharedStrings.xml?ContentType=application/vnd.openxmlformats-officedocument.spreadsheetml.sharedStrings+xml">
        <DigestMethod Algorithm="http://www.w3.org/2001/04/xmlenc#sha256"/>
        <DigestValue>ckorfJby7FLOaE+jVwe5QJ3YZhJuMs6s3TB5Blihc6k=</DigestValue>
      </Reference>
      <Reference URI="/xl/styles.xml?ContentType=application/vnd.openxmlformats-officedocument.spreadsheetml.styles+xml">
        <DigestMethod Algorithm="http://www.w3.org/2001/04/xmlenc#sha256"/>
        <DigestValue>/oY9erHVBeuFNfLmmY69JV8+G2sdqB+bfysbdIV0GWQ=</DigestValue>
      </Reference>
      <Reference URI="/xl/theme/theme1.xml?ContentType=application/vnd.openxmlformats-officedocument.theme+xml">
        <DigestMethod Algorithm="http://www.w3.org/2001/04/xmlenc#sha256"/>
        <DigestValue>gcKivLSR62CMLp3FoReG1kslclLlHYCA7f/kGgXQhW4=</DigestValue>
      </Reference>
      <Reference URI="/xl/workbook.xml?ContentType=application/vnd.openxmlformats-officedocument.spreadsheetml.sheet.main+xml">
        <DigestMethod Algorithm="http://www.w3.org/2001/04/xmlenc#sha256"/>
        <DigestValue>MOWksGBaeCdnGaB9HFNGhmjsm+xskEu/lSYTLAwDeDM=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axdv82m5VHKFytv75vJeON3yEPwuItf7sYdijAWraFU=</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72Dh22/5nJs8GzgoNSIITAueNO0MuL3xBNDlajrLDKQ=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28p94RhPvxo0se6wl6MOMJa0E+rPlmClHeh/tIl7z5Y=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S7Rit4EslipY9D6d2iHhm4nRhUEB4O+cERRjXlVuPgg=</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tS9m/g4OKf9uC2AtUvPu1FoO6JxaerJYQnTV+nSZI5s=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OVEG+hZGyQkUGaKxml2VRFVVtLAFCM3aZOIFB9oAaRk=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/Rw9CKLkiOvmYBOWXaZ8NHMJTCbDLTqUsP9tiEUohu4=</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5s73pDIlbQg78s3y8iW9m5qQKRNBHdZ353yv5hKxPnQ=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HtzyufmJNT7O2443iR1Shlftl3O7rtCjsWneT2DiPhw=</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02lJbVdVnanyLfi4AmozvxTwDr/5WWaeBKAdQv8SS0E=</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i2TtP0YIuAjCH7eaUWVxULzP3CL1pHiiTRZrqMKlmxk=</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WW4/ZeauOP6s2KE/uu/QX7A00WxNkLvTceLuEEoYuQE=</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BIcejRhrOvMTA+NddOhgubZ8KZT6Nv8f4u/FW95TfD0=</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1sLqT74frk9tHB3RhD93B6Tvl8mVnCtTp7N1y7wuE5E=</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wetYv5KKw7LrWEZeNSoPqIsPz3IpdRh5kDOOL3To1gY=</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1z2IX2FtUXLQBYafOsq/Xuvzaa+HQquBn7K+cS9L/ko=</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TFTJWlcTFqpsWSyI0c/R/AtsM6QqhMKs7MqwNH3COsg=</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xtGxpqrt37iD/KHXDxHVvL4MnUdHCcozoBH7GMRZJ0Y=</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5dGEBXVB03aLoMSs3kVj+7uSVfRUn+P+vrF5Xe7KTag=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B6LFnSCXBuyGbaDdfRzvbbRlz9K1Nb2H4QCm1aFeooM=</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sUr5cGGCZAgyT4j/71yB+996HAe1GRxmfMaH8At1fNA=</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q/t2KFusp3aHwObHXGKKbxLqBTVqI1dvemGeZjBzgkM=</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Xhy7onXyb25NxSE6bSDNn+udXc+SVtVyRx5o4pKJPsU=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ixeEd4smAs2iL+h6rGnMuUq8dVBb/5aODMs5d16k7oc=</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fwwrWkVIvR4weGPwZBLBkAt1ezkGlUkOs1CaP/T0GFo=</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BJ/TvD4Ovy1TY0HBJnlON3clyxWKoxuB8jyq7og5RCE=</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txYOOqSyIG6wUlus+Od3AYEKNq154StiK6SF2sBxqno=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cT7tf7X7AlmpMH18L41DDVibAkJMfi9rt08aBkfZUFo=</DigestValue>
      </Reference>
      <Reference URI="/xl/worksheets/sheet10.xml?ContentType=application/vnd.openxmlformats-officedocument.spreadsheetml.worksheet+xml">
        <DigestMethod Algorithm="http://www.w3.org/2001/04/xmlenc#sha256"/>
        <DigestValue>S1t3sYp2hYD3gQDX60kmp/9BozAXQ0j3UQbMKH45sII=</DigestValue>
      </Reference>
      <Reference URI="/xl/worksheets/sheet11.xml?ContentType=application/vnd.openxmlformats-officedocument.spreadsheetml.worksheet+xml">
        <DigestMethod Algorithm="http://www.w3.org/2001/04/xmlenc#sha256"/>
        <DigestValue>LmptK8oESLmC5SWF3IrgfoJhhVlPmrQ/gb25vof6/lc=</DigestValue>
      </Reference>
      <Reference URI="/xl/worksheets/sheet12.xml?ContentType=application/vnd.openxmlformats-officedocument.spreadsheetml.worksheet+xml">
        <DigestMethod Algorithm="http://www.w3.org/2001/04/xmlenc#sha256"/>
        <DigestValue>7IQFMO/w7IkznCOR1bnnY4ArYXop4sGn97366FM52Q0=</DigestValue>
      </Reference>
      <Reference URI="/xl/worksheets/sheet13.xml?ContentType=application/vnd.openxmlformats-officedocument.spreadsheetml.worksheet+xml">
        <DigestMethod Algorithm="http://www.w3.org/2001/04/xmlenc#sha256"/>
        <DigestValue>xMTJoFTEZlpUr1HjSAyEkj9dAEBuX/WqMeIOmU+rsHw=</DigestValue>
      </Reference>
      <Reference URI="/xl/worksheets/sheet14.xml?ContentType=application/vnd.openxmlformats-officedocument.spreadsheetml.worksheet+xml">
        <DigestMethod Algorithm="http://www.w3.org/2001/04/xmlenc#sha256"/>
        <DigestValue>20K+ag9I2+fPZuk+ntLKifCXYKfAtwyQ6DPtPjzka7U=</DigestValue>
      </Reference>
      <Reference URI="/xl/worksheets/sheet15.xml?ContentType=application/vnd.openxmlformats-officedocument.spreadsheetml.worksheet+xml">
        <DigestMethod Algorithm="http://www.w3.org/2001/04/xmlenc#sha256"/>
        <DigestValue>Lrw0IUwp8FpjfyDkfzEPRtK4C8KSovIB75lD3KQ8l/Y=</DigestValue>
      </Reference>
      <Reference URI="/xl/worksheets/sheet16.xml?ContentType=application/vnd.openxmlformats-officedocument.spreadsheetml.worksheet+xml">
        <DigestMethod Algorithm="http://www.w3.org/2001/04/xmlenc#sha256"/>
        <DigestValue>nmoUsLXoXGhJ/Q17SxG5mzPKHQK7MaS1d51wJW9weaU=</DigestValue>
      </Reference>
      <Reference URI="/xl/worksheets/sheet17.xml?ContentType=application/vnd.openxmlformats-officedocument.spreadsheetml.worksheet+xml">
        <DigestMethod Algorithm="http://www.w3.org/2001/04/xmlenc#sha256"/>
        <DigestValue>LKFtJx2HvoGsMmgKd2/3ZytlHJAAZyG7VNgRoXMvaYo=</DigestValue>
      </Reference>
      <Reference URI="/xl/worksheets/sheet18.xml?ContentType=application/vnd.openxmlformats-officedocument.spreadsheetml.worksheet+xml">
        <DigestMethod Algorithm="http://www.w3.org/2001/04/xmlenc#sha256"/>
        <DigestValue>R4kfKAMJaOMndTsVgifwCcXp/5FgzxsSRwh0+EWYDE4=</DigestValue>
      </Reference>
      <Reference URI="/xl/worksheets/sheet19.xml?ContentType=application/vnd.openxmlformats-officedocument.spreadsheetml.worksheet+xml">
        <DigestMethod Algorithm="http://www.w3.org/2001/04/xmlenc#sha256"/>
        <DigestValue>BKX17T2FjWJmD6NQfH3y+Aa9Alc434vtuXdHaIfeI6I=</DigestValue>
      </Reference>
      <Reference URI="/xl/worksheets/sheet2.xml?ContentType=application/vnd.openxmlformats-officedocument.spreadsheetml.worksheet+xml">
        <DigestMethod Algorithm="http://www.w3.org/2001/04/xmlenc#sha256"/>
        <DigestValue>dDbh0irrX1OTd4/WdP99VI5MhktC4PbQxFJYCU+jdds=</DigestValue>
      </Reference>
      <Reference URI="/xl/worksheets/sheet20.xml?ContentType=application/vnd.openxmlformats-officedocument.spreadsheetml.worksheet+xml">
        <DigestMethod Algorithm="http://www.w3.org/2001/04/xmlenc#sha256"/>
        <DigestValue>NDALgzPGnFeJfdDsopiBPhAbJDtqqPitsZksUQiqbkU=</DigestValue>
      </Reference>
      <Reference URI="/xl/worksheets/sheet21.xml?ContentType=application/vnd.openxmlformats-officedocument.spreadsheetml.worksheet+xml">
        <DigestMethod Algorithm="http://www.w3.org/2001/04/xmlenc#sha256"/>
        <DigestValue>Ab/h7pMtgwpjs8eeU9/pIfUwx6h2YfmwHMUSpd59IrE=</DigestValue>
      </Reference>
      <Reference URI="/xl/worksheets/sheet22.xml?ContentType=application/vnd.openxmlformats-officedocument.spreadsheetml.worksheet+xml">
        <DigestMethod Algorithm="http://www.w3.org/2001/04/xmlenc#sha256"/>
        <DigestValue>gxunOZrAq0g9/Fab649EMl0iLMpGNzEhIDDS5nSFXCk=</DigestValue>
      </Reference>
      <Reference URI="/xl/worksheets/sheet23.xml?ContentType=application/vnd.openxmlformats-officedocument.spreadsheetml.worksheet+xml">
        <DigestMethod Algorithm="http://www.w3.org/2001/04/xmlenc#sha256"/>
        <DigestValue>llLp9Gl69spbD+hVjycEFDgml6v0m7d/zR1+wZ9jE+g=</DigestValue>
      </Reference>
      <Reference URI="/xl/worksheets/sheet24.xml?ContentType=application/vnd.openxmlformats-officedocument.spreadsheetml.worksheet+xml">
        <DigestMethod Algorithm="http://www.w3.org/2001/04/xmlenc#sha256"/>
        <DigestValue>EVVc2vDKhl9hf3RIK9W1w0FdnMzdiHSzVDKJgSqFSSY=</DigestValue>
      </Reference>
      <Reference URI="/xl/worksheets/sheet25.xml?ContentType=application/vnd.openxmlformats-officedocument.spreadsheetml.worksheet+xml">
        <DigestMethod Algorithm="http://www.w3.org/2001/04/xmlenc#sha256"/>
        <DigestValue>BBUiNWIYlbWfMDmC9vGI9Vq3xJetioRXsoEGzYEkf6M=</DigestValue>
      </Reference>
      <Reference URI="/xl/worksheets/sheet26.xml?ContentType=application/vnd.openxmlformats-officedocument.spreadsheetml.worksheet+xml">
        <DigestMethod Algorithm="http://www.w3.org/2001/04/xmlenc#sha256"/>
        <DigestValue>95+ozAC0l4fMP3jo3STWYFVavn2t75rGRGucNOGNSWU=</DigestValue>
      </Reference>
      <Reference URI="/xl/worksheets/sheet27.xml?ContentType=application/vnd.openxmlformats-officedocument.spreadsheetml.worksheet+xml">
        <DigestMethod Algorithm="http://www.w3.org/2001/04/xmlenc#sha256"/>
        <DigestValue>Pk675JeFFoHrvBVrFuuiHzBtDQNTk9GCJTjub6/kK4c=</DigestValue>
      </Reference>
      <Reference URI="/xl/worksheets/sheet28.xml?ContentType=application/vnd.openxmlformats-officedocument.spreadsheetml.worksheet+xml">
        <DigestMethod Algorithm="http://www.w3.org/2001/04/xmlenc#sha256"/>
        <DigestValue>j71SVeF0/QmflViNASynIuP18ZzzSyVAhpDS71bqQ5I=</DigestValue>
      </Reference>
      <Reference URI="/xl/worksheets/sheet29.xml?ContentType=application/vnd.openxmlformats-officedocument.spreadsheetml.worksheet+xml">
        <DigestMethod Algorithm="http://www.w3.org/2001/04/xmlenc#sha256"/>
        <DigestValue>ZDvdvXt00qsJ0o2NSKzUvWvf+McD7+QLvdMug3aeY+c=</DigestValue>
      </Reference>
      <Reference URI="/xl/worksheets/sheet3.xml?ContentType=application/vnd.openxmlformats-officedocument.spreadsheetml.worksheet+xml">
        <DigestMethod Algorithm="http://www.w3.org/2001/04/xmlenc#sha256"/>
        <DigestValue>7UjTwuE09q2EFURA2vxke8T2ZGioREikVJKLHQyn44w=</DigestValue>
      </Reference>
      <Reference URI="/xl/worksheets/sheet30.xml?ContentType=application/vnd.openxmlformats-officedocument.spreadsheetml.worksheet+xml">
        <DigestMethod Algorithm="http://www.w3.org/2001/04/xmlenc#sha256"/>
        <DigestValue>b+C9CZ0O455n9jD6WUz7V6sGZY97AoX0i/qdLo8kBH0=</DigestValue>
      </Reference>
      <Reference URI="/xl/worksheets/sheet31.xml?ContentType=application/vnd.openxmlformats-officedocument.spreadsheetml.worksheet+xml">
        <DigestMethod Algorithm="http://www.w3.org/2001/04/xmlenc#sha256"/>
        <DigestValue>Zsh10VulNIii+QyDsXx/XV2GyFH6NHKIQs0EbhFUqyY=</DigestValue>
      </Reference>
      <Reference URI="/xl/worksheets/sheet32.xml?ContentType=application/vnd.openxmlformats-officedocument.spreadsheetml.worksheet+xml">
        <DigestMethod Algorithm="http://www.w3.org/2001/04/xmlenc#sha256"/>
        <DigestValue>hO758hvCMiYufVlQM7R/qP+nlJVn9qt/oba5sFh1mp8=</DigestValue>
      </Reference>
      <Reference URI="/xl/worksheets/sheet33.xml?ContentType=application/vnd.openxmlformats-officedocument.spreadsheetml.worksheet+xml">
        <DigestMethod Algorithm="http://www.w3.org/2001/04/xmlenc#sha256"/>
        <DigestValue>oRy481OgwyImxizUD9J5jXEaIZPAMS5ugN5XSzS1vZI=</DigestValue>
      </Reference>
      <Reference URI="/xl/worksheets/sheet34.xml?ContentType=application/vnd.openxmlformats-officedocument.spreadsheetml.worksheet+xml">
        <DigestMethod Algorithm="http://www.w3.org/2001/04/xmlenc#sha256"/>
        <DigestValue>2oSFxhXV93GglFSJZ37TxE2dwtDWTGddD/sZVgcGHQE=</DigestValue>
      </Reference>
      <Reference URI="/xl/worksheets/sheet35.xml?ContentType=application/vnd.openxmlformats-officedocument.spreadsheetml.worksheet+xml">
        <DigestMethod Algorithm="http://www.w3.org/2001/04/xmlenc#sha256"/>
        <DigestValue>LhlVR7OwMS7qU1HIYR/ELVaHfjMelbfM0ImB3/GLvdo=</DigestValue>
      </Reference>
      <Reference URI="/xl/worksheets/sheet36.xml?ContentType=application/vnd.openxmlformats-officedocument.spreadsheetml.worksheet+xml">
        <DigestMethod Algorithm="http://www.w3.org/2001/04/xmlenc#sha256"/>
        <DigestValue>G/SUB04MJ3vmS2/HY7GgCmnsRsMSyiQn+JnahrfGHWE=</DigestValue>
      </Reference>
      <Reference URI="/xl/worksheets/sheet37.xml?ContentType=application/vnd.openxmlformats-officedocument.spreadsheetml.worksheet+xml">
        <DigestMethod Algorithm="http://www.w3.org/2001/04/xmlenc#sha256"/>
        <DigestValue>CW1w9BmkaQMK5x97fnuAy5Nw/DMnY2Tjjr6MSHt69vo=</DigestValue>
      </Reference>
      <Reference URI="/xl/worksheets/sheet38.xml?ContentType=application/vnd.openxmlformats-officedocument.spreadsheetml.worksheet+xml">
        <DigestMethod Algorithm="http://www.w3.org/2001/04/xmlenc#sha256"/>
        <DigestValue>RUnXaiw/0EgmxsbfmU04ys+NRhBvwloy5QMM6MgTx0Y=</DigestValue>
      </Reference>
      <Reference URI="/xl/worksheets/sheet39.xml?ContentType=application/vnd.openxmlformats-officedocument.spreadsheetml.worksheet+xml">
        <DigestMethod Algorithm="http://www.w3.org/2001/04/xmlenc#sha256"/>
        <DigestValue>NFWmvKDTXJPAr/djnzJ00hYZ6f7yIG44xR2NIl0YT9Q=</DigestValue>
      </Reference>
      <Reference URI="/xl/worksheets/sheet4.xml?ContentType=application/vnd.openxmlformats-officedocument.spreadsheetml.worksheet+xml">
        <DigestMethod Algorithm="http://www.w3.org/2001/04/xmlenc#sha256"/>
        <DigestValue>4wB2qRaMlcu4r06NyJHTSaP+IqxqHO8aKttkTc8uJ98=</DigestValue>
      </Reference>
      <Reference URI="/xl/worksheets/sheet40.xml?ContentType=application/vnd.openxmlformats-officedocument.spreadsheetml.worksheet+xml">
        <DigestMethod Algorithm="http://www.w3.org/2001/04/xmlenc#sha256"/>
        <DigestValue>b2iF6nA7mjKO5KlLdkrAI2YfCSMk4jtOHq7kcjMHGoI=</DigestValue>
      </Reference>
      <Reference URI="/xl/worksheets/sheet41.xml?ContentType=application/vnd.openxmlformats-officedocument.spreadsheetml.worksheet+xml">
        <DigestMethod Algorithm="http://www.w3.org/2001/04/xmlenc#sha256"/>
        <DigestValue>8Bzv5Yt/qLcAI5QwY3A0tXI+zv/A4FHGW5a8rYn4riw=</DigestValue>
      </Reference>
      <Reference URI="/xl/worksheets/sheet42.xml?ContentType=application/vnd.openxmlformats-officedocument.spreadsheetml.worksheet+xml">
        <DigestMethod Algorithm="http://www.w3.org/2001/04/xmlenc#sha256"/>
        <DigestValue>mkUGUw84SgTdbjRIpntsf9BrCcPF8ehsBhjZfQY2Ado=</DigestValue>
      </Reference>
      <Reference URI="/xl/worksheets/sheet43.xml?ContentType=application/vnd.openxmlformats-officedocument.spreadsheetml.worksheet+xml">
        <DigestMethod Algorithm="http://www.w3.org/2001/04/xmlenc#sha256"/>
        <DigestValue>9SKVTBYKDvpQdEQZ0wcgAKxwfYqSTfNpongzRxZXSZw=</DigestValue>
      </Reference>
      <Reference URI="/xl/worksheets/sheet44.xml?ContentType=application/vnd.openxmlformats-officedocument.spreadsheetml.worksheet+xml">
        <DigestMethod Algorithm="http://www.w3.org/2001/04/xmlenc#sha256"/>
        <DigestValue>O53wlpq9rvmWGGLOEJi1uotnVJ990gibU/CH5rqOU5s=</DigestValue>
      </Reference>
      <Reference URI="/xl/worksheets/sheet45.xml?ContentType=application/vnd.openxmlformats-officedocument.spreadsheetml.worksheet+xml">
        <DigestMethod Algorithm="http://www.w3.org/2001/04/xmlenc#sha256"/>
        <DigestValue>OMtSttIY/Y3PX599Rg7QSgENLAjjg/5vgtZyMUXVDwQ=</DigestValue>
      </Reference>
      <Reference URI="/xl/worksheets/sheet46.xml?ContentType=application/vnd.openxmlformats-officedocument.spreadsheetml.worksheet+xml">
        <DigestMethod Algorithm="http://www.w3.org/2001/04/xmlenc#sha256"/>
        <DigestValue>5wVPxritEmBmn3KwFiOii8PEeJjTIb9oCwClqVIaM50=</DigestValue>
      </Reference>
      <Reference URI="/xl/worksheets/sheet47.xml?ContentType=application/vnd.openxmlformats-officedocument.spreadsheetml.worksheet+xml">
        <DigestMethod Algorithm="http://www.w3.org/2001/04/xmlenc#sha256"/>
        <DigestValue>3i1EIp0jeTXxfeCRHgdT/ZVg7Rpvkb8m7YaSLDS3phw=</DigestValue>
      </Reference>
      <Reference URI="/xl/worksheets/sheet48.xml?ContentType=application/vnd.openxmlformats-officedocument.spreadsheetml.worksheet+xml">
        <DigestMethod Algorithm="http://www.w3.org/2001/04/xmlenc#sha256"/>
        <DigestValue>Vu4JcOweScdlKkMB6gdQ025vtjrxtSTexMkvsIH3CKQ=</DigestValue>
      </Reference>
      <Reference URI="/xl/worksheets/sheet5.xml?ContentType=application/vnd.openxmlformats-officedocument.spreadsheetml.worksheet+xml">
        <DigestMethod Algorithm="http://www.w3.org/2001/04/xmlenc#sha256"/>
        <DigestValue>Q8ukZ3IoxbPjv32ko5q8tVEgn/rn6sydNgmGeuHVWuk=</DigestValue>
      </Reference>
      <Reference URI="/xl/worksheets/sheet6.xml?ContentType=application/vnd.openxmlformats-officedocument.spreadsheetml.worksheet+xml">
        <DigestMethod Algorithm="http://www.w3.org/2001/04/xmlenc#sha256"/>
        <DigestValue>Fu7Ky4J5S2xro1s4TZm3qTUp++lCsnSIDd+9phDdADE=</DigestValue>
      </Reference>
      <Reference URI="/xl/worksheets/sheet7.xml?ContentType=application/vnd.openxmlformats-officedocument.spreadsheetml.worksheet+xml">
        <DigestMethod Algorithm="http://www.w3.org/2001/04/xmlenc#sha256"/>
        <DigestValue>mkV+ImUunNwNDzD9OjzUbuEioEZAOL5bIlgwgYRXRi0=</DigestValue>
      </Reference>
      <Reference URI="/xl/worksheets/sheet8.xml?ContentType=application/vnd.openxmlformats-officedocument.spreadsheetml.worksheet+xml">
        <DigestMethod Algorithm="http://www.w3.org/2001/04/xmlenc#sha256"/>
        <DigestValue>X4p0NKua6ThRK9yeig/pMUHFOipVarnJZHdTnuVkVXY=</DigestValue>
      </Reference>
      <Reference URI="/xl/worksheets/sheet9.xml?ContentType=application/vnd.openxmlformats-officedocument.spreadsheetml.worksheet+xml">
        <DigestMethod Algorithm="http://www.w3.org/2001/04/xmlenc#sha256"/>
        <DigestValue>PVGtBHW6CbugCBox1l/UhwF13yNzGT0UUt/nhin/upY=</DigestValue>
      </Reference>
    </Manifest>
    <SignatureProperties>
      <SignatureProperty Id="idSignatureTime" Target="#idPackageSignature">
        <mdssi:SignatureTime xmlns:mdssi="http://schemas.openxmlformats.org/package/2006/digital-signature">
          <mdssi:Format>YYYY-MM-DDThh:mm:ssTZD</mdssi:Format>
          <mdssi:Value>2021-08-16T19:44:07Z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2021-08-16T19:44:07Z</xd:SigningTime>
          <xd:SigningCertificate>
            <xd:Cert>
              <xd:CertDigest>
                <DigestMethod Algorithm="http://www.w3.org/2001/04/xmlenc#sha256"/>
                <DigestValue>z/PeuTr8zKOiNwS0bLV8+DqPa0vDaWNhvHlzG+eag78=</DigestValue>
              </xd:CertDigest>
              <xd:IssuerSerial>
                <X509IssuerName>C=PY, O=DOCUMENTA S.A., CN=CA-DOCUMENTA S.A., SERIALNUMBER=RUC 80050172-1</X509IssuerName>
                <X509SerialNumber>7750920262532914501</X509SerialNumber>
              </xd:IssuerSerial>
            </xd:Cert>
          </xd:SigningCertificate>
          <xd:SignaturePolicyIdentifier>
            <xd:SignaturePolicyImplied/>
          </xd:SignaturePolicyIdentifier>
        </xd:SignedSignatureProperties>
      </xd: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gHeZQ/YfuSoN59bkoC8Ne3uCGpw=</DigestValue>
    </Reference>
    <Reference URI="#idOfficeObject" Type="http://www.w3.org/2000/09/xmldsig#Object">
      <DigestMethod Algorithm="http://www.w3.org/2000/09/xmldsig#sha1"/>
      <DigestValue>5qJivY6RVLCqk7V/NEwuWR96yLM=</DigestValue>
    </Reference>
    <Reference URI="#idSignedProperties" Type="http://uri.etsi.org/01903#SignedProperties">
      <Transforms>
        <Transform Algorithm="http://www.w3.org/TR/2001/REC-xml-c14n-20010315"/>
      </Transforms>
      <DigestMethod Algorithm="http://www.w3.org/2000/09/xmldsig#sha1"/>
      <DigestValue>R4W+/7jfEMPq49VQlOCYM87v+7U=</DigestValue>
    </Reference>
  </SignedInfo>
  <SignatureValue>TfYsaAF+KrIU/8aLUs10lvQROSqjNJ824e+02fYkrQkac+GkbpatXfskemqEhJL/AM7VglHbVeSR
lYqNaoLqwx4n4U3JQ3aBM2I1yZiuwe3iRPKT4V2mGv+tHb4wF9BaQ1DfCf3LrrO2B709QB/MLSJf
gRXn0ICeRGpgFB4NiR9XfPNu5EEenXvDKDe7EQCnTnyaJkstx1fBpomrVwUtucSV3Rm7rIFMLuzF
SeJQ7tzjJSRU4BOFSotzowC6Czce4vCeKwww6Qs9r0EkAKUAkeXoBfpLpiz+ng/WG2gNRdcwhhvg
hAZheu2WS7AyYrYvtCG7MmyjZw7wJPip5UtHCQ==</SignatureValue>
  <KeyInfo>
    <X509Data>
      <X509Certificate>MIIIDjCCBfagAwIBAgIIUeufSOuMTgYwDQYJKoZIhvcNAQELBQAwWzEXMBUGA1UEBRMOUlVDIDgw
MDUwMTcyLTExGjAYBgNVBAMTEUNBLURPQ1VNRU5UQSBTLkEuMRcwFQYDVQQKEw5ET0NVTUVOVEEg
Uy5BLjELMAkGA1UEBhMCUFkwHhcNMjEwNTExMTIxOTI5WhcNMjMwNTExMTIyOTI5WjCBqTELMAkG
A1UEBhMCUFkxGTAXBgNVBAQMEFZFTEFaUVVFWiBBQkVOVEUxEjAQBgNVBAUTCUNJMTA3MzIxOTEW
MBQGA1UEKgwNRkVSTkFORE8gSk9TRTEXMBUGA1UECgwOUEVSU09OQSBGSVNJQ0ExETAPBgNVBAsM
CEZJUk1BIEYyMScwJQYDVQQDDB5GRVJOQU5ETyBKT1NFIFZFTEFaUVVFWiBBQkVOVEUwggEiMA0G
CSqGSIb3DQEBAQUAA4IBDwAwggEKAoIBAQDA48Tq977nBVDiAvcC3PfvWGfVmJGqsb3YAx0t8mXp
lSYVB10bHXMAimff3vjoipdSiFrF6mBahntVNrXVWM3gBU4xlcjxKXocPZIMf81iAti1GIfQZFAi
h29ZG8wKDzq/i3OxaGA7tT0t8g+Y9XIA7mtnu2sZ4WqRIt1zHA5Qec8lIApz4Ch8+e2mtThzS0W2
D01JaEJpejo3Kl+11wLWIfDO0ONH9oAYiIkg+IPiBimmniEeg1PF7+fyCicauhu97bUoKJKCTApx
xPsTarSKbA3KL1zvUvNiZORtoRRxYdIGcHEDH7x9/W2xykoUxIz9L4Z+rj4+j4RKWKYgenopAgMB
AAGjggOFMIIDgTAMBgNVHRMBAf8EAjAAMA4GA1UdDwEB/wQEAwIF4DAqBgNVHSUBAf8EIDAeBggr
BgEFBQcDAQYIKwYBBQUHAwIGCCsGAQUFBwMEMB0GA1UdDgQWBBTGMnAIdKiaEqBgSuaKkfbdQN/8
cjCBlwYIKwYBBQUHAQEEgYowgYcwOgYIKwYBBQUHMAGGLmh0dHBzOi8vd3d3LmRvY3VtZW50YS5j
b20ucHkvZmlybWFkaWdpdGFsL29zY3AwSQYIKwYBBQUHMAKGPWh0dHBzOi8vd3d3LmRvY3VtZW50
YS5jb20ucHkvZmlybWFkaWdpdGFsL2Rlc2Nhcmdhcy9jYWRvYy5jcnQwHwYDVR0jBBgwFoAUQCas
Jlxij8b1AlTkjcEaJtbupbIwTwYDVR0fBEgwRjBEoEKgQIY+aHR0cHM6Ly93d3cuZG9jdW1lbnRh
LmNvbS5weS9maXJtYWRpZ2l0YWwvZGVzY2FyZ2FzL2NybGRvYy5jcmwwKQYDVR0RBCIwIIEeZmVy
bmFuZG92ZWxhenF1ZXphQGhvdG1haWwuY29tMIIB3QYDVR0gBIIB1DCCAdAwggHMBg4rBgEEAYL5
OwEBAQYBATCCAbgwPwYIKwYBBQUHAgEWM2h0dHBzOi8vd3d3LmRvY3VtZW50YS5jb20ucHkvZmly
bWFkaWdpdGFsL2Rlc2NhcmdhczCBwAYIKwYBBQUHAgIwgbMagbBFc3RlIGVzIHVuIGNlcnRpZmlj
YWRvIGRlIHBlcnNvbmEgZu1zaWNhIGN1eWEgY2xhdmUgcHJpdmFkYSBlc3ThIGNvbnRlbmlkYSBl
biB1biBt82R1bG8gZGUgaGFyZHdhcmUgc2VndXJvIHkgc3UgZmluYWxpZGFkIGVzIGF1dGVudGlj
YXIgYSBzdSB0aXR1bGFyIG8gZ2VuZXJhciBmaXJtYXMgZGlnaXRhbGVzLjCBsQYIKwYBBQUHAgIw
gaQagaFUaGlzIGlzIGFuIGVuZCB1c2VyIGNlcnRpZmljYXRlIHdob3NlIHByaXZhdGUga2V5IGlz
IGVtYmVkZGVkIHdpdGhpbiBhIHNlY3VyZSBoYXJkd2FyZSBtb2R1bGUgdGhhdCBhaW1zIHRvIGF1
dGhlbnRpY2F0ZSBpdHMgb3duZXIgb3IgZ2VuZXJhdGUgZGlnaXRhbCBzaWduYXR1cmVzLjANBgkq
hkiG9w0BAQsFAAOCAgEAV1cJ0aULhteJGbzQYxfU97jHm2mGgaON9LOBS7ydTWp+bxz2kFqaErzv
RTGHTm8DbMTPtpZSt8dIsb1dv5J+gXpDUPjsN7NYgIxBNLg79HElRLkTEybCJObg37L+MTWjUyb9
06Dkcn7B1hqBdx3rQRg/LC16dTj6WslywV8J1Y0iAh4aXyNYlr5eBiyuOMq1BYrsjxep5YtVLlib
75Pi8C+i6Ve5o9YzWyI9zOhgbsjWyQppBU5tQnWLZjA6GbJ938oeiZBHhAVyMg7+v9PNqz0nfe/K
d/7M16kUaCIA2PR4eL1Y02Iuc8rufNg2yEjWRXtExkbNURVjM2Ndli2mg8Mc11dBbXf3C33XXMbU
DBXl0PKZAZJC+XtxCn78zFRjDc87Enyx0q3yPgq3HEFmbRf7/YS9cP8rws8Ltv3604eCGLsbMJTU
awzqEQG7k/vHIeBgbbPk29wp8bEyz0HE3R9+KAl7+UAbgXPFvvEwv8L3D8esnfpKwGR6ubm14K7+
ZHb3Y7XWVHVmGyUva3Bq8ki4ZLiJ7TcrkibL8PJ9I2xtwI1m5V9h5d5CAzgIhBTV6HALybTvmlPk
CmgFRYDNMXhgnePgTAdqDuOE2An+qS0cKIh9tg63JMEPhPf7xdwAZZVkdcgEqbw1/Ih66qh/lcjS
BFXxERzQ7Czf/p2290Q=</X509Certificate>
    </X509Data>
  </KeyInfo>
  <Object xmlns:mdssi="http://schemas.openxmlformats.org/package/2006/digital-signature" Id="idPackageObject">
    <Manifest>
      <Reference URI="/xl/externalLinks/externalLink3.xml?ContentType=application/vnd.openxmlformats-officedocument.spreadsheetml.externalLink+xml">
        <DigestMethod Algorithm="http://www.w3.org/2000/09/xmldsig#sha1"/>
        <DigestValue>JbX9/Y3lxPtFrjrJNPeaUh988uk=</DigestValue>
      </Reference>
      <Reference URI="/xl/drawings/drawing23.xml?ContentType=application/vnd.openxmlformats-officedocument.drawing+xml">
        <DigestMethod Algorithm="http://www.w3.org/2000/09/xmldsig#sha1"/>
        <DigestValue>9XCoHfW2Gvr0jPmoAli6ytuaCoA=</DigestValue>
      </Reference>
      <Reference URI="/xl/drawings/drawing11.xml?ContentType=application/vnd.openxmlformats-officedocument.drawing+xml">
        <DigestMethod Algorithm="http://www.w3.org/2000/09/xmldsig#sha1"/>
        <DigestValue>6IT2EwsaxzBRD1jusxCUUoNxEak=</DigestValue>
      </Reference>
      <Reference URI="/xl/drawings/drawing12.xml?ContentType=application/vnd.openxmlformats-officedocument.drawing+xml">
        <DigestMethod Algorithm="http://www.w3.org/2000/09/xmldsig#sha1"/>
        <DigestValue>LJHDLE2uARssAHTMaCyrFYm4l+8=</DigestValue>
      </Reference>
      <Reference URI="/xl/drawings/drawing13.xml?ContentType=application/vnd.openxmlformats-officedocument.drawing+xml">
        <DigestMethod Algorithm="http://www.w3.org/2000/09/xmldsig#sha1"/>
        <DigestValue>Bv06gadtdXXnza+1waHJ1JXR01k=</DigestValue>
      </Reference>
      <Reference URI="/xl/drawings/drawing19.xml?ContentType=application/vnd.openxmlformats-officedocument.drawing+xml">
        <DigestMethod Algorithm="http://www.w3.org/2000/09/xmldsig#sha1"/>
        <DigestValue>LKhz/h0hlcyxPXOzrDHY3SkOY2A=</DigestValue>
      </Reference>
      <Reference URI="/xl/media/image1.jpeg?ContentType=image/jpeg">
        <DigestMethod Algorithm="http://www.w3.org/2000/09/xmldsig#sha1"/>
        <DigestValue>hmF5dtld99j9LfuweZnUuh155rk=</DigestValue>
      </Reference>
      <Reference URI="/xl/drawings/drawing5.xml?ContentType=application/vnd.openxmlformats-officedocument.drawing+xml">
        <DigestMethod Algorithm="http://www.w3.org/2000/09/xmldsig#sha1"/>
        <DigestValue>I5ZLg2IHZRvNEM9zbAl7JgRq6h4=</DigestValue>
      </Reference>
      <Reference URI="/xl/worksheets/sheet19.xml?ContentType=application/vnd.openxmlformats-officedocument.spreadsheetml.worksheet+xml">
        <DigestMethod Algorithm="http://www.w3.org/2000/09/xmldsig#sha1"/>
        <DigestValue>gcOQx12uVzVFBIZCekMjXRqnqCc=</DigestValue>
      </Reference>
      <Reference URI="/xl/worksheets/sheet20.xml?ContentType=application/vnd.openxmlformats-officedocument.spreadsheetml.worksheet+xml">
        <DigestMethod Algorithm="http://www.w3.org/2000/09/xmldsig#sha1"/>
        <DigestValue>hYzPRbPq0VTb060DA4X21fJLGf4=</DigestValue>
      </Reference>
      <Reference URI="/xl/drawings/drawing20.xml?ContentType=application/vnd.openxmlformats-officedocument.drawing+xml">
        <DigestMethod Algorithm="http://www.w3.org/2000/09/xmldsig#sha1"/>
        <DigestValue>u5SSr+3EQRx2ilOc0V6J2nGjn7U=</DigestValue>
      </Reference>
      <Reference URI="/xl/drawings/drawing25.xml?ContentType=application/vnd.openxmlformats-officedocument.drawing+xml">
        <DigestMethod Algorithm="http://www.w3.org/2000/09/xmldsig#sha1"/>
        <DigestValue>Q4FkpgeBCoy7jK+JUnhKDlcqQr8=</DigestValue>
      </Reference>
      <Reference URI="/xl/drawings/drawing14.xml?ContentType=application/vnd.openxmlformats-officedocument.drawing+xml">
        <DigestMethod Algorithm="http://www.w3.org/2000/09/xmldsig#sha1"/>
        <DigestValue>fLJEFqBuXj9fDFP6OvYcG0HbtL0=</DigestValue>
      </Reference>
      <Reference URI="/xl/drawings/drawing26.xml?ContentType=application/vnd.openxmlformats-officedocument.drawing+xml">
        <DigestMethod Algorithm="http://www.w3.org/2000/09/xmldsig#sha1"/>
        <DigestValue>yKcj7/16eFUpePrLHMNeo31AMgc=</DigestValue>
      </Reference>
      <Reference URI="/xl/drawings/drawing6.xml?ContentType=application/vnd.openxmlformats-officedocument.drawing+xml">
        <DigestMethod Algorithm="http://www.w3.org/2000/09/xmldsig#sha1"/>
        <DigestValue>Yaw8o/k92ifUxBscBEc3ekJTULA=</DigestValue>
      </Reference>
      <Reference URI="/xl/drawings/drawing16.xml?ContentType=application/vnd.openxmlformats-officedocument.drawing+xml">
        <DigestMethod Algorithm="http://www.w3.org/2000/09/xmldsig#sha1"/>
        <DigestValue>nlD7gh+Bghn0iAmL+zN/buiHPHw=</DigestValue>
      </Reference>
      <Reference URI="/xl/drawings/drawing17.xml?ContentType=application/vnd.openxmlformats-officedocument.drawing+xml">
        <DigestMethod Algorithm="http://www.w3.org/2000/09/xmldsig#sha1"/>
        <DigestValue>kh8urhPUCzfzSusGWOmyoip6PfY=</DigestValue>
      </Reference>
      <Reference URI="/xl/drawings/drawing18.xml?ContentType=application/vnd.openxmlformats-officedocument.drawing+xml">
        <DigestMethod Algorithm="http://www.w3.org/2000/09/xmldsig#sha1"/>
        <DigestValue>6kCThN+dA4IpTgevNj74F9pv/xE=</DigestValue>
      </Reference>
      <Reference URI="/xl/drawings/drawing21.xml?ContentType=application/vnd.openxmlformats-officedocument.drawing+xml">
        <DigestMethod Algorithm="http://www.w3.org/2000/09/xmldsig#sha1"/>
        <DigestValue>zMhdx8xDF6Ympn3/Uhg+7AM2iO8=</DigestValue>
      </Reference>
      <Reference URI="/xl/drawings/drawing15.xml?ContentType=application/vnd.openxmlformats-officedocument.drawing+xml">
        <DigestMethod Algorithm="http://www.w3.org/2000/09/xmldsig#sha1"/>
        <DigestValue>0Q0WZEWERFpzzDH7XUtaDuXLIRA=</DigestValue>
      </Reference>
      <Reference URI="/xl/drawings/drawing22.xml?ContentType=application/vnd.openxmlformats-officedocument.drawing+xml">
        <DigestMethod Algorithm="http://www.w3.org/2000/09/xmldsig#sha1"/>
        <DigestValue>sJBOTccLUWZARIZ2po8rD0TvWH0=</DigestValue>
      </Reference>
      <Reference URI="/xl/worksheets/sheet21.xml?ContentType=application/vnd.openxmlformats-officedocument.spreadsheetml.worksheet+xml">
        <DigestMethod Algorithm="http://www.w3.org/2000/09/xmldsig#sha1"/>
        <DigestValue>nnR3LVEuITxvyRnEW6pRp0pfIo4=</DigestValue>
      </Reference>
      <Reference URI="/xl/worksheets/sheet22.xml?ContentType=application/vnd.openxmlformats-officedocument.spreadsheetml.worksheet+xml">
        <DigestMethod Algorithm="http://www.w3.org/2000/09/xmldsig#sha1"/>
        <DigestValue>9XmMTjFr4DdINc8UOttDp/7RFFc=</DigestValue>
      </Reference>
      <Reference URI="/xl/worksheets/sheet23.xml?ContentType=application/vnd.openxmlformats-officedocument.spreadsheetml.worksheet+xml">
        <DigestMethod Algorithm="http://www.w3.org/2000/09/xmldsig#sha1"/>
        <DigestValue>r5Me0eE6b/H/op/HS0mSGlhQJOw=</DigestValue>
      </Reference>
      <Reference URI="/xl/worksheets/sheet5.xml?ContentType=application/vnd.openxmlformats-officedocument.spreadsheetml.worksheet+xml">
        <DigestMethod Algorithm="http://www.w3.org/2000/09/xmldsig#sha1"/>
        <DigestValue>5AWX8qscTZNs1iDHzPDn4d7zhxM=</DigestValue>
      </Reference>
      <Reference URI="/xl/worksheets/sheet9.xml?ContentType=application/vnd.openxmlformats-officedocument.spreadsheetml.worksheet+xml">
        <DigestMethod Algorithm="http://www.w3.org/2000/09/xmldsig#sha1"/>
        <DigestValue>SGDiRgtMaMdV9Vvh4fmOb8v37XA=</DigestValue>
      </Reference>
      <Reference URI="/xl/worksheets/sheet10.xml?ContentType=application/vnd.openxmlformats-officedocument.spreadsheetml.worksheet+xml">
        <DigestMethod Algorithm="http://www.w3.org/2000/09/xmldsig#sha1"/>
        <DigestValue>8GctLQrI8padcW9Iq81mcPT07KE=</DigestValue>
      </Reference>
      <Reference URI="/xl/worksheets/sheet11.xml?ContentType=application/vnd.openxmlformats-officedocument.spreadsheetml.worksheet+xml">
        <DigestMethod Algorithm="http://www.w3.org/2000/09/xmldsig#sha1"/>
        <DigestValue>fVtLYir4yarsERVZ+iEGZAq4v+Q=</DigestValue>
      </Reference>
      <Reference URI="/xl/worksheets/sheet15.xml?ContentType=application/vnd.openxmlformats-officedocument.spreadsheetml.worksheet+xml">
        <DigestMethod Algorithm="http://www.w3.org/2000/09/xmldsig#sha1"/>
        <DigestValue>psVGjLM7cDntcVTiAu7TGJRP7N4=</DigestValue>
      </Reference>
      <Reference URI="/xl/worksheets/sheet14.xml?ContentType=application/vnd.openxmlformats-officedocument.spreadsheetml.worksheet+xml">
        <DigestMethod Algorithm="http://www.w3.org/2000/09/xmldsig#sha1"/>
        <DigestValue>i+8izO56Zz0bBb8g093l98Cj03o=</DigestValue>
      </Reference>
      <Reference URI="/xl/worksheets/sheet13.xml?ContentType=application/vnd.openxmlformats-officedocument.spreadsheetml.worksheet+xml">
        <DigestMethod Algorithm="http://www.w3.org/2000/09/xmldsig#sha1"/>
        <DigestValue>btRH7XjpTyv/P2bENm2/g2VWstE=</DigestValue>
      </Reference>
      <Reference URI="/xl/worksheets/sheet12.xml?ContentType=application/vnd.openxmlformats-officedocument.spreadsheetml.worksheet+xml">
        <DigestMethod Algorithm="http://www.w3.org/2000/09/xmldsig#sha1"/>
        <DigestValue>MI2v3lRmEsI6Xz00+eWfJ/v6VbE=</DigestValue>
      </Reference>
      <Reference URI="/xl/worksheets/sheet6.xml?ContentType=application/vnd.openxmlformats-officedocument.spreadsheetml.worksheet+xml">
        <DigestMethod Algorithm="http://www.w3.org/2000/09/xmldsig#sha1"/>
        <DigestValue>nUjrr6Kve/3ta4GHdtyr34AO28U=</DigestValue>
      </Reference>
      <Reference URI="/xl/worksheets/sheet7.xml?ContentType=application/vnd.openxmlformats-officedocument.spreadsheetml.worksheet+xml">
        <DigestMethod Algorithm="http://www.w3.org/2000/09/xmldsig#sha1"/>
        <DigestValue>/XxS9hzeVOHbdiHSaP01BlDMoUE=</DigestValue>
      </Reference>
      <Reference URI="/xl/worksheets/sheet8.xml?ContentType=application/vnd.openxmlformats-officedocument.spreadsheetml.worksheet+xml">
        <DigestMethod Algorithm="http://www.w3.org/2000/09/xmldsig#sha1"/>
        <DigestValue>j78EEmedKSjO0fRpSF8R6f5Pld0=</DigestValue>
      </Reference>
      <Reference URI="/xl/worksheets/sheet24.xml?ContentType=application/vnd.openxmlformats-officedocument.spreadsheetml.worksheet+xml">
        <DigestMethod Algorithm="http://www.w3.org/2000/09/xmldsig#sha1"/>
        <DigestValue>he7y7WHiHoQyF6RQNt+QGa/vJlo=</DigestValue>
      </Reference>
      <Reference URI="/xl/worksheets/sheet28.xml?ContentType=application/vnd.openxmlformats-officedocument.spreadsheetml.worksheet+xml">
        <DigestMethod Algorithm="http://www.w3.org/2000/09/xmldsig#sha1"/>
        <DigestValue>gzebCnySgMRDUnfXfcF2+mKcR9Q=</DigestValue>
      </Reference>
      <Reference URI="/xl/worksheets/sheet27.xml?ContentType=application/vnd.openxmlformats-officedocument.spreadsheetml.worksheet+xml">
        <DigestMethod Algorithm="http://www.w3.org/2000/09/xmldsig#sha1"/>
        <DigestValue>AquzFqNrRNDPLZpiqlw+e9yt2JI=</DigestValue>
      </Reference>
      <Reference URI="/xl/worksheets/sheet26.xml?ContentType=application/vnd.openxmlformats-officedocument.spreadsheetml.worksheet+xml">
        <DigestMethod Algorithm="http://www.w3.org/2000/09/xmldsig#sha1"/>
        <DigestValue>CAXCjA53oM40nkHYvMzK0AEitHg=</DigestValue>
      </Reference>
      <Reference URI="/xl/worksheets/sheet25.xml?ContentType=application/vnd.openxmlformats-officedocument.spreadsheetml.worksheet+xml">
        <DigestMethod Algorithm="http://www.w3.org/2000/09/xmldsig#sha1"/>
        <DigestValue>ox+oBx4eFnBWBekFCnP9EYCu1Ew=</DigestValue>
      </Reference>
      <Reference URI="/xl/printerSettings/printerSettings17.bin?ContentType=application/vnd.openxmlformats-officedocument.spreadsheetml.printerSettings">
        <DigestMethod Algorithm="http://www.w3.org/2000/09/xmldsig#sha1"/>
        <DigestValue>CUidzqdvOYxZTFb2SC/VStL3joE=</DigestValue>
      </Reference>
      <Reference URI="/xl/worksheets/sheet17.xml?ContentType=application/vnd.openxmlformats-officedocument.spreadsheetml.worksheet+xml">
        <DigestMethod Algorithm="http://www.w3.org/2000/09/xmldsig#sha1"/>
        <DigestValue>jYmD/OhZNeXX0WQXtm/4vsAoDtQ=</DigestValue>
      </Reference>
      <Reference URI="/xl/worksheets/sheet16.xml?ContentType=application/vnd.openxmlformats-officedocument.spreadsheetml.worksheet+xml">
        <DigestMethod Algorithm="http://www.w3.org/2000/09/xmldsig#sha1"/>
        <DigestValue>n/eCtQ8+U4EgQi92YUh0PCU0x+Y=</DigestValue>
      </Reference>
      <Reference URI="/xl/drawings/drawing24.xml?ContentType=application/vnd.openxmlformats-officedocument.drawing+xml">
        <DigestMethod Algorithm="http://www.w3.org/2000/09/xmldsig#sha1"/>
        <DigestValue>Z+xVc5i5gHsAZArbV236Ts04RkQ=</DigestValue>
      </Reference>
      <Reference URI="/xl/drawings/drawing27.xml?ContentType=application/vnd.openxmlformats-officedocument.drawing+xml">
        <DigestMethod Algorithm="http://www.w3.org/2000/09/xmldsig#sha1"/>
        <DigestValue>QvfrfrFqwAvOMHohqdUlXKeZP+M=</DigestValue>
      </Reference>
      <Reference URI="/xl/drawings/drawing28.xml?ContentType=application/vnd.openxmlformats-officedocument.drawing+xml">
        <DigestMethod Algorithm="http://www.w3.org/2000/09/xmldsig#sha1"/>
        <DigestValue>PzzKO5l/Myn/h7dpXbAUUWOcXgc=</DigestValue>
      </Reference>
      <Reference URI="/xl/printerSettings/printerSettings8.bin?ContentType=application/vnd.openxmlformats-officedocument.spreadsheetml.printerSettings">
        <DigestMethod Algorithm="http://www.w3.org/2000/09/xmldsig#sha1"/>
        <DigestValue>UYctOM82D3dPi89G/3jLXSCidIo=</DigestValue>
      </Reference>
      <Reference URI="/xl/printerSettings/printerSettings2.bin?ContentType=application/vnd.openxmlformats-officedocument.spreadsheetml.printerSettings">
        <DigestMethod Algorithm="http://www.w3.org/2000/09/xmldsig#sha1"/>
        <DigestValue>BGSp/qloLuIUDv8WmT2w3qDM0fM=</DigestValue>
      </Reference>
      <Reference URI="/xl/printerSettings/printerSettings1.bin?ContentType=application/vnd.openxmlformats-officedocument.spreadsheetml.printerSettings">
        <DigestMethod Algorithm="http://www.w3.org/2000/09/xmldsig#sha1"/>
        <DigestValue>bjI1+PUAhjO61n/NU4qlYJu1o5s=</DigestValue>
      </Reference>
      <Reference URI="/xl/externalLinks/externalLink5.xml?ContentType=application/vnd.openxmlformats-officedocument.spreadsheetml.externalLink+xml">
        <DigestMethod Algorithm="http://www.w3.org/2000/09/xmldsig#sha1"/>
        <DigestValue>mm1duzSEYCpVdRDtRjpvLtf8qys=</DigestValue>
      </Reference>
      <Reference URI="/xl/externalLinks/externalLink6.xml?ContentType=application/vnd.openxmlformats-officedocument.spreadsheetml.externalLink+xml">
        <DigestMethod Algorithm="http://www.w3.org/2000/09/xmldsig#sha1"/>
        <DigestValue>faD3zgKcy/yXHvGNPTg6Syhw0RI=</DigestValue>
      </Reference>
      <Reference URI="/xl/externalLinks/externalLink7.xml?ContentType=application/vnd.openxmlformats-officedocument.spreadsheetml.externalLink+xml">
        <DigestMethod Algorithm="http://www.w3.org/2000/09/xmldsig#sha1"/>
        <DigestValue>pkUfWiX78frND1Yot2f5RYhnOq0=</DigestValue>
      </Reference>
      <Reference URI="/xl/printerSettings/printerSettings10.bin?ContentType=application/vnd.openxmlformats-officedocument.spreadsheetml.printerSettings">
        <DigestMethod Algorithm="http://www.w3.org/2000/09/xmldsig#sha1"/>
        <DigestValue>UYctOM82D3dPi89G/3jLXSCidIo=</DigestValue>
      </Reference>
      <Reference URI="/xl/printerSettings/printerSettings9.bin?ContentType=application/vnd.openxmlformats-officedocument.spreadsheetml.printerSettings">
        <DigestMethod Algorithm="http://www.w3.org/2000/09/xmldsig#sha1"/>
        <DigestValue>80d2Dqzzxe5yDWOT86EgK9nJlTA=</DigestValue>
      </Reference>
      <Reference URI="/xl/printerSettings/printerSettings16.bin?ContentType=application/vnd.openxmlformats-officedocument.spreadsheetml.printerSettings">
        <DigestMethod Algorithm="http://www.w3.org/2000/09/xmldsig#sha1"/>
        <DigestValue>oMETpKbhOGipBhfH7Btgv+GXmho=</DigestValue>
      </Reference>
      <Reference URI="/xl/printerSettings/printerSettings7.bin?ContentType=application/vnd.openxmlformats-officedocument.spreadsheetml.printerSettings">
        <DigestMethod Algorithm="http://www.w3.org/2000/09/xmldsig#sha1"/>
        <DigestValue>UExFuO55+4Mfwosx5Rwk5cKQ1To=</DigestValue>
      </Reference>
      <Reference URI="/xl/printerSettings/printerSettings5.bin?ContentType=application/vnd.openxmlformats-officedocument.spreadsheetml.printerSettings">
        <DigestMethod Algorithm="http://www.w3.org/2000/09/xmldsig#sha1"/>
        <DigestValue>I9D2O9LCcwOzgmHimaRt1T3ZkNs=</DigestValue>
      </Reference>
      <Reference URI="/xl/printerSettings/printerSettings4.bin?ContentType=application/vnd.openxmlformats-officedocument.spreadsheetml.printerSettings">
        <DigestMethod Algorithm="http://www.w3.org/2000/09/xmldsig#sha1"/>
        <DigestValue>edkYL9ME+VUOflSJJsUlmgXDyUg=</DigestValue>
      </Reference>
      <Reference URI="/xl/externalLinks/externalLink2.xml?ContentType=application/vnd.openxmlformats-officedocument.spreadsheetml.externalLink+xml">
        <DigestMethod Algorithm="http://www.w3.org/2000/09/xmldsig#sha1"/>
        <DigestValue>YhgOsDJt+N3Yp1hf1+sseKnA520=</DigestValue>
      </Reference>
      <Reference URI="/xl/printerSettings/printerSettings15.bin?ContentType=application/vnd.openxmlformats-officedocument.spreadsheetml.printerSettings">
        <DigestMethod Algorithm="http://www.w3.org/2000/09/xmldsig#sha1"/>
        <DigestValue>Au2KEJ/2pITYnb9XwtHVxyZxRkM=</DigestValue>
      </Reference>
      <Reference URI="/xl/printerSettings/printerSettings13.bin?ContentType=application/vnd.openxmlformats-officedocument.spreadsheetml.printerSettings">
        <DigestMethod Algorithm="http://www.w3.org/2000/09/xmldsig#sha1"/>
        <DigestValue>/8lLYgao8cVEfwT541qU6X6pvT4=</DigestValue>
      </Reference>
      <Reference URI="/xl/printerSettings/printerSettings12.bin?ContentType=application/vnd.openxmlformats-officedocument.spreadsheetml.printerSettings">
        <DigestMethod Algorithm="http://www.w3.org/2000/09/xmldsig#sha1"/>
        <DigestValue>LE+aT+WramblxOYCbsLDiENwwl0=</DigestValue>
      </Reference>
      <Reference URI="/xl/printerSettings/printerSettings11.bin?ContentType=application/vnd.openxmlformats-officedocument.spreadsheetml.printerSettings">
        <DigestMethod Algorithm="http://www.w3.org/2000/09/xmldsig#sha1"/>
        <DigestValue>3Qnsy+cPJ3e3eDwO1hN/cVFLByU=</DigestValue>
      </Reference>
      <Reference URI="/xl/externalLinks/externalLink1.xml?ContentType=application/vnd.openxmlformats-officedocument.spreadsheetml.externalLink+xml">
        <DigestMethod Algorithm="http://www.w3.org/2000/09/xmldsig#sha1"/>
        <DigestValue>5kn/1rFK+UlIBuRO0g7trL5dZco=</DigestValue>
      </Reference>
      <Reference URI="/xl/externalLinks/externalLink4.xml?ContentType=application/vnd.openxmlformats-officedocument.spreadsheetml.externalLink+xml">
        <DigestMethod Algorithm="http://www.w3.org/2000/09/xmldsig#sha1"/>
        <DigestValue>c/DIHjNVA4BBNsN1idnDtTQwWJg=</DigestValue>
      </Reference>
      <Reference URI="/xl/printerSettings/printerSettings3.bin?ContentType=application/vnd.openxmlformats-officedocument.spreadsheetml.printerSettings">
        <DigestMethod Algorithm="http://www.w3.org/2000/09/xmldsig#sha1"/>
        <DigestValue>EN/A7diTp7fdeplrIW1W7kWs7Yk=</DigestValue>
      </Reference>
      <Reference URI="/xl/printerSettings/printerSettings14.bin?ContentType=application/vnd.openxmlformats-officedocument.spreadsheetml.printerSettings">
        <DigestMethod Algorithm="http://www.w3.org/2000/09/xmldsig#sha1"/>
        <DigestValue>CUidzqdvOYxZTFb2SC/VStL3joE=</DigestValue>
      </Reference>
      <Reference URI="/xl/printerSettings/printerSettings23.bin?ContentType=application/vnd.openxmlformats-officedocument.spreadsheetml.printerSettings">
        <DigestMethod Algorithm="http://www.w3.org/2000/09/xmldsig#sha1"/>
        <DigestValue>yO4RRSJ3NUY1TcmN9S9XC56FDWY=</DigestValue>
      </Reference>
      <Reference URI="/xl/calcChain.xml?ContentType=application/vnd.openxmlformats-officedocument.spreadsheetml.calcChain+xml">
        <DigestMethod Algorithm="http://www.w3.org/2000/09/xmldsig#sha1"/>
        <DigestValue>GKfloS9IA/Yk0BXuiGbIW+FFYx0=</DigestValue>
      </Reference>
      <Reference URI="/xl/drawings/drawing7.xml?ContentType=application/vnd.openxmlformats-officedocument.drawing+xml">
        <DigestMethod Algorithm="http://www.w3.org/2000/09/xmldsig#sha1"/>
        <DigestValue>crx0UtteAtmbrjtQ1RYj6PA65NA=</DigestValue>
      </Reference>
      <Reference URI="/xl/drawings/drawing10.xml?ContentType=application/vnd.openxmlformats-officedocument.drawing+xml">
        <DigestMethod Algorithm="http://www.w3.org/2000/09/xmldsig#sha1"/>
        <DigestValue>ahH2OvLfonc1BRG577JjdbSf6gk=</DigestValue>
      </Reference>
      <Reference URI="/xl/drawings/drawing31.xml?ContentType=application/vnd.openxmlformats-officedocument.drawing+xml">
        <DigestMethod Algorithm="http://www.w3.org/2000/09/xmldsig#sha1"/>
        <DigestValue>qBQsMU7sAO8H9MWJRFzFIG0miAA=</DigestValue>
      </Reference>
      <Reference URI="/xl/drawings/drawing9.xml?ContentType=application/vnd.openxmlformats-officedocument.drawing+xml">
        <DigestMethod Algorithm="http://www.w3.org/2000/09/xmldsig#sha1"/>
        <DigestValue>xML+iB6zE7ZJ784GLrWnCnNcHzM=</DigestValue>
      </Reference>
      <Reference URI="/xl/drawings/drawing8.xml?ContentType=application/vnd.openxmlformats-officedocument.drawing+xml">
        <DigestMethod Algorithm="http://www.w3.org/2000/09/xmldsig#sha1"/>
        <DigestValue>fdTb/j20FSbZ0hK5t4WFRQgV8Zg=</DigestValue>
      </Reference>
      <Reference URI="/xl/drawings/drawing29.xml?ContentType=application/vnd.openxmlformats-officedocument.drawing+xml">
        <DigestMethod Algorithm="http://www.w3.org/2000/09/xmldsig#sha1"/>
        <DigestValue>vB7OnFnJosW4oxowHn0KcMx42TI=</DigestValue>
      </Reference>
      <Reference URI="/xl/drawings/drawing30.xml?ContentType=application/vnd.openxmlformats-officedocument.drawing+xml">
        <DigestMethod Algorithm="http://www.w3.org/2000/09/xmldsig#sha1"/>
        <DigestValue>LNDVhIIYpC7WscbAsMoG38aW08U=</DigestValue>
      </Reference>
      <Reference URI="/xl/media/image2.emf?ContentType=image/x-emf">
        <DigestMethod Algorithm="http://www.w3.org/2000/09/xmldsig#sha1"/>
        <DigestValue>zeTMD85FzYwGYc3/o0sUwPj/+Xs=</DigestValue>
      </Reference>
      <Reference URI="/xl/printerSettings/printerSettings22.bin?ContentType=application/vnd.openxmlformats-officedocument.spreadsheetml.printerSettings">
        <DigestMethod Algorithm="http://www.w3.org/2000/09/xmldsig#sha1"/>
        <DigestValue>R3m3ou0FTb8meo1rgkKOCI2MeHQ=</DigestValue>
      </Reference>
      <Reference URI="/xl/printerSettings/printerSettings21.bin?ContentType=application/vnd.openxmlformats-officedocument.spreadsheetml.printerSettings">
        <DigestMethod Algorithm="http://www.w3.org/2000/09/xmldsig#sha1"/>
        <DigestValue>jPfgj7FpgEk1QM3jUieVTfFJQsQ=</DigestValue>
      </Reference>
      <Reference URI="/xl/printerSettings/printerSettings6.bin?ContentType=application/vnd.openxmlformats-officedocument.spreadsheetml.printerSettings">
        <DigestMethod Algorithm="http://www.w3.org/2000/09/xmldsig#sha1"/>
        <DigestValue>kvzLTWPLCr77UP+ENc+P4RXjyQY=</DigestValue>
      </Reference>
      <Reference URI="/xl/printerSettings/printerSettings19.bin?ContentType=application/vnd.openxmlformats-officedocument.spreadsheetml.printerSettings">
        <DigestMethod Algorithm="http://www.w3.org/2000/09/xmldsig#sha1"/>
        <DigestValue>3Qnsy+cPJ3e3eDwO1hN/cVFLByU=</DigestValue>
      </Reference>
      <Reference URI="/xl/printerSettings/printerSettings28.bin?ContentType=application/vnd.openxmlformats-officedocument.spreadsheetml.printerSettings">
        <DigestMethod Algorithm="http://www.w3.org/2000/09/xmldsig#sha1"/>
        <DigestValue>EN/A7diTp7fdeplrIW1W7kWs7Yk=</DigestValue>
      </Reference>
      <Reference URI="/xl/printerSettings/printerSettings24.bin?ContentType=application/vnd.openxmlformats-officedocument.spreadsheetml.printerSettings">
        <DigestMethod Algorithm="http://www.w3.org/2000/09/xmldsig#sha1"/>
        <DigestValue>yO4RRSJ3NUY1TcmN9S9XC56FDWY=</DigestValue>
      </Reference>
      <Reference URI="/xl/printerSettings/printerSettings26.bin?ContentType=application/vnd.openxmlformats-officedocument.spreadsheetml.printerSettings">
        <DigestMethod Algorithm="http://www.w3.org/2000/09/xmldsig#sha1"/>
        <DigestValue>yO4RRSJ3NUY1TcmN9S9XC56FDWY=</DigestValue>
      </Reference>
      <Reference URI="/xl/printerSettings/printerSettings20.bin?ContentType=application/vnd.openxmlformats-officedocument.spreadsheetml.printerSettings">
        <DigestMethod Algorithm="http://www.w3.org/2000/09/xmldsig#sha1"/>
        <DigestValue>/8lLYgao8cVEfwT541qU6X6pvT4=</DigestValue>
      </Reference>
      <Reference URI="/xl/printerSettings/printerSettings27.bin?ContentType=application/vnd.openxmlformats-officedocument.spreadsheetml.printerSettings">
        <DigestMethod Algorithm="http://www.w3.org/2000/09/xmldsig#sha1"/>
        <DigestValue>LE+aT+WramblxOYCbsLDiENwwl0=</DigestValue>
      </Reference>
      <Reference URI="/xl/printerSettings/printerSettings25.bin?ContentType=application/vnd.openxmlformats-officedocument.spreadsheetml.printerSettings">
        <DigestMethod Algorithm="http://www.w3.org/2000/09/xmldsig#sha1"/>
        <DigestValue>yO4RRSJ3NUY1TcmN9S9XC56FDWY=</DigestValue>
      </Reference>
      <Reference URI="/xl/printerSettings/printerSettings18.bin?ContentType=application/vnd.openxmlformats-officedocument.spreadsheetml.printerSettings">
        <DigestMethod Algorithm="http://www.w3.org/2000/09/xmldsig#sha1"/>
        <DigestValue>LE+aT+WramblxOYCbsLDiENwwl0=</DigestValue>
      </Reference>
      <Reference URI="/xl/worksheets/sheet29.xml?ContentType=application/vnd.openxmlformats-officedocument.spreadsheetml.worksheet+xml">
        <DigestMethod Algorithm="http://www.w3.org/2000/09/xmldsig#sha1"/>
        <DigestValue>LOw0aib6V1WJM2Pdre1gs42aEFA=</DigestValue>
      </Reference>
      <Reference URI="/xl/worksheets/sheet18.xml?ContentType=application/vnd.openxmlformats-officedocument.spreadsheetml.worksheet+xml">
        <DigestMethod Algorithm="http://www.w3.org/2000/09/xmldsig#sha1"/>
        <DigestValue>lKldj+cXE9dNefA/ca2rZoPkqD8=</DigestValue>
      </Reference>
      <Reference URI="/xl/workbook.xml?ContentType=application/vnd.openxmlformats-officedocument.spreadsheetml.sheet.main+xml">
        <DigestMethod Algorithm="http://www.w3.org/2000/09/xmldsig#sha1"/>
        <DigestValue>Qyyfu0hSgCggS5dR+m+BIv5VuKo=</DigestValue>
      </Reference>
      <Reference URI="/xl/worksheets/sheet38.xml?ContentType=application/vnd.openxmlformats-officedocument.spreadsheetml.worksheet+xml">
        <DigestMethod Algorithm="http://www.w3.org/2000/09/xmldsig#sha1"/>
        <DigestValue>7tYcEZ03N9lyYcUjAsQC5En8JgI=</DigestValue>
      </Reference>
      <Reference URI="/xl/worksheets/sheet42.xml?ContentType=application/vnd.openxmlformats-officedocument.spreadsheetml.worksheet+xml">
        <DigestMethod Algorithm="http://www.w3.org/2000/09/xmldsig#sha1"/>
        <DigestValue>m9PGm5eXAFS8ROtV1DxXrWoPhBY=</DigestValue>
      </Reference>
      <Reference URI="/xl/worksheets/sheet41.xml?ContentType=application/vnd.openxmlformats-officedocument.spreadsheetml.worksheet+xml">
        <DigestMethod Algorithm="http://www.w3.org/2000/09/xmldsig#sha1"/>
        <DigestValue>gXegn1m/iF8qjqZclBda5ijgjGc=</DigestValue>
      </Reference>
      <Reference URI="/xl/worksheets/sheet40.xml?ContentType=application/vnd.openxmlformats-officedocument.spreadsheetml.worksheet+xml">
        <DigestMethod Algorithm="http://www.w3.org/2000/09/xmldsig#sha1"/>
        <DigestValue>PMSBnuP2craWN+Y9FCcb5bDX8+Y=</DigestValue>
      </Reference>
      <Reference URI="/xl/worksheets/sheet39.xml?ContentType=application/vnd.openxmlformats-officedocument.spreadsheetml.worksheet+xml">
        <DigestMethod Algorithm="http://www.w3.org/2000/09/xmldsig#sha1"/>
        <DigestValue>lnpUU3fFGM1vAA93c3yA2m7HkSA=</DigestValue>
      </Reference>
      <Reference URI="/xl/drawings/drawing32.xml?ContentType=application/vnd.openxmlformats-officedocument.drawing+xml">
        <DigestMethod Algorithm="http://www.w3.org/2000/09/xmldsig#sha1"/>
        <DigestValue>y+HvIr9l0LMwhTJBJkQ+iX8G554=</DigestValue>
      </Reference>
      <Reference URI="/xl/worksheets/sheet30.xml?ContentType=application/vnd.openxmlformats-officedocument.spreadsheetml.worksheet+xml">
        <DigestMethod Algorithm="http://www.w3.org/2000/09/xmldsig#sha1"/>
        <DigestValue>17OntF7BUdIUylzXbjGTTVX5vEY=</DigestValue>
      </Reference>
      <Reference URI="/xl/worksheets/sheet36.xml?ContentType=application/vnd.openxmlformats-officedocument.spreadsheetml.worksheet+xml">
        <DigestMethod Algorithm="http://www.w3.org/2000/09/xmldsig#sha1"/>
        <DigestValue>8+x6njbjMv0C8F6uj4TLMR95SyQ=</DigestValue>
      </Reference>
      <Reference URI="/xl/worksheets/sheet32.xml?ContentType=application/vnd.openxmlformats-officedocument.spreadsheetml.worksheet+xml">
        <DigestMethod Algorithm="http://www.w3.org/2000/09/xmldsig#sha1"/>
        <DigestValue>jIIASAundd5XKP48c2ymJz0CguU=</DigestValue>
      </Reference>
      <Reference URI="/xl/worksheets/sheet45.xml?ContentType=application/vnd.openxmlformats-officedocument.spreadsheetml.worksheet+xml">
        <DigestMethod Algorithm="http://www.w3.org/2000/09/xmldsig#sha1"/>
        <DigestValue>7Ij+LzUvL8cKh0eDv5//I7BVwN8=</DigestValue>
      </Reference>
      <Reference URI="/xl/worksheets/sheet44.xml?ContentType=application/vnd.openxmlformats-officedocument.spreadsheetml.worksheet+xml">
        <DigestMethod Algorithm="http://www.w3.org/2000/09/xmldsig#sha1"/>
        <DigestValue>oMNE6KwqTV2jF7E/YAdjqGo0cU4=</DigestValue>
      </Reference>
      <Reference URI="/xl/worksheets/sheet43.xml?ContentType=application/vnd.openxmlformats-officedocument.spreadsheetml.worksheet+xml">
        <DigestMethod Algorithm="http://www.w3.org/2000/09/xmldsig#sha1"/>
        <DigestValue>bLfPwGJ59LMg+TWmpz6Q+dHxN9I=</DigestValue>
      </Reference>
      <Reference URI="/xl/worksheets/sheet35.xml?ContentType=application/vnd.openxmlformats-officedocument.spreadsheetml.worksheet+xml">
        <DigestMethod Algorithm="http://www.w3.org/2000/09/xmldsig#sha1"/>
        <DigestValue>xuorQqEHvxyYSc/KbHggTxZbpWU=</DigestValue>
      </Reference>
      <Reference URI="/xl/worksheets/sheet34.xml?ContentType=application/vnd.openxmlformats-officedocument.spreadsheetml.worksheet+xml">
        <DigestMethod Algorithm="http://www.w3.org/2000/09/xmldsig#sha1"/>
        <DigestValue>l6w82+O7aT0WkLbj60zuC8rfzWE=</DigestValue>
      </Reference>
      <Reference URI="/xl/worksheets/sheet33.xml?ContentType=application/vnd.openxmlformats-officedocument.spreadsheetml.worksheet+xml">
        <DigestMethod Algorithm="http://www.w3.org/2000/09/xmldsig#sha1"/>
        <DigestValue>ExeAit+/WqccxdK76HNRxAyntIU=</DigestValue>
      </Reference>
      <Reference URI="/xl/worksheets/sheet1.xml?ContentType=application/vnd.openxmlformats-officedocument.spreadsheetml.worksheet+xml">
        <DigestMethod Algorithm="http://www.w3.org/2000/09/xmldsig#sha1"/>
        <DigestValue>DZdqbQgy2yCbxE7x0kieer+VsZs=</DigestValue>
      </Reference>
      <Reference URI="/xl/drawings/drawing34.xml?ContentType=application/vnd.openxmlformats-officedocument.drawing+xml">
        <DigestMethod Algorithm="http://www.w3.org/2000/09/xmldsig#sha1"/>
        <DigestValue>+JlLmz6fRpZ7mIS4aakgjyBGGjk=</DigestValue>
      </Reference>
      <Reference URI="/xl/worksheets/sheet2.xml?ContentType=application/vnd.openxmlformats-officedocument.spreadsheetml.worksheet+xml">
        <DigestMethod Algorithm="http://www.w3.org/2000/09/xmldsig#sha1"/>
        <DigestValue>j15/V06Qn+JiPKXj+vLPriU6dAQ=</DigestValue>
      </Reference>
      <Reference URI="/xl/drawings/drawing41.xml?ContentType=application/vnd.openxmlformats-officedocument.drawing+xml">
        <DigestMethod Algorithm="http://www.w3.org/2000/09/xmldsig#sha1"/>
        <DigestValue>62yta8/Ql08960LuhpGj4fedWPo=</DigestValue>
      </Reference>
      <Reference URI="/xl/drawings/drawing45.xml?ContentType=application/vnd.openxmlformats-officedocument.drawing+xml">
        <DigestMethod Algorithm="http://www.w3.org/2000/09/xmldsig#sha1"/>
        <DigestValue>75POFamhzRiyeVlRr2uUxzuqjFE=</DigestValue>
      </Reference>
      <Reference URI="/xl/drawings/drawing44.xml?ContentType=application/vnd.openxmlformats-officedocument.drawing+xml">
        <DigestMethod Algorithm="http://www.w3.org/2000/09/xmldsig#sha1"/>
        <DigestValue>bHHZ/SdsLwdiDj8122l7J7MaUqY=</DigestValue>
      </Reference>
      <Reference URI="/xl/drawings/drawing43.xml?ContentType=application/vnd.openxmlformats-officedocument.drawing+xml">
        <DigestMethod Algorithm="http://www.w3.org/2000/09/xmldsig#sha1"/>
        <DigestValue>OQArVMDkAEKRtKJwlMvrQR1eQ3M=</DigestValue>
      </Reference>
      <Reference URI="/xl/drawings/drawing42.xml?ContentType=application/vnd.openxmlformats-officedocument.drawing+xml">
        <DigestMethod Algorithm="http://www.w3.org/2000/09/xmldsig#sha1"/>
        <DigestValue>w5mwr2z46v8ga8wkHQpO7JaSWLI=</DigestValue>
      </Reference>
      <Reference URI="/xl/worksheets/sheet4.xml?ContentType=application/vnd.openxmlformats-officedocument.spreadsheetml.worksheet+xml">
        <DigestMethod Algorithm="http://www.w3.org/2000/09/xmldsig#sha1"/>
        <DigestValue>2U6CFWMdlwWVr3Xx2DZ3NfpHjGo=</DigestValue>
      </Reference>
      <Reference URI="/xl/drawings/drawing40.xml?ContentType=application/vnd.openxmlformats-officedocument.drawing+xml">
        <DigestMethod Algorithm="http://www.w3.org/2000/09/xmldsig#sha1"/>
        <DigestValue>Ul8STKMbL5kl7TuN6fAK7JcjiOI=</DigestValue>
      </Reference>
      <Reference URI="/xl/drawings/drawing39.xml?ContentType=application/vnd.openxmlformats-officedocument.drawing+xml">
        <DigestMethod Algorithm="http://www.w3.org/2000/09/xmldsig#sha1"/>
        <DigestValue>th8WkHXofz5tYVYAqIGPAa83qhg=</DigestValue>
      </Reference>
      <Reference URI="/xl/drawings/drawing35.xml?ContentType=application/vnd.openxmlformats-officedocument.drawing+xml">
        <DigestMethod Algorithm="http://www.w3.org/2000/09/xmldsig#sha1"/>
        <DigestValue>uDmkR7ROSVUBck42bzemj1C6nco=</DigestValue>
      </Reference>
      <Reference URI="/xl/worksheets/sheet3.xml?ContentType=application/vnd.openxmlformats-officedocument.spreadsheetml.worksheet+xml">
        <DigestMethod Algorithm="http://www.w3.org/2000/09/xmldsig#sha1"/>
        <DigestValue>ytAjBWH/JdQI2paBz3hR+npOctg=</DigestValue>
      </Reference>
      <Reference URI="/xl/drawings/drawing47.xml?ContentType=application/vnd.openxmlformats-officedocument.drawing+xml">
        <DigestMethod Algorithm="http://www.w3.org/2000/09/xmldsig#sha1"/>
        <DigestValue>AJizlvbKbxp1KV7VLHbJsQMkKtU=</DigestValue>
      </Reference>
      <Reference URI="/xl/drawings/drawing46.xml?ContentType=application/vnd.openxmlformats-officedocument.drawing+xml">
        <DigestMethod Algorithm="http://www.w3.org/2000/09/xmldsig#sha1"/>
        <DigestValue>wG5z5IMsvFOhI03wgJmNISFK8+M=</DigestValue>
      </Reference>
      <Reference URI="/xl/drawings/drawing38.xml?ContentType=application/vnd.openxmlformats-officedocument.drawing+xml">
        <DigestMethod Algorithm="http://www.w3.org/2000/09/xmldsig#sha1"/>
        <DigestValue>KwwEc7qbHJF9LZMKX0MNAby05m8=</DigestValue>
      </Reference>
      <Reference URI="/xl/drawings/drawing37.xml?ContentType=application/vnd.openxmlformats-officedocument.drawing+xml">
        <DigestMethod Algorithm="http://www.w3.org/2000/09/xmldsig#sha1"/>
        <DigestValue>pm9UpT6wMAy0HHvPEQHvsergxDs=</DigestValue>
      </Reference>
      <Reference URI="/xl/drawings/drawing36.xml?ContentType=application/vnd.openxmlformats-officedocument.drawing+xml">
        <DigestMethod Algorithm="http://www.w3.org/2000/09/xmldsig#sha1"/>
        <DigestValue>rI1V3tbL5y6BI/2cdGIlV/mkmUM=</DigestValue>
      </Reference>
      <Reference URI="/xl/drawings/drawing33.xml?ContentType=application/vnd.openxmlformats-officedocument.drawing+xml">
        <DigestMethod Algorithm="http://www.w3.org/2000/09/xmldsig#sha1"/>
        <DigestValue>MRZ6JFhpLAGd+SawvT9r7xZWO1w=</DigestValue>
      </Reference>
      <Reference URI="/xl/worksheets/sheet37.xml?ContentType=application/vnd.openxmlformats-officedocument.spreadsheetml.worksheet+xml">
        <DigestMethod Algorithm="http://www.w3.org/2000/09/xmldsig#sha1"/>
        <DigestValue>cukoul/62FAsa6an/GeShaQJv90=</DigestValue>
      </Reference>
      <Reference URI="/xl/styles.xml?ContentType=application/vnd.openxmlformats-officedocument.spreadsheetml.styles+xml">
        <DigestMethod Algorithm="http://www.w3.org/2000/09/xmldsig#sha1"/>
        <DigestValue>v1YqpP2DHMC7px91RDPK6AwzoyU=</DigestValue>
      </Reference>
      <Reference URI="/xl/drawings/drawing3.xml?ContentType=application/vnd.openxmlformats-officedocument.drawing+xml">
        <DigestMethod Algorithm="http://www.w3.org/2000/09/xmldsig#sha1"/>
        <DigestValue>1NxdB2szH7TmKV65iHh7J/MAp0o=</DigestValue>
      </Reference>
      <Reference URI="/xl/worksheets/sheet46.xml?ContentType=application/vnd.openxmlformats-officedocument.spreadsheetml.worksheet+xml">
        <DigestMethod Algorithm="http://www.w3.org/2000/09/xmldsig#sha1"/>
        <DigestValue>rHLM4/nj3a7Fh4DojcRUQi2L6Xs=</DigestValue>
      </Reference>
      <Reference URI="/xl/worksheets/sheet31.xml?ContentType=application/vnd.openxmlformats-officedocument.spreadsheetml.worksheet+xml">
        <DigestMethod Algorithm="http://www.w3.org/2000/09/xmldsig#sha1"/>
        <DigestValue>J8lImPYFJww1g1SzIcesqaNU6Ik=</DigestValue>
      </Reference>
      <Reference URI="/xl/sharedStrings.xml?ContentType=application/vnd.openxmlformats-officedocument.spreadsheetml.sharedStrings+xml">
        <DigestMethod Algorithm="http://www.w3.org/2000/09/xmldsig#sha1"/>
        <DigestValue>G1jMmQsEP3GAXkwhVQt+3W+Hel0=</DigestValue>
      </Reference>
      <Reference URI="/xl/theme/theme1.xml?ContentType=application/vnd.openxmlformats-officedocument.theme+xml">
        <DigestMethod Algorithm="http://www.w3.org/2000/09/xmldsig#sha1"/>
        <DigestValue>+WEZHisvPXNKuM+l9fbxmtnD6SQ=</DigestValue>
      </Reference>
      <Reference URI="/xl/drawings/drawing4.xml?ContentType=application/vnd.openxmlformats-officedocument.drawing+xml">
        <DigestMethod Algorithm="http://www.w3.org/2000/09/xmldsig#sha1"/>
        <DigestValue>+AkJKhJ9NAT0hChihVGHRYvlaF8=</DigestValue>
      </Reference>
      <Reference URI="/xl/worksheets/sheet47.xml?ContentType=application/vnd.openxmlformats-officedocument.spreadsheetml.worksheet+xml">
        <DigestMethod Algorithm="http://www.w3.org/2000/09/xmldsig#sha1"/>
        <DigestValue>UBjwy1NqRDlqpiazDnfUzgoGknk=</DigestValue>
      </Reference>
      <Reference URI="/xl/drawings/drawing2.xml?ContentType=application/vnd.openxmlformats-officedocument.drawing+xml">
        <DigestMethod Algorithm="http://www.w3.org/2000/09/xmldsig#sha1"/>
        <DigestValue>xLAkoB9pbO6/bfThjFpN4XlHs2k=</DigestValue>
      </Reference>
      <Reference URI="/xl/drawings/drawing1.xml?ContentType=application/vnd.openxmlformats-officedocument.drawing+xml">
        <DigestMethod Algorithm="http://www.w3.org/2000/09/xmldsig#sha1"/>
        <DigestValue>YZso7FmesZiawKVctCLOogmUqHY=</DigestValue>
      </Reference>
      <Reference URI="/xl/worksheets/sheet48.xml?ContentType=application/vnd.openxmlformats-officedocument.spreadsheetml.worksheet+xml">
        <DigestMethod Algorithm="http://www.w3.org/2000/09/xmldsig#sha1"/>
        <DigestValue>PEQCvqwgp5PvRiNzneQgr9UlVgU=</DigestValue>
      </Reference>
      <Reference URI="/xl/drawings/_rels/drawing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9onmVR0N2xjs+IyKUUJUFws+9kY=</DigestValue>
      </Reference>
      <Reference URI="/xl/drawings/_rels/drawing4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4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HyltGlINEqHdoGpSXCSvzsnYpQs=</DigestValue>
      </Reference>
      <Reference URI="/xl/drawings/_rels/drawing3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3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4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externalLinks/_rels/externalLink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saqnJxTK6PY/cNWaLv7ay1fc394=</DigestValue>
      </Reference>
      <Reference URI="/xl/drawings/_rels/drawing4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L4Z4emk6ezOedqj9Y5W4C+FCIlI=</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ejxWfVBTzXsqgEoTRE0uLpEMeXY=</DigestValue>
      </Reference>
      <Reference URI="/xl/worksheets/_rels/sheet3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uQHInILnmjPTuEDdWHfUlKWWmec=</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ZOJQzdcgDzK+Mvb0lahQsXk4WO8=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DCLd+++/0Iw5nKp8qhL+3vwKic0=</DigestValue>
      </Reference>
      <Reference URI="/xl/drawings/_rels/drawing4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4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4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3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XW+Fw3z9I0aE5hMWqZGNp88yv3Q=</DigestValue>
      </Reference>
      <Reference URI="/xl/externalLinks/_rels/externalLink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U995+znHAn1HL5RQTSwrw2gydYo=</DigestValue>
      </Reference>
      <Reference URI="/xl/drawings/_rels/drawing4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externalLinks/_rels/externalLink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cFfewE0QyWVL5gBSNXZ41Og0N4w=</DigestValue>
      </Reference>
      <Reference URI="/xl/worksheets/_rels/sheet4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j0Q/aO4hSlGZQQbeXuPveSUlFgY=</DigestValue>
      </Reference>
      <Reference URI="/xl/externalLinks/_rels/externalLink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maiK810SggbBsROiAiY5wOa2J+E=</DigestValue>
      </Reference>
      <Reference URI="/xl/drawings/_rels/drawing3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3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8lO+11tuSjkjciaYFaDybz/O3EI=</DigestValue>
      </Reference>
      <Reference URI="/xl/drawings/_rels/drawing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OQG9/UBKi3DgAyJY6k2r3JomCAU=</DigestValue>
      </Reference>
      <Reference URI="/xl/drawings/_rels/drawing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5iMeUFaUeiszrL63r+VAKjqf+2I=</DigestValue>
      </Reference>
      <Reference URI="/xl/drawings/_rels/drawing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5JImpxUbDQSfPl2myhewE6j3b3A=</DigestValue>
      </Reference>
      <Reference URI="/xl/drawings/_rels/drawing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qza11tAW487azx7Vjy9vpdA50dk=</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dIczTBvrA1xaq8u4RBjukHEuAak=</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VzAocTn+36TNk6S74Tp+aV8249g=</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0CldsrzNWShtZ6KmyeYMNWNXe7Q=</DigestValue>
      </Reference>
      <Reference URI="/xl/worksheets/_rels/sheet4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4qmXNbokWvcOmHwxEjCFYErWF0E=</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OSaj+vO4suZ9zxvs3cRscN0vJFg=</DigestValue>
      </Reference>
      <Reference URI="/xl/drawings/_rels/drawing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z60+ZExHOQRh3oWlDmeuUn3eQys=</DigestValue>
      </Reference>
      <Reference URI="/xl/drawings/_rels/drawing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3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Jx+JAJjd6RbNZtuNwqd+iDQvThM=</DigestValue>
      </Reference>
      <Reference URI="/xl/worksheets/_rels/sheet3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j8tku2UUQMnumIQqwiZ6825JVxA=</DigestValue>
      </Reference>
      <Reference URI="/xl/drawings/_rels/drawing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_rels/workbook.xml.rels?ContentType=application/vnd.openxmlformats-package.relationships+xml">
        <Transforms>
          <Transform Algorithm="http://schemas.openxmlformats.org/package/2006/RelationshipTransform">
            <mdssi:RelationshipReference SourceId="rId13"/>
            <mdssi:RelationshipReference SourceId="rId18"/>
            <mdssi:RelationshipReference SourceId="rId26"/>
            <mdssi:RelationshipReference SourceId="rId39"/>
            <mdssi:RelationshipReference SourceId="rId21"/>
            <mdssi:RelationshipReference SourceId="rId34"/>
            <mdssi:RelationshipReference SourceId="rId42"/>
            <mdssi:RelationshipReference SourceId="rId47"/>
            <mdssi:RelationshipReference SourceId="rId50"/>
            <mdssi:RelationshipReference SourceId="rId55"/>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46"/>
            <mdssi:RelationshipReference SourceId="rId59"/>
            <mdssi:RelationshipReference SourceId="rId2"/>
            <mdssi:RelationshipReference SourceId="rId16"/>
            <mdssi:RelationshipReference SourceId="rId29"/>
            <mdssi:RelationshipReference SourceId="rId20"/>
            <mdssi:RelationshipReference SourceId="rId41"/>
            <mdssi:RelationshipReference SourceId="rId54"/>
            <mdssi:RelationshipReference SourceId="rId11"/>
            <mdssi:RelationshipReference SourceId="rId24"/>
            <mdssi:RelationshipReference SourceId="rId32"/>
            <mdssi:RelationshipReference SourceId="rId37"/>
            <mdssi:RelationshipReference SourceId="rId40"/>
            <mdssi:RelationshipReference SourceId="rId45"/>
            <mdssi:RelationshipReference SourceId="rId53"/>
            <mdssi:RelationshipReference SourceId="rId58"/>
            <mdssi:RelationshipReference SourceId="rId1"/>
            <mdssi:RelationshipReference SourceId="rId6"/>
            <mdssi:RelationshipReference SourceId="rId5"/>
            <mdssi:RelationshipReference SourceId="rId15"/>
            <mdssi:RelationshipReference SourceId="rId23"/>
            <mdssi:RelationshipReference SourceId="rId28"/>
            <mdssi:RelationshipReference SourceId="rId36"/>
            <mdssi:RelationshipReference SourceId="rId49"/>
            <mdssi:RelationshipReference SourceId="rId57"/>
            <mdssi:RelationshipReference SourceId="rId19"/>
            <mdssi:RelationshipReference SourceId="rId10"/>
            <mdssi:RelationshipReference SourceId="rId31"/>
            <mdssi:RelationshipReference SourceId="rId44"/>
            <mdssi:RelationshipReference SourceId="rId52"/>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43"/>
            <mdssi:RelationshipReference SourceId="rId48"/>
            <mdssi:RelationshipReference SourceId="rId56"/>
            <mdssi:RelationshipReference SourceId="rId8"/>
            <mdssi:RelationshipReference SourceId="rId51"/>
            <mdssi:RelationshipReference SourceId="rId3"/>
          </Transform>
          <Transform Algorithm="http://www.w3.org/TR/2001/REC-xml-c14n-20010315"/>
        </Transforms>
        <DigestMethod Algorithm="http://www.w3.org/2000/09/xmldsig#sha1"/>
        <DigestValue>a8KBrnwBiJ8DHr9BBU1jobaTyeM=</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DaOLaGAg4N9uwHjEwd+w/hT5jsw=</DigestValue>
      </Reference>
      <Reference URI="/xl/worksheets/_rels/sheet4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EugnUVbuQGJAbk/HvyPY7Tp8rbU=</DigestValue>
      </Reference>
      <Reference URI="/xl/worksheets/_rels/sheet2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doHLSBS/jV+QnsR12BDrYwQJZqo=</DigestValue>
      </Reference>
      <Reference URI="/xl/worksheets/_rels/sheet2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4VN61QZn+JSdiYsw4+PlE/kHYjk=</DigestValue>
      </Reference>
      <Reference URI="/xl/worksheets/_rels/sheet2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qmayb2h7yUezd8nXON6rR6qkh68=</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BLHAxnDYP/TSyNwlwx+wR1eb5LU=</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cDtVRw0rBClDFN7iKM/7eOh58KE=</DigestValue>
      </Reference>
      <Reference URI="/xl/worksheets/_rels/sheet2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K3yrDXZm5EasRRYZsDePz5QXWy4=</DigestValue>
      </Reference>
      <Reference URI="/xl/worksheets/_rels/sheet4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ZE+kChFUZATN8Lhn8cy8Ih0xaHU=</DigestValue>
      </Reference>
      <Reference URI="/xl/worksheets/_rels/sheet3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UadpOpX+yqEs9EqAWsWIuWrwc0c=</DigestValue>
      </Reference>
      <Reference URI="/xl/worksheets/_rels/sheet4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0nnLXz/KOAXJLeQLcfVurlmDI8g=</DigestValue>
      </Reference>
      <Reference URI="/xl/worksheets/_rels/sheet4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93q7hbJoGXAWNkZFbdXsoXBczms=</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UIRlhld3tK0F6HdXYut+1mb+GAI=</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5N7CuvssA1CgqRyJN9mazqdh1ps=</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jha5uRzAquEnjWK8Vo4q/bK04oQ=</DigestValue>
      </Reference>
      <Reference URI="/xl/worksheets/_rels/sheet1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BDvHKL2kFg5wtXrRcf7FO6P2Mlk=</DigestValue>
      </Reference>
      <Reference URI="/xl/worksheets/_rels/sheet3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4HAGrOz4x/YPkzFf+C9ksfOurRM=</DigestValue>
      </Reference>
      <Reference URI="/xl/drawings/_rels/drawing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7ukzaEGwotnW/Gw/DgEaIBrmVBc=</DigestValue>
      </Reference>
      <Reference URI="/xl/worksheets/_rels/sheet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VeyjNA2cO3Ak15THnRT4O4ILqdk=</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oqeC4DXio4w08wTA9sHnEPJ14uU=</DigestValue>
      </Reference>
      <Reference URI="/xl/drawings/_rels/drawing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JrSnGnfHuEFXG2lkzMp2znWwHd0=</DigestValue>
      </Reference>
      <Reference URI="/xl/worksheets/_rels/sheet4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UAffKVi2vr9KiI/TW/sup1lZR2A=</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TzSoNY7Vz346wVbl+SaXW7UTDZM=</DigestValue>
      </Reference>
      <Reference URI="/xl/worksheets/_rels/sheet1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O3rsR1sAcp207S8LG+g8M82cqGA=</DigestValue>
      </Reference>
      <Reference URI="/xl/worksheets/_rels/sheet1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RnpUvZ5iVoOWxJHrPEFHpFlPIgo=</DigestValue>
      </Reference>
      <Reference URI="/xl/worksheets/_rels/sheet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axwr4v8os1F2FK1rrDpDlXArYac=</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mBk40KCXWQRXI4Sn1b4H4r6XPFg=</DigestValue>
      </Reference>
      <Reference URI="/xl/worksheets/_rels/sheet1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wrpxJPtDRXhalKkL4Hog5X/qUJg=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4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SNbgdKsux++zLLPMaxi+KHcRFaY=</DigestValue>
      </Reference>
    </Manifest>
    <SignatureProperties>
      <SignatureProperty Id="idSignatureTime" Target="#idPackageSignature">
        <mdssi:SignatureTime>
          <mdssi:Format>YYYY-MM-DDThh:mm:ssTZD</mdssi:Format>
          <mdssi:Value>2021-08-16T20:36:49Z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2021-08-16T20:36:49Z</xd:SigningTime>
          <xd:SigningCertificate>
            <xd:Cert>
              <xd:CertDigest>
                <DigestMethod Algorithm="http://www.w3.org/2000/09/xmldsig#sha1"/>
                <DigestValue>uQafRChbjY5pRoyqgVdd9fDmYiM=</DigestValue>
              </xd:CertDigest>
              <xd:IssuerSerial>
                <X509IssuerName>SERIALNUMBER=RUC 80050172-1, CN=CA-DOCUMENTA S.A., O=DOCUMENTA S.A., C=PY</X509IssuerName>
                <X509SerialNumber>5902986872137469446</X509SerialNumber>
              </xd:IssuerSerial>
            </xd:Cert>
          </xd:SigningCertificate>
          <xd:SignaturePolicyIdentifier>
            <xd:SignaturePolicyImplied/>
          </xd:SignaturePolicyIdentifier>
        </xd:SignedSignatureProperties>
      </xd:SignedProperties>
      <xd:UnsignedProperti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3</vt:i4>
      </vt:variant>
    </vt:vector>
  </HeadingPairs>
  <TitlesOfParts>
    <vt:vector size="51" baseType="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Nota 22</vt:lpstr>
      <vt:lpstr> Nota 21</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ANEXO C</vt:lpstr>
      <vt:lpstr>ANEXO D</vt:lpstr>
      <vt:lpstr>EVPN!_bookmark390</vt:lpstr>
      <vt:lpstr>'Nota 2'!_Hlk15378568</vt:lpstr>
      <vt:lpstr>ER!Área_de_impresión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Gladys Fiorella Vergara Pacheco</cp:lastModifiedBy>
  <cp:lastPrinted>2021-08-16T12:55:15Z</cp:lastPrinted>
  <dcterms:created xsi:type="dcterms:W3CDTF">2019-05-02T15:06:12Z</dcterms:created>
  <dcterms:modified xsi:type="dcterms:W3CDTF">2021-08-16T19:30:16Z</dcterms:modified>
</cp:coreProperties>
</file>