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1000" activeTab="2"/>
  </bookViews>
  <sheets>
    <sheet name="Indice" sheetId="1" r:id="rId1"/>
    <sheet name="BG" sheetId="2" r:id="rId2"/>
    <sheet name="ER" sheetId="3" r:id="rId3"/>
    <sheet name="EVPN"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Nota 22" sheetId="26" r:id="rId26"/>
    <sheet name=" Nota 21" sheetId="27" r:id="rId27"/>
    <sheet name="Nota 23" sheetId="28" r:id="rId28"/>
    <sheet name="Nota 24" sheetId="29" r:id="rId29"/>
    <sheet name="Nota 25" sheetId="30" r:id="rId30"/>
    <sheet name="Nota 26" sheetId="31" r:id="rId31"/>
    <sheet name="Nota 27" sheetId="32" r:id="rId32"/>
    <sheet name="Nota 28" sheetId="33" r:id="rId33"/>
    <sheet name="Nota 29"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1"/>
    <externalReference r:id="rId52"/>
    <externalReference r:id="rId53"/>
    <externalReference r:id="rId54"/>
    <externalReference r:id="rId55"/>
    <externalReference r:id="rId56"/>
    <externalReference r:id="rId57"/>
  </externalReferences>
  <definedNames>
    <definedName name="_bookmark390" localSheetId="3">'EVPN'!$H$1</definedName>
    <definedName name="_Hlk15378568" localSheetId="6">'Nota 2'!$A$12</definedName>
    <definedName name="_xlfn.IFERROR" hidden="1">#NAME?</definedName>
    <definedName name="_xlnm.Print_Area" localSheetId="2">'ER'!$A$1:$D$47</definedName>
  </definedNames>
  <calcPr fullCalcOnLoad="1"/>
</workbook>
</file>

<file path=xl/sharedStrings.xml><?xml version="1.0" encoding="utf-8"?>
<sst xmlns="http://schemas.openxmlformats.org/spreadsheetml/2006/main" count="2585" uniqueCount="1349">
  <si>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</si>
  <si>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</si>
  <si>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</si>
  <si>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</si>
  <si>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</si>
  <si>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</si>
  <si>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</si>
  <si>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</si>
  <si>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</si>
  <si>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</si>
  <si>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</si>
  <si>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</si>
  <si>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</si>
  <si>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</si>
  <si>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</si>
  <si>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</si>
  <si>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</si>
  <si>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</si>
  <si>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</si>
  <si>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</si>
  <si>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</si>
  <si>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</si>
  <si>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</si>
  <si>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</si>
  <si>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</si>
  <si>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</si>
  <si>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</si>
  <si>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</si>
  <si>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</si>
  <si>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</si>
  <si>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</si>
  <si>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</si>
  <si>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</si>
  <si>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</si>
  <si>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</si>
  <si>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</si>
  <si>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</si>
  <si>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</si>
  <si>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</si>
  <si>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</si>
  <si>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</si>
  <si>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</si>
  <si>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</si>
  <si>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</si>
  <si>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</si>
  <si>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</si>
  <si>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</si>
  <si>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</si>
  <si>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</si>
  <si>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</si>
  <si>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</si>
  <si>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</si>
  <si>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</si>
  <si>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</si>
  <si>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</si>
  <si>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</si>
  <si>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</si>
  <si>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</si>
  <si>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</si>
  <si>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</si>
  <si>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</si>
  <si>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</si>
  <si>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</si>
  <si>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</si>
  <si>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</si>
  <si>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</si>
  <si>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</si>
  <si>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</si>
  <si>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</si>
  <si>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</si>
  <si>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</si>
  <si>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</si>
  <si>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</si>
  <si>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</si>
  <si>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</si>
  <si>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</si>
  <si>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</si>
  <si>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</si>
  <si>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</si>
  <si>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</si>
  <si>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</si>
  <si>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</si>
  <si>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</si>
  <si>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</si>
  <si>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</si>
  <si>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</si>
  <si>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</si>
  <si>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</si>
  <si>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</si>
  <si>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</si>
  <si>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</si>
  <si>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</si>
  <si>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</si>
  <si>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</si>
  <si>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</si>
  <si>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</si>
  <si>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</si>
  <si>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</si>
  <si>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</si>
  <si>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</si>
  <si>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</si>
  <si>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</si>
  <si>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</si>
  <si>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</si>
  <si>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</si>
  <si>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</si>
  <si>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</si>
  <si>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</si>
  <si>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</si>
  <si>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</si>
  <si>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</si>
  <si>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</si>
  <si>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</si>
  <si>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</si>
  <si>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</si>
  <si>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</si>
  <si>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</si>
  <si>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</si>
  <si>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</si>
  <si>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</si>
  <si>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</si>
  <si>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</si>
  <si>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</si>
  <si>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</si>
  <si>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</si>
  <si>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</si>
  <si>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</si>
  <si>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</si>
  <si>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</si>
  <si>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</si>
  <si>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</si>
  <si>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</si>
  <si>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</si>
  <si>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</si>
  <si>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</si>
  <si>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</si>
  <si>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</si>
  <si>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</si>
  <si>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</si>
  <si>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</si>
  <si>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</si>
  <si>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</si>
  <si>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</si>
  <si>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</si>
  <si>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</si>
  <si>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</si>
  <si>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</si>
  <si>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</si>
  <si>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</si>
  <si>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</si>
  <si>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</si>
  <si>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</si>
  <si>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</si>
  <si>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</si>
  <si>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</si>
  <si>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</si>
  <si>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</si>
  <si>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</si>
  <si>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</si>
  <si>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</si>
  <si>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</si>
  <si>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</si>
  <si>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</si>
  <si>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</si>
  <si>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</si>
  <si>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</si>
  <si>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</si>
  <si>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</si>
  <si>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</si>
  <si>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</si>
  <si>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</si>
  <si>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</si>
  <si>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</si>
  <si>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</si>
  <si>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</si>
  <si>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</si>
  <si>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</si>
  <si>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</si>
  <si>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</si>
  <si>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</si>
  <si>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</si>
  <si>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</si>
  <si>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</si>
  <si>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</si>
  <si>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</si>
  <si>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</si>
  <si>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</si>
  <si>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</si>
  <si>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</si>
  <si>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</si>
  <si>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</si>
  <si>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</si>
  <si>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</si>
  <si>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</si>
  <si>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</si>
  <si>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</si>
  <si>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</si>
  <si>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</si>
  <si>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</si>
  <si>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</si>
  <si>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</si>
  <si>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</si>
  <si>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</si>
  <si>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</si>
  <si>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</si>
  <si>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</si>
  <si>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</si>
  <si>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</si>
  <si>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</si>
  <si>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</si>
  <si>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</si>
  <si>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</si>
  <si>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</si>
  <si>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</si>
  <si>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</si>
  <si>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</si>
  <si>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</si>
  <si>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</si>
  <si>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</si>
  <si>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</si>
  <si>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</si>
  <si>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</si>
  <si>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</si>
  <si>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</si>
  <si>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</si>
  <si>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</si>
  <si>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</si>
  <si>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</si>
  <si>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</si>
  <si>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</si>
  <si>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</si>
  <si>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</si>
  <si>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</si>
  <si>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</si>
  <si>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</si>
  <si>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</si>
  <si>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</si>
  <si>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</si>
  <si>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</si>
  <si>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</si>
  <si>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</si>
  <si>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</si>
  <si>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</si>
  <si>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</si>
  <si>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</si>
  <si>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</si>
  <si>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</si>
  <si>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</si>
  <si>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</si>
  <si>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</si>
  <si>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</si>
  <si>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</si>
  <si>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</si>
  <si>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</si>
  <si>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</si>
  <si>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</si>
  <si>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</si>
  <si>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</si>
  <si>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</si>
  <si>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</si>
  <si>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</si>
  <si>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</si>
  <si>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</si>
  <si>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</si>
  <si>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</si>
  <si>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</si>
  <si>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</si>
  <si>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</si>
  <si>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</si>
  <si>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</si>
  <si>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</si>
  <si>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</si>
  <si>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</si>
  <si>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</si>
  <si>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</si>
  <si>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</si>
  <si>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</si>
  <si>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</si>
  <si>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</si>
  <si>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</si>
  <si>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</si>
  <si>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</si>
  <si>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</si>
  <si>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</si>
  <si>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</si>
  <si>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</si>
  <si>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</si>
  <si>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</si>
  <si>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</si>
  <si>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</si>
  <si>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</si>
  <si>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</si>
  <si>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</si>
  <si>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</si>
  <si>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</si>
  <si>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</si>
  <si>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</si>
  <si>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</si>
  <si>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</si>
  <si>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20X2</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</si>
  <si>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</si>
  <si>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</si>
  <si>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</si>
  <si>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</si>
  <si>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</si>
  <si>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</si>
  <si>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</si>
  <si>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</si>
  <si>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</si>
  <si>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</si>
  <si>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</si>
  <si>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</si>
  <si>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</si>
  <si>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</si>
  <si>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</si>
  <si>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</si>
  <si>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</si>
  <si>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</si>
  <si>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</si>
  <si>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</si>
  <si>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</si>
  <si>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</si>
  <si>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</si>
  <si>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</si>
  <si>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</si>
  <si>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</si>
  <si>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</si>
  <si>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</si>
  <si>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</si>
  <si>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</si>
  <si>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</si>
  <si>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</si>
  <si>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</si>
  <si>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</si>
  <si>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</si>
  <si>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</si>
  <si>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</si>
  <si>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</si>
  <si>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</si>
  <si>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</si>
  <si>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</si>
  <si>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</si>
  <si>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</si>
  <si>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</si>
  <si>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</si>
  <si>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</si>
  <si>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</si>
  <si>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</si>
  <si>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</si>
  <si>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</si>
  <si>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</si>
  <si>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</si>
  <si>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</si>
  <si>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</si>
  <si>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</si>
  <si>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</si>
  <si>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</si>
  <si>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</si>
  <si>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</si>
  <si>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</si>
  <si>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</si>
  <si>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</si>
  <si>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</si>
  <si>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</si>
  <si>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</si>
  <si>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</si>
  <si>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</si>
  <si>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</si>
  <si>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</si>
  <si>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</si>
  <si>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</si>
  <si>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</si>
  <si>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</si>
  <si>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</si>
  <si>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</si>
  <si>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</si>
  <si>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</si>
  <si>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</si>
  <si>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</si>
  <si>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</si>
  <si>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</si>
  <si>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</si>
  <si>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</si>
  <si>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</si>
  <si>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</si>
  <si>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</si>
  <si>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</si>
  <si>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</si>
  <si>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</si>
  <si>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</si>
  <si>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</si>
  <si>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</si>
  <si>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</si>
  <si>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</si>
  <si>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</si>
  <si>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</si>
  <si>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</si>
  <si>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</si>
  <si>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</si>
  <si>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</si>
  <si>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</si>
  <si>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</si>
  <si>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</si>
  <si>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</si>
  <si>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</si>
  <si>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</si>
  <si>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</si>
  <si>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</si>
  <si>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</si>
  <si>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</si>
  <si>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</si>
  <si>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</si>
  <si>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</si>
  <si>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</si>
  <si>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</si>
  <si>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</si>
  <si>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</si>
  <si>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</si>
  <si>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</si>
  <si>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</si>
  <si>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</si>
  <si>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</si>
  <si>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</si>
  <si>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</si>
  <si>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</si>
  <si>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</si>
  <si>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</si>
  <si>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</si>
  <si>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</si>
  <si>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</si>
  <si>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</si>
  <si>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</si>
  <si>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</si>
  <si>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</si>
  <si>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</si>
  <si>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</si>
  <si>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</si>
  <si>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</si>
  <si>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</si>
  <si>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</si>
  <si>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</si>
  <si>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</si>
  <si>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</si>
  <si>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</si>
  <si>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</si>
  <si>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</si>
  <si>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</si>
  <si>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</si>
  <si>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</si>
  <si>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</si>
  <si>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</si>
  <si>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</si>
  <si>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</si>
  <si>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</si>
  <si>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</si>
  <si>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</si>
  <si>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</si>
  <si>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</si>
  <si>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</si>
  <si>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</si>
  <si>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</si>
  <si>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</si>
  <si>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</si>
  <si>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</si>
  <si>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</si>
  <si>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</si>
  <si>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</si>
  <si>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</si>
  <si>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</si>
  <si>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</si>
  <si>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</si>
  <si>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</si>
  <si>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</si>
  <si>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</si>
  <si>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</si>
  <si>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</si>
  <si>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</si>
  <si>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</si>
  <si>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</si>
  <si>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</si>
  <si>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</si>
  <si>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</si>
  <si>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</si>
  <si>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</si>
  <si>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</si>
  <si>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</si>
  <si>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</si>
  <si>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</si>
  <si>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</si>
  <si>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</si>
  <si>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</si>
  <si>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</si>
  <si>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</si>
  <si>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</si>
  <si>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</si>
  <si>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</si>
  <si>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</si>
  <si>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</si>
  <si>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</si>
  <si>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</si>
  <si>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</si>
  <si>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</si>
  <si>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</si>
  <si>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</si>
  <si>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</si>
  <si>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</si>
  <si>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</si>
  <si>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</si>
  <si>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</si>
  <si>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</si>
  <si>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</si>
  <si>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</si>
  <si>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</si>
  <si>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</si>
  <si>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</si>
  <si>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</si>
  <si>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</si>
  <si>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</si>
  <si>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</si>
  <si>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</si>
  <si>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</si>
  <si>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</si>
  <si>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</si>
  <si>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</si>
  <si>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</si>
  <si>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</si>
  <si>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</si>
  <si>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</si>
  <si>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</si>
  <si>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</si>
  <si>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</si>
  <si>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</si>
  <si>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</si>
  <si>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</si>
  <si>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</si>
  <si>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</si>
  <si>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</si>
  <si>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</si>
  <si>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</si>
  <si>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</si>
  <si>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</si>
  <si>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</si>
  <si>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</si>
  <si>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</si>
  <si>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</si>
  <si>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</si>
  <si>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</si>
  <si>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</si>
  <si>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</si>
  <si>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</si>
  <si>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</si>
  <si>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</si>
  <si>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</si>
  <si>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</si>
  <si>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</si>
  <si>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</si>
  <si>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</si>
  <si>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</si>
  <si>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</si>
  <si>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</si>
  <si>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</si>
  <si>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</si>
  <si>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</si>
  <si>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</si>
  <si>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</si>
  <si>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</si>
  <si>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</si>
  <si>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</si>
  <si>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</si>
  <si>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</si>
  <si>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</si>
  <si>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</si>
  <si>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</si>
  <si>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</si>
  <si>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</si>
  <si>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</si>
  <si>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</si>
  <si>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</si>
  <si>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</si>
  <si>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</si>
  <si>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</si>
  <si>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</si>
  <si>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</si>
  <si>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</si>
  <si>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</si>
  <si>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</si>
  <si>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</si>
  <si>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</si>
  <si>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</si>
  <si>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</si>
  <si>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</si>
  <si>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</si>
  <si>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</si>
  <si>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</si>
  <si>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</si>
  <si>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</si>
  <si>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</si>
  <si>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</si>
  <si>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</si>
  <si>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</si>
  <si>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</si>
  <si>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</si>
  <si>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</si>
  <si>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</si>
  <si>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</si>
  <si>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</si>
  <si>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</si>
  <si>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</si>
  <si>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</si>
  <si>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</si>
  <si>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</si>
  <si>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</si>
  <si>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</si>
  <si>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</si>
  <si>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</si>
  <si>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</si>
  <si>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</si>
  <si>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</si>
  <si>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</si>
  <si>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</si>
  <si>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</si>
  <si>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</si>
  <si>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</si>
  <si>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</si>
  <si>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</si>
  <si>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</si>
  <si>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</si>
  <si>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</si>
  <si>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</si>
  <si>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</si>
  <si>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</si>
  <si>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</si>
  <si>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</si>
  <si>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</si>
  <si>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</si>
  <si>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</si>
  <si>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</si>
  <si>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</si>
  <si>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</si>
  <si>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</si>
  <si>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</si>
  <si>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</si>
  <si>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</si>
  <si>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</si>
  <si>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</si>
  <si>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</si>
  <si>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</si>
  <si>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</si>
  <si>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</si>
  <si>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</si>
  <si>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</si>
  <si>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</si>
  <si>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</si>
  <si>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</si>
  <si>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</si>
  <si>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</si>
  <si>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</si>
  <si>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</si>
  <si>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</si>
  <si>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</si>
  <si>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</si>
  <si>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</si>
  <si>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</si>
  <si>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</si>
  <si>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</si>
  <si>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</si>
  <si>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</si>
  <si>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</si>
  <si>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</si>
  <si>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</si>
  <si>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</si>
  <si>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</si>
  <si>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</si>
  <si>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</si>
  <si>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</si>
  <si>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</si>
  <si>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</si>
  <si>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</si>
  <si>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</si>
  <si>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</si>
  <si>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</si>
  <si>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</si>
  <si>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</si>
  <si>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</si>
  <si>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</si>
  <si>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</si>
  <si>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</si>
  <si>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</si>
  <si>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</si>
  <si>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</si>
  <si>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</si>
  <si>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</si>
  <si>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</si>
  <si>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</si>
  <si>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</si>
  <si>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</si>
  <si>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</si>
  <si>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</si>
  <si>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</si>
  <si>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</si>
  <si>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</si>
  <si>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</si>
  <si>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</si>
  <si>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</si>
  <si>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</si>
  <si>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</si>
  <si>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</si>
  <si>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</si>
  <si>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</si>
  <si>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</si>
  <si>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</si>
  <si>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</si>
  <si>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</si>
  <si>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</si>
  <si>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</si>
  <si>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</si>
  <si>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</si>
  <si>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</si>
  <si>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</si>
  <si>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</si>
  <si>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</si>
  <si>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</si>
  <si>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</si>
  <si>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</si>
  <si>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</si>
  <si>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</si>
  <si>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</si>
  <si>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</si>
  <si>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</si>
  <si>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</si>
  <si>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</si>
  <si>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</si>
  <si>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</si>
  <si>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</si>
  <si>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</si>
  <si>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</si>
  <si>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</si>
  <si>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</si>
  <si>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</si>
  <si>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</si>
  <si>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</si>
  <si>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</si>
  <si>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</si>
  <si>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</si>
  <si>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</si>
  <si>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</si>
  <si>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</si>
  <si>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</si>
  <si>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</si>
  <si>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</si>
  <si>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</si>
  <si>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</si>
  <si>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</si>
  <si>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</si>
  <si>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</si>
  <si>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</si>
  <si>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</si>
  <si>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</si>
  <si>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</si>
  <si>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</si>
  <si>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</si>
  <si>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</si>
  <si>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</si>
  <si>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</si>
  <si>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</si>
  <si>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</si>
  <si>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</si>
  <si>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</si>
  <si>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</si>
  <si>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</si>
  <si>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</si>
  <si>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</si>
  <si>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</si>
  <si>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</si>
  <si>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</si>
  <si>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</si>
  <si>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</si>
  <si>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</si>
  <si>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</si>
  <si>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</si>
  <si>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</si>
  <si>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</si>
  <si>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</si>
  <si>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</si>
  <si>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</si>
  <si>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</si>
  <si>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</si>
  <si>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</si>
  <si>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</si>
  <si>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</si>
  <si>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</si>
  <si>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</si>
  <si>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</si>
  <si>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</si>
  <si>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</si>
  <si>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</si>
  <si>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</si>
  <si>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</si>
  <si>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</si>
  <si>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</si>
  <si>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</si>
  <si>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</si>
  <si>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</si>
  <si>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</si>
  <si>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</si>
  <si>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</si>
  <si>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</si>
  <si>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</si>
  <si>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</si>
  <si>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</si>
  <si>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</si>
  <si>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</si>
  <si>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</si>
  <si>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</si>
  <si>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</si>
  <si>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</si>
  <si>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</si>
  <si>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</si>
  <si>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</si>
  <si>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</si>
  <si>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</si>
  <si>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</si>
  <si>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</si>
  <si>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</si>
  <si>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</si>
  <si>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</si>
  <si>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</si>
  <si>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</si>
  <si>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</si>
  <si>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</si>
  <si>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</si>
  <si>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</si>
  <si>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</si>
  <si>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</si>
  <si>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</si>
  <si>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</si>
  <si>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</si>
  <si>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</si>
  <si>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</si>
  <si>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</si>
  <si>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</si>
  <si>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</si>
  <si>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</si>
  <si>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</si>
  <si>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</si>
  <si>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</si>
  <si>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</si>
  <si>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</si>
  <si>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</si>
  <si>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</si>
  <si>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</si>
  <si>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</si>
  <si>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</si>
  <si>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</si>
  <si>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</si>
  <si>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</si>
  <si>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</si>
  <si>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</si>
  <si>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</si>
  <si>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</si>
  <si>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</si>
  <si>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</si>
  <si>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</si>
  <si>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</si>
  <si>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</si>
  <si>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</si>
  <si>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</si>
  <si>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</si>
  <si>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</si>
  <si>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</si>
  <si>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</si>
  <si>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</si>
  <si>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</si>
  <si>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</si>
  <si>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</si>
  <si>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</si>
  <si>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</si>
  <si>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</si>
  <si>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</si>
  <si>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</si>
  <si>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</si>
  <si>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</si>
  <si>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</si>
  <si>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</si>
  <si>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</si>
  <si>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</si>
  <si>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</si>
  <si>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</si>
  <si>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</si>
  <si>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</si>
  <si>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</si>
  <si>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</si>
  <si>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</si>
  <si>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</si>
  <si>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</si>
  <si>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</si>
  <si>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</si>
  <si>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</si>
  <si>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</si>
  <si>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</si>
  <si>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</si>
  <si>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</si>
  <si>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</si>
  <si>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</si>
  <si>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</si>
  <si>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</si>
  <si>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</si>
  <si>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</si>
  <si>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</si>
  <si>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</si>
  <si>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</si>
  <si>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</si>
  <si>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</si>
  <si>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</si>
  <si>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</si>
  <si>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</si>
  <si>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</si>
  <si>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</si>
  <si>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</si>
  <si>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t>Cuentas a Cobrar L.B.</t>
  </si>
  <si>
    <t>Bosamaz a cobrar por Servicios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</si>
  <si>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</si>
  <si>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</si>
  <si>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</si>
  <si>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</si>
  <si>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</si>
  <si>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</si>
  <si>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</si>
  <si>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</si>
  <si>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ZAE  S.A</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</si>
  <si>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</si>
  <si>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</si>
  <si>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</si>
  <si>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</si>
  <si>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</si>
  <si>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</si>
  <si>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</si>
  <si>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</si>
  <si>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</si>
  <si>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</si>
  <si>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</si>
  <si>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</si>
  <si>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</si>
  <si>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</si>
  <si>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</si>
  <si>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Cuentas a Cobrar Cuenta Cero</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</si>
  <si>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</si>
  <si>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</si>
  <si>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</si>
  <si>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</si>
  <si>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</si>
  <si>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</si>
  <si>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</si>
  <si>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</si>
  <si>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</si>
  <si>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</si>
  <si>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</si>
  <si>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</si>
  <si>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</si>
  <si>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</si>
  <si>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</si>
  <si>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</si>
  <si>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</si>
  <si>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</si>
  <si>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</si>
  <si>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Seguros a Pagar</t>
  </si>
  <si>
    <t>Provision para Pagos Adicionales</t>
  </si>
  <si>
    <t>Retenciones Judiciales a Pagar</t>
  </si>
  <si>
    <t xml:space="preserve">BANCO BILBAO VIZCAYA ARGENTARIA PARAGUAY                    </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</si>
  <si>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</si>
  <si>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</si>
  <si>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</si>
  <si>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</si>
  <si>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</si>
  <si>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</si>
  <si>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</si>
  <si>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</si>
  <si>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</si>
  <si>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</si>
  <si>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</si>
  <si>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</si>
  <si>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</si>
  <si>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</si>
  <si>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</si>
  <si>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</si>
  <si>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 xml:space="preserve">TU FINANCIERA S.A.E.C.A.                                    </t>
  </si>
  <si>
    <t>Provisiones Multas Tienda Movil</t>
  </si>
  <si>
    <t>Provisiones y Retenciones Credimarket</t>
  </si>
  <si>
    <t>Provisiones y Retenciones Flash</t>
  </si>
  <si>
    <t>Provisiones y Multas Credimarket</t>
  </si>
  <si>
    <t>Provisiones y Multas Flash</t>
  </si>
  <si>
    <t>Retenciones Bosamaz</t>
  </si>
  <si>
    <t>Retenciones ZAE</t>
  </si>
  <si>
    <t>Retenciones ZAE II</t>
  </si>
  <si>
    <t>Retenciones ZAE III</t>
  </si>
  <si>
    <t>Retenciones Aupar</t>
  </si>
  <si>
    <t>Retenciones Covica</t>
  </si>
  <si>
    <t>Retenciones Luar</t>
  </si>
  <si>
    <t>Retenciones Parametro</t>
  </si>
  <si>
    <t>Retenciones Avanti Group</t>
  </si>
  <si>
    <t>Retenciones Parametro Interior</t>
  </si>
  <si>
    <t>Cuentas a Pagar Bosamaz</t>
  </si>
  <si>
    <t>Cuentas a Pagar Avanti</t>
  </si>
  <si>
    <t>Cuentas a Pagar Aupar</t>
  </si>
  <si>
    <t>Cuentas a Pagar Luar</t>
  </si>
  <si>
    <t>Cuentas a Pagar Credimarket</t>
  </si>
  <si>
    <t>Cuentas a Pagar Covica</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</si>
  <si>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</si>
  <si>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</si>
  <si>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</si>
  <si>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</si>
  <si>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</si>
  <si>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</si>
  <si>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</si>
  <si>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</si>
  <si>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</si>
  <si>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Cuentas a Pagar Zae</t>
  </si>
  <si>
    <t>Cuentas a Pagar Parametro</t>
  </si>
  <si>
    <t>Cuentas a Pagar Zae 2</t>
  </si>
  <si>
    <t>Cuentas a Pagar Avanti Group</t>
  </si>
  <si>
    <t>Cuentas a Pagar Bosamaz Pagares</t>
  </si>
  <si>
    <t>Cuentas a Pagar Zae Pagares</t>
  </si>
  <si>
    <t>Cuentas a Pagar Parametro Pagares</t>
  </si>
  <si>
    <t>Cuentas a Pagar Aupar Pagares</t>
  </si>
  <si>
    <t>Cuentas a Pagar Avanti Group Pagares</t>
  </si>
  <si>
    <t>Cuentas a Pagar Zae 3 Pagares</t>
  </si>
  <si>
    <t>Cuentas a Pagar Parametro Interior Pagares</t>
  </si>
  <si>
    <t>Cuentas a Pagar Flash</t>
  </si>
  <si>
    <t xml:space="preserve">Cuentas a Pagar Zae 3 </t>
  </si>
  <si>
    <t xml:space="preserve">Cuentas a Pagar Parametro Interior </t>
  </si>
  <si>
    <t>Cobro de Servicios Documenta</t>
  </si>
  <si>
    <t>Cuentas a Pagar AAN</t>
  </si>
  <si>
    <t>NFD CAGIL</t>
  </si>
  <si>
    <t>Cuentas a Pagar NC</t>
  </si>
  <si>
    <t>Cuentas a Pagar Zae 2 Pagares</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</si>
  <si>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</si>
  <si>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</si>
  <si>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</si>
  <si>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</si>
  <si>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</si>
  <si>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</si>
  <si>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</si>
  <si>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</si>
  <si>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</si>
  <si>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</si>
  <si>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</si>
  <si>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</si>
  <si>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</si>
  <si>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</si>
  <si>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</si>
  <si>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</si>
  <si>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</si>
  <si>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</si>
  <si>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</si>
  <si>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</si>
  <si>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</si>
  <si>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</si>
  <si>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</si>
  <si>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</si>
  <si>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</si>
  <si>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</si>
  <si>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</si>
  <si>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ANEXO C</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</si>
  <si>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</si>
  <si>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</si>
  <si>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</si>
  <si>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</si>
  <si>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</si>
  <si>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</si>
  <si>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</si>
  <si>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</si>
  <si>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</si>
  <si>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</si>
  <si>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</si>
  <si>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</si>
  <si>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</si>
  <si>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</si>
  <si>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CNV CG 6/19</t>
  </si>
  <si>
    <t>A) PARTES VINCULADAS O RELACIONADAS</t>
  </si>
  <si>
    <t>A.1 Según Art. 34 de la Ley de Mercado de Valores (indicar nombres de las partes)</t>
  </si>
  <si>
    <t>Inciso a) Gustavo Borgognon y Eduardo Borgognon</t>
  </si>
  <si>
    <t>Inciso b) Vector SA</t>
  </si>
  <si>
    <t>Inciso c) Eduardo Borgognon</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</si>
  <si>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</si>
  <si>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</si>
  <si>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</si>
  <si>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</si>
  <si>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</si>
  <si>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</si>
  <si>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</si>
  <si>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</si>
  <si>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</si>
  <si>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</si>
  <si>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</si>
  <si>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</si>
  <si>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</si>
  <si>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</si>
  <si>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</si>
  <si>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</si>
  <si>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</si>
  <si>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</si>
  <si>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</si>
  <si>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</si>
  <si>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</si>
  <si>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</si>
  <si>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</si>
  <si>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</si>
  <si>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</si>
  <si>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</si>
  <si>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</si>
  <si>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</si>
  <si>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</si>
  <si>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</si>
  <si>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</si>
  <si>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</si>
  <si>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</si>
  <si>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</si>
  <si>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</si>
  <si>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</si>
  <si>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Mateo Zaldivar</t>
  </si>
  <si>
    <t>Vector SA</t>
  </si>
  <si>
    <t xml:space="preserve">Venancio Rios </t>
  </si>
  <si>
    <t xml:space="preserve">Julia Moreno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</si>
  <si>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</si>
  <si>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</si>
  <si>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</si>
  <si>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</si>
  <si>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</si>
  <si>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</si>
  <si>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</si>
  <si>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</si>
  <si>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</si>
  <si>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</si>
  <si>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</si>
  <si>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</si>
  <si>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</si>
  <si>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</si>
  <si>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Miguel Dario Zaldivar</t>
  </si>
  <si>
    <t>Sindico</t>
  </si>
  <si>
    <t>Plana Ejecutiva</t>
  </si>
  <si>
    <t>Gerente General</t>
  </si>
  <si>
    <t>Venancio Rios Portillo</t>
  </si>
  <si>
    <t>Omar Gustavo Giménez Pereira</t>
  </si>
  <si>
    <t>Gerente Administrativo</t>
  </si>
  <si>
    <t>Graciela Mabel Nuñez Lopez</t>
  </si>
  <si>
    <t>Gustavo Jiménez</t>
  </si>
  <si>
    <t xml:space="preserve">María Lorena Ojeda Núñez </t>
  </si>
  <si>
    <t>Julia Elvira Moreno Vargas</t>
  </si>
  <si>
    <t>Gerente de Desarrollo</t>
  </si>
  <si>
    <t>Diego Armando Marecos Sanabria</t>
  </si>
  <si>
    <t>Gerente de Cobranzas</t>
  </si>
  <si>
    <t>Luis Emigdio Ruiz Coronel</t>
  </si>
  <si>
    <t>Gerente de Riesgos</t>
  </si>
  <si>
    <t>Cever Socrates Peralta Espinola</t>
  </si>
  <si>
    <t>Contadora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</si>
  <si>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</si>
  <si>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</si>
  <si>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</si>
  <si>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</si>
  <si>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</si>
  <si>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</si>
  <si>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</si>
  <si>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</si>
  <si>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</si>
  <si>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</si>
  <si>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</si>
  <si>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</si>
  <si>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</si>
  <si>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</si>
  <si>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</si>
  <si>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</si>
  <si>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</si>
  <si>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 xml:space="preserve">N° </t>
  </si>
  <si>
    <t>Accionista</t>
  </si>
  <si>
    <t> Número</t>
  </si>
  <si>
    <t xml:space="preserve">Cantidad </t>
  </si>
  <si>
    <t>Clase</t>
  </si>
  <si>
    <t>Voto</t>
  </si>
  <si>
    <t>%  x tipo</t>
  </si>
  <si>
    <t>%  PARTICIPACION</t>
  </si>
  <si>
    <t>Eduardo Jose Borgognon M</t>
  </si>
  <si>
    <t>15401/19200</t>
  </si>
  <si>
    <t>Ord.Clase A</t>
  </si>
  <si>
    <t>19201/19600</t>
  </si>
  <si>
    <t>20701/21100</t>
  </si>
  <si>
    <t>Pref. Grupo A</t>
  </si>
  <si>
    <t>22361/23300</t>
  </si>
  <si>
    <t>Pref. Grupo B</t>
  </si>
  <si>
    <t>25201/25600</t>
  </si>
  <si>
    <t>Pref. Grupo D</t>
  </si>
  <si>
    <t>47901/50000</t>
  </si>
  <si>
    <t>Pref. Grupo G</t>
  </si>
  <si>
    <t>67701/69600</t>
  </si>
  <si>
    <t>69601/69800</t>
  </si>
  <si>
    <t>112001/117000</t>
  </si>
  <si>
    <t>Pref. Grupo J</t>
  </si>
  <si>
    <t>117001/119188</t>
  </si>
  <si>
    <t>85801/90000</t>
  </si>
  <si>
    <t>38867/40000</t>
  </si>
  <si>
    <t>Pref Grupo F</t>
  </si>
  <si>
    <t>119189/119568</t>
  </si>
  <si>
    <t>119569/119700</t>
  </si>
  <si>
    <t>Gustavo Luis Borgognon M.</t>
  </si>
  <si>
    <t>1/7200</t>
  </si>
  <si>
    <t>29901/35600</t>
  </si>
  <si>
    <t>40001/43600</t>
  </si>
  <si>
    <t>55701/60000</t>
  </si>
  <si>
    <t>Pref. Grupo H</t>
  </si>
  <si>
    <t>60001/63600</t>
  </si>
  <si>
    <t>90001/95000</t>
  </si>
  <si>
    <t>70001/77200</t>
  </si>
  <si>
    <t>28901/29900</t>
  </si>
  <si>
    <t>35601/36544</t>
  </si>
  <si>
    <t>Miguel Dario Zaldivar Morales</t>
  </si>
  <si>
    <t>36545/38866</t>
  </si>
  <si>
    <t>43601/47900</t>
  </si>
  <si>
    <t>95001/112000</t>
  </si>
  <si>
    <t>Pref. Grupo I</t>
  </si>
  <si>
    <t>7201/15400</t>
  </si>
  <si>
    <t>19601/20000</t>
  </si>
  <si>
    <t>63601/67700</t>
  </si>
  <si>
    <t>69801/70000</t>
  </si>
  <si>
    <t>77201/85800</t>
  </si>
  <si>
    <t>4.2: NUMERO DE INCRIPCION EN EL REGISTRO DE LA CNV: 003.</t>
  </si>
  <si>
    <t>No se registra</t>
  </si>
  <si>
    <t>No se registran</t>
  </si>
  <si>
    <t xml:space="preserve">CUADRO DEL CAPITAL INTEGRADO </t>
  </si>
  <si>
    <t xml:space="preserve">%  </t>
  </si>
  <si>
    <t>Fernando Andrés Berdichevsky Sborovsky</t>
  </si>
  <si>
    <t>20001/20700</t>
  </si>
  <si>
    <t>Luis Alberto Lima Morra</t>
  </si>
  <si>
    <t>21101/22360</t>
  </si>
  <si>
    <t>Benicia Ríos Portillo</t>
  </si>
  <si>
    <t>23301/23500</t>
  </si>
  <si>
    <t>Jorge Cazal Miniotis</t>
  </si>
  <si>
    <t>23501/24700</t>
  </si>
  <si>
    <t>Pref. Grupo C</t>
  </si>
  <si>
    <t>Rodrigo Guillermo Callizo López Moreira</t>
  </si>
  <si>
    <t>24701/25065</t>
  </si>
  <si>
    <t>Federico Callizo Nicora</t>
  </si>
  <si>
    <t>25066/25200</t>
  </si>
  <si>
    <t>Carlos Alberto Knapps</t>
  </si>
  <si>
    <t>25601/28010</t>
  </si>
  <si>
    <t>Pref. Grupo E</t>
  </si>
  <si>
    <t>Guillermo Néstor Sosa Arrúa</t>
  </si>
  <si>
    <t>28011/28210</t>
  </si>
  <si>
    <t>Luís Sebastián Aguilera Burró</t>
  </si>
  <si>
    <t>28211/28410</t>
  </si>
  <si>
    <t>Venancio Ríos Portillo</t>
  </si>
  <si>
    <t>28411/28480</t>
  </si>
  <si>
    <t>28481/28680</t>
  </si>
  <si>
    <t>Rubén Cirilo Etienne Fernández</t>
  </si>
  <si>
    <t>28681/28900</t>
  </si>
  <si>
    <t>Eduardo Jose Borgognon Montero</t>
  </si>
  <si>
    <t>Emmanuel Friedmann Sosa</t>
  </si>
  <si>
    <t>50001/53750</t>
  </si>
  <si>
    <t>Fabrizio Bibolini R.</t>
  </si>
  <si>
    <t>53751/55700</t>
  </si>
  <si>
    <t>Jorge Antonio Ayala</t>
  </si>
  <si>
    <t>119701/120000</t>
  </si>
  <si>
    <t xml:space="preserve">CUADRO DEL CAPITAL SUSCRIPTO </t>
  </si>
  <si>
    <t>4-AUDITOR EXTERNO INDEPENDIENTE</t>
  </si>
  <si>
    <t xml:space="preserve"> La Empresa constituye  previsiones  para  deudores de  dudoso cobro  conforme a los siguientes criterios:</t>
  </si>
  <si>
    <t>Así mismo se constituyen previsiones por el importe correspondientes a los descuentos obtenidos en la compra de Créditos vía cesión de créditos.</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</si>
  <si>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</si>
  <si>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</si>
  <si>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</si>
  <si>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</si>
  <si>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</si>
  <si>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</si>
  <si>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</si>
  <si>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</si>
  <si>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Caja Mutual de Cooperativistas del Paraguay</t>
  </si>
  <si>
    <t>Adelanto de Dividendos</t>
  </si>
  <si>
    <t>Provision Actividades RRHH</t>
  </si>
  <si>
    <t>Otros Acreedores</t>
  </si>
  <si>
    <t>Provisiones Multas AAN</t>
  </si>
  <si>
    <t>Cuentas a Pagar Franquicias</t>
  </si>
  <si>
    <t xml:space="preserve">Cuentas a Pagar AAN </t>
  </si>
  <si>
    <t>Retencion Impuesto IDU</t>
  </si>
  <si>
    <t>Participación sobre el Capital Integrado (%)</t>
  </si>
  <si>
    <t>TU FINANCIERA SA</t>
  </si>
  <si>
    <t>Alquileres Cobrados</t>
  </si>
  <si>
    <t>Desafectacion Previsiones</t>
  </si>
  <si>
    <t>Intereses s/Prestamos Accionistas</t>
  </si>
  <si>
    <t>mes</t>
  </si>
  <si>
    <t>Etiquetas de fila</t>
  </si>
  <si>
    <t>CONTABLE</t>
  </si>
  <si>
    <t>RIESGO</t>
  </si>
  <si>
    <t>OPERATIVO</t>
  </si>
  <si>
    <t>MORA</t>
  </si>
  <si>
    <t>TOTAL DE PREV</t>
  </si>
  <si>
    <t>CARTERA TOTAL</t>
  </si>
  <si>
    <t xml:space="preserve">                  </t>
  </si>
  <si>
    <t>MORA MAYOR A 60</t>
  </si>
  <si>
    <t>%</t>
  </si>
  <si>
    <t xml:space="preserve">prev por mora </t>
  </si>
  <si>
    <t>Prev Generica</t>
  </si>
  <si>
    <t xml:space="preserve">Reserva Facultativa p malos creditos </t>
  </si>
  <si>
    <t>Total de generica</t>
  </si>
  <si>
    <t>= o &gt; 60 días</t>
  </si>
  <si>
    <t>0%</t>
  </si>
  <si>
    <t>&gt;60 hasta 90 días</t>
  </si>
  <si>
    <t>&gt;90 hasta 150 días</t>
  </si>
  <si>
    <t>&gt;90 hasta 120 días</t>
  </si>
  <si>
    <t>&gt;150 hasta 180 días</t>
  </si>
  <si>
    <t>&gt;120 hasta 150 días</t>
  </si>
  <si>
    <t>&gt;180 hasta 270 días</t>
  </si>
  <si>
    <t>&gt; 270 días</t>
  </si>
  <si>
    <t>&gt; 180 días</t>
  </si>
  <si>
    <t>Las propiedades, planta y equipo se exponen a su costo histórico ajustado por el coeficiente de revalúo emitido por la Autoridad Tributaria, meno/ la correspondiente depreciación acumulada y el valor residual establecido por la reforma tributaria en cuanto al calculo de la depreciacion de los Bienes de Uso segun la Ley 6380/19 y la RG,3181/19 de la Sub Secretaria de Estado de Tributacion. El incremento neto por la re-expresión se acredita a la respectiva reserva patrimonial, cuyo saldo puede ser utilizado únicamente para  aumentar el capital.</t>
  </si>
  <si>
    <t>Utilidad accion Preferida</t>
  </si>
  <si>
    <t>Modificación de Estatutos Sociales</t>
  </si>
  <si>
    <t>Por Esc.Pub. N°13 del 24/06/2020 pasada ante la Escrib. Pub. Lilia Ballasch Guerra, se realizó la modificació de los estatutos sociales de la firma NEGOFIN SOCIEDAD ANONIMA DE CAPITAL ABIERTO (NEGOFIN S.A.E.C.A.), por aumento de capital, cambio de acciones y emisión de acciones, según Dictamen N° 71744 del 15/03/2021 de la DRFS, e inscripta en la Dir. Gral. de los Registros Publicos, Sección Pers. Jurídica y Asoc. Con Matricula Jurídica N° 33.856, Serie Comercial, bajo el Nº 1, folio 1-26, EL 16/03/2021 y en la Sección Reg. Publico de Comercio, Matrícula Comercial Nº 19.122, Serie Comercial, bajo el Nº 2, folio 12, el 16-03-2021</t>
  </si>
  <si>
    <t>4.1-AUDITOR INDEPENDIENTE DESIGANDO: GESTION EMPRESARIAL</t>
  </si>
  <si>
    <t>Constituida en el 2020 de Gs. 30.059.427.-</t>
  </si>
  <si>
    <t>Al 30 de Septiembre de 2021</t>
  </si>
  <si>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30 de septiembre de 2020 y 2021. Según el índice general de precios del consumo (IPC) publicado por el Banco Central del Paraguay, la inflación fue de -0,4% en el año 2020 y 0,4% en el año 2021. </t>
    </r>
    <r>
      <rPr>
        <i/>
        <sz val="9"/>
        <color indexed="8"/>
        <rFont val="Arial"/>
        <family val="2"/>
      </rPr>
      <t>Obs: Datos a incorporar para cierre del ejercicio al 30/09/2021.</t>
    </r>
    <r>
      <rPr>
        <sz val="9"/>
        <color indexed="8"/>
        <rFont val="Arial"/>
        <family val="2"/>
      </rPr>
      <t xml:space="preserve">
</t>
    </r>
  </si>
  <si>
    <t>Bosamaz Regularizadora p/ Varios</t>
  </si>
  <si>
    <t>AAN Regularizadora</t>
  </si>
  <si>
    <t>Provisiones y Multas Compartir Creditos</t>
  </si>
  <si>
    <t>Cuentas a Pagar Electroban</t>
  </si>
  <si>
    <t>Primas de Emision</t>
  </si>
  <si>
    <t>Venta Activo Fijo</t>
  </si>
  <si>
    <t>31/9/2021</t>
  </si>
  <si>
    <t xml:space="preserve">Total Remuneración -      Ej.30/09/2021  Gs. </t>
  </si>
  <si>
    <t>Total Intereses s/Ptmos.-Ej.30/09/2021  Gs.</t>
  </si>
  <si>
    <t>Total Honorarios -           Ej.30/09/2021  Gs.</t>
  </si>
  <si>
    <t xml:space="preserve">Total Comisiones -          Ej.30/09/2021  Gs. </t>
  </si>
  <si>
    <t>AL 30/09/2021</t>
  </si>
  <si>
    <t>Intangibles</t>
  </si>
  <si>
    <t>Reserva Facultativa</t>
  </si>
  <si>
    <t>PYNEGP0V1862</t>
  </si>
  <si>
    <t>Preferidas Clase M</t>
  </si>
  <si>
    <t>PYNEGP0V1847</t>
  </si>
  <si>
    <t>Preferidas Clase K</t>
  </si>
  <si>
    <t>PYNEGP0V1854</t>
  </si>
  <si>
    <t>Preferidas Clase L</t>
  </si>
  <si>
    <t>PYNEGP0V1870</t>
  </si>
  <si>
    <t>PYNEGP0V1888</t>
  </si>
  <si>
    <t>Preferidas Clase N</t>
  </si>
  <si>
    <t>Preferidas Clase O</t>
  </si>
  <si>
    <t xml:space="preserve">Al cierre del 30/09/2021 el valor previsionado asciende a miles de G.182.327.042..-, asi  tambien cuenta con una reserva facultativa para amlos creditos </t>
  </si>
  <si>
    <t>setiembre</t>
  </si>
  <si>
    <t xml:space="preserve">descuentos obtenidos en la compra de Créditos vía cesión de créditos, como el 100% del </t>
  </si>
  <si>
    <t xml:space="preserve">devengado no cobrado de los mencionados creditos.Contamos con una reserva para malos creditos por Gs, </t>
  </si>
  <si>
    <t>30,059,427 MM</t>
  </si>
  <si>
    <t>Entre la fecha de cierre del ejercicio y la fecha de preparación de estos estados financieros, no han ocurrido hechos significativos de carácter financiero o de otra índole que afecten la situación patrimonial o financiera o los resultados de la Sociedad al 30 de setiembre 2021.</t>
  </si>
  <si>
    <t>Fernando José Velázquez Abente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</si>
</sst>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 #,##0_ ;_ * \-#,##0_ ;_ * &quot;-&quot;??_ ;_ @_ "/>
    <numFmt numFmtId="174" formatCode="_-* #,##0_-;\-* #,##0_-;_-* &quot;-&quot;??_-;_-@_-"/>
    <numFmt numFmtId="175" formatCode="_(* #,##0_);_(* \(#,##0\);_(* &quot;-&quot;??_);_(@_)"/>
    <numFmt numFmtId="176" formatCode="dd/mm/yyyy;@"/>
    <numFmt numFmtId="177" formatCode="#,###,##0"/>
    <numFmt numFmtId="178" formatCode="_-* #,##0_-;\-* #,##0_-;_-* &quot;-&quot;_-;_-@_-"/>
    <numFmt numFmtId="179" formatCode="_-* #,##0.00_-;\-* #,##0.00_-;_-* &quot;-&quot;??_-;_-@_-"/>
    <numFmt numFmtId="180" formatCode="#,##0_ ;\-#,##0\ "/>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 #,##0.00_ ;_ * \-#,##0.00_ ;_ * &quot;-&quot;_ ;_ @_ "/>
    <numFmt numFmtId="187" formatCode="0.0%"/>
  </numFmts>
  <fonts count="149">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b/>
      <sz val="10"/>
      <color indexed="10"/>
      <name val="Arial"/>
      <family val="2"/>
    </font>
    <font>
      <sz val="9"/>
      <name val="Calibri"/>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sz val="10"/>
      <color rgb="FF000000"/>
      <name val="Calibri"/>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i/>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bottom/>
    </border>
    <border>
      <left/>
      <right style="thin"/>
      <top/>
      <bottom/>
    </border>
    <border>
      <left/>
      <right style="thin"/>
      <top/>
      <bottom style="thin"/>
    </border>
    <border>
      <left/>
      <right/>
      <top style="thin"/>
      <bottom style="thin"/>
    </border>
    <border>
      <left/>
      <right/>
      <top style="thin"/>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style="thin"/>
      <right style="thin"/>
      <top/>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right/>
      <top style="thin"/>
      <bottom style="double"/>
    </border>
    <border>
      <left/>
      <right style="medium"/>
      <top/>
      <bottom style="thin"/>
    </border>
    <border>
      <left/>
      <right style="medium"/>
      <top style="thin"/>
      <bottom style="thin"/>
    </border>
    <border>
      <left/>
      <right style="medium"/>
      <top style="thin"/>
      <bottom/>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style="medium"/>
      <right style="medium"/>
      <top style="medium"/>
      <bottom/>
    </border>
    <border>
      <left/>
      <right style="medium"/>
      <top style="medium"/>
      <bottom/>
    </border>
    <border>
      <left/>
      <right/>
      <top style="medium"/>
      <bottom/>
    </border>
    <border>
      <left style="medium"/>
      <right/>
      <top/>
      <bottom/>
    </border>
    <border>
      <left/>
      <right style="medium"/>
      <top/>
      <bottom/>
    </border>
    <border>
      <left style="medium"/>
      <right/>
      <top/>
      <bottom style="double"/>
    </border>
    <border>
      <left/>
      <right/>
      <top/>
      <bottom style="double"/>
    </border>
    <border>
      <left/>
      <right style="medium"/>
      <top/>
      <bottom style="double"/>
    </border>
    <border>
      <left style="medium"/>
      <right/>
      <top/>
      <bottom style="medium"/>
    </border>
    <border>
      <left/>
      <right style="medium"/>
      <top/>
      <bottom style="medium"/>
    </border>
    <border>
      <left/>
      <right/>
      <top style="medium"/>
      <bottom style="medium"/>
    </border>
    <border>
      <left/>
      <right style="medium"/>
      <top style="thin"/>
      <bottom style="medium"/>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29" borderId="1"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2"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4"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95" fillId="21"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88" fillId="0" borderId="8" applyNumberFormat="0" applyFill="0" applyAlignment="0" applyProtection="0"/>
    <xf numFmtId="0" fontId="100" fillId="0" borderId="9" applyNumberFormat="0" applyFill="0" applyAlignment="0" applyProtection="0"/>
  </cellStyleXfs>
  <cellXfs count="952">
    <xf numFmtId="0" fontId="0" fillId="0" borderId="0" xfId="0" applyFont="1" applyAlignment="1">
      <alignment/>
    </xf>
    <xf numFmtId="0" fontId="101" fillId="0" borderId="0" xfId="0" applyFont="1" applyAlignment="1">
      <alignment vertical="center"/>
    </xf>
    <xf numFmtId="0" fontId="101" fillId="0" borderId="0" xfId="0" applyFont="1" applyAlignment="1">
      <alignment/>
    </xf>
    <xf numFmtId="0" fontId="102" fillId="0" borderId="0" xfId="0" applyFont="1" applyAlignment="1">
      <alignment vertical="center"/>
    </xf>
    <xf numFmtId="0" fontId="103" fillId="0" borderId="0" xfId="0" applyFont="1" applyAlignment="1">
      <alignment vertical="center"/>
    </xf>
    <xf numFmtId="0" fontId="104" fillId="33" borderId="0" xfId="0" applyFont="1" applyFill="1" applyAlignment="1">
      <alignment/>
    </xf>
    <xf numFmtId="0" fontId="102" fillId="33" borderId="10" xfId="0" applyFont="1" applyFill="1" applyBorder="1" applyAlignment="1">
      <alignment/>
    </xf>
    <xf numFmtId="174" fontId="101" fillId="33" borderId="10" xfId="52" applyNumberFormat="1" applyFont="1" applyFill="1" applyBorder="1" applyAlignment="1">
      <alignment/>
    </xf>
    <xf numFmtId="175" fontId="2" fillId="33" borderId="10" xfId="52" applyNumberFormat="1" applyFont="1" applyFill="1" applyBorder="1" applyAlignment="1">
      <alignment/>
    </xf>
    <xf numFmtId="0" fontId="101" fillId="33" borderId="11" xfId="0" applyFont="1" applyFill="1" applyBorder="1" applyAlignment="1">
      <alignment/>
    </xf>
    <xf numFmtId="0" fontId="101" fillId="33" borderId="0" xfId="0" applyFont="1" applyFill="1" applyAlignment="1">
      <alignment/>
    </xf>
    <xf numFmtId="0" fontId="101" fillId="0" borderId="0" xfId="0" applyFont="1" applyAlignment="1">
      <alignment horizontal="left" vertical="top" wrapText="1"/>
    </xf>
    <xf numFmtId="0" fontId="102" fillId="33" borderId="0" xfId="0" applyFont="1" applyFill="1" applyAlignment="1">
      <alignment/>
    </xf>
    <xf numFmtId="0" fontId="4" fillId="33" borderId="12" xfId="105" applyFont="1" applyFill="1" applyBorder="1" applyAlignment="1">
      <alignment horizontal="left"/>
      <protection/>
    </xf>
    <xf numFmtId="0" fontId="4" fillId="33" borderId="0" xfId="105" applyFont="1" applyFill="1" applyAlignment="1">
      <alignment horizontal="center"/>
      <protection/>
    </xf>
    <xf numFmtId="0" fontId="101" fillId="33" borderId="0" xfId="0" applyFont="1" applyFill="1" applyBorder="1" applyAlignment="1">
      <alignment/>
    </xf>
    <xf numFmtId="173" fontId="101" fillId="33" borderId="0" xfId="0" applyNumberFormat="1" applyFont="1" applyFill="1" applyAlignment="1">
      <alignment/>
    </xf>
    <xf numFmtId="0" fontId="102" fillId="0" borderId="0" xfId="0" applyFont="1" applyAlignment="1">
      <alignment/>
    </xf>
    <xf numFmtId="0" fontId="2" fillId="33" borderId="0" xfId="105" applyFont="1" applyFill="1" applyBorder="1" applyAlignment="1">
      <alignment horizontal="left"/>
      <protection/>
    </xf>
    <xf numFmtId="0" fontId="105" fillId="0" borderId="0" xfId="0" applyFont="1" applyAlignment="1">
      <alignment vertical="center"/>
    </xf>
    <xf numFmtId="0" fontId="4" fillId="33" borderId="12" xfId="106" applyFont="1" applyFill="1" applyBorder="1" applyAlignment="1">
      <alignment horizontal="left"/>
      <protection/>
    </xf>
    <xf numFmtId="0" fontId="2" fillId="33" borderId="0" xfId="0" applyFont="1" applyFill="1" applyAlignment="1">
      <alignment/>
    </xf>
    <xf numFmtId="175" fontId="106" fillId="0" borderId="0" xfId="52" applyNumberFormat="1" applyFont="1" applyAlignment="1">
      <alignment/>
    </xf>
    <xf numFmtId="0" fontId="4" fillId="33" borderId="0" xfId="106"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1" fillId="0" borderId="0" xfId="0" applyFont="1" applyBorder="1" applyAlignment="1">
      <alignment vertical="center"/>
    </xf>
    <xf numFmtId="0" fontId="106" fillId="0" borderId="0" xfId="0" applyFont="1" applyAlignment="1">
      <alignment/>
    </xf>
    <xf numFmtId="0" fontId="106" fillId="0" borderId="0" xfId="0" applyFont="1" applyBorder="1" applyAlignment="1">
      <alignment/>
    </xf>
    <xf numFmtId="0" fontId="101" fillId="0" borderId="0" xfId="0" applyFont="1" applyBorder="1" applyAlignment="1">
      <alignment/>
    </xf>
    <xf numFmtId="0" fontId="101" fillId="34" borderId="0" xfId="0" applyFont="1" applyFill="1" applyAlignment="1">
      <alignment/>
    </xf>
    <xf numFmtId="0" fontId="102" fillId="0" borderId="0" xfId="0" applyFont="1" applyBorder="1" applyAlignment="1">
      <alignment horizontal="center"/>
    </xf>
    <xf numFmtId="0" fontId="101" fillId="0" borderId="0" xfId="0" applyFont="1" applyFill="1" applyAlignment="1">
      <alignment/>
    </xf>
    <xf numFmtId="0" fontId="4" fillId="33" borderId="12" xfId="110" applyFont="1" applyFill="1" applyBorder="1" applyAlignment="1">
      <alignment horizontal="left"/>
    </xf>
    <xf numFmtId="0" fontId="5" fillId="33" borderId="0" xfId="110" applyFont="1" applyFill="1" applyBorder="1" applyAlignment="1">
      <alignment horizontal="center"/>
    </xf>
    <xf numFmtId="0" fontId="5" fillId="33" borderId="0" xfId="110" applyFont="1" applyFill="1" applyAlignment="1">
      <alignment horizontal="center"/>
    </xf>
    <xf numFmtId="0" fontId="2" fillId="33" borderId="0" xfId="112" applyFont="1" applyFill="1" applyBorder="1">
      <alignment/>
      <protection/>
    </xf>
    <xf numFmtId="0" fontId="2" fillId="33" borderId="0" xfId="112" applyFont="1" applyFill="1">
      <alignment/>
      <protection/>
    </xf>
    <xf numFmtId="0" fontId="4" fillId="33" borderId="0" xfId="112" applyFont="1" applyFill="1">
      <alignment/>
      <protection/>
    </xf>
    <xf numFmtId="0" fontId="4" fillId="33" borderId="0" xfId="112" applyFont="1" applyFill="1" applyBorder="1">
      <alignment/>
      <protection/>
    </xf>
    <xf numFmtId="0" fontId="101" fillId="0" borderId="0" xfId="0" applyFont="1" applyAlignment="1">
      <alignment vertical="top" wrapText="1"/>
    </xf>
    <xf numFmtId="0" fontId="105" fillId="0" borderId="0" xfId="0" applyFont="1" applyFill="1" applyAlignment="1">
      <alignment/>
    </xf>
    <xf numFmtId="0" fontId="6" fillId="0" borderId="0" xfId="0" applyFont="1" applyFill="1" applyAlignment="1">
      <alignment/>
    </xf>
    <xf numFmtId="43" fontId="105" fillId="0" borderId="0" xfId="52" applyFont="1" applyFill="1" applyAlignment="1">
      <alignment/>
    </xf>
    <xf numFmtId="173" fontId="6" fillId="0" borderId="0" xfId="52" applyNumberFormat="1" applyFont="1" applyFill="1" applyAlignment="1">
      <alignment/>
    </xf>
    <xf numFmtId="173" fontId="105" fillId="0" borderId="0" xfId="52" applyNumberFormat="1" applyFont="1" applyFill="1" applyAlignment="1">
      <alignment/>
    </xf>
    <xf numFmtId="41" fontId="105" fillId="0" borderId="0" xfId="0" applyNumberFormat="1" applyFont="1" applyFill="1" applyAlignment="1">
      <alignment/>
    </xf>
    <xf numFmtId="173" fontId="101" fillId="0" borderId="0" xfId="0" applyNumberFormat="1" applyFont="1" applyAlignment="1">
      <alignment/>
    </xf>
    <xf numFmtId="0" fontId="0" fillId="0" borderId="0" xfId="0" applyFill="1" applyAlignment="1">
      <alignment/>
    </xf>
    <xf numFmtId="0" fontId="101" fillId="0" borderId="0" xfId="0" applyFont="1" applyFill="1" applyBorder="1" applyAlignment="1">
      <alignment/>
    </xf>
    <xf numFmtId="0" fontId="102" fillId="0" borderId="0" xfId="0" applyFont="1" applyFill="1" applyBorder="1" applyAlignment="1">
      <alignment/>
    </xf>
    <xf numFmtId="0" fontId="102" fillId="0" borderId="0" xfId="0" applyFont="1" applyFill="1" applyAlignment="1">
      <alignment vertical="center"/>
    </xf>
    <xf numFmtId="0" fontId="104" fillId="0" borderId="0" xfId="0" applyFont="1" applyFill="1" applyAlignment="1">
      <alignment/>
    </xf>
    <xf numFmtId="0" fontId="107" fillId="0" borderId="0" xfId="0" applyFont="1" applyAlignment="1">
      <alignment/>
    </xf>
    <xf numFmtId="173" fontId="107" fillId="0" borderId="0" xfId="52" applyNumberFormat="1" applyFont="1" applyAlignment="1">
      <alignment/>
    </xf>
    <xf numFmtId="173" fontId="107" fillId="0" borderId="0" xfId="0" applyNumberFormat="1" applyFont="1" applyAlignment="1">
      <alignment/>
    </xf>
    <xf numFmtId="173" fontId="108" fillId="0" borderId="0" xfId="52" applyNumberFormat="1" applyFont="1" applyAlignment="1">
      <alignment/>
    </xf>
    <xf numFmtId="177" fontId="101" fillId="0" borderId="0" xfId="0" applyNumberFormat="1" applyFont="1" applyAlignment="1">
      <alignment horizontal="right"/>
    </xf>
    <xf numFmtId="173" fontId="2" fillId="0" borderId="0" xfId="52" applyNumberFormat="1" applyFont="1" applyAlignment="1">
      <alignment/>
    </xf>
    <xf numFmtId="173" fontId="4" fillId="0" borderId="0" xfId="52" applyNumberFormat="1" applyFont="1" applyAlignment="1">
      <alignment/>
    </xf>
    <xf numFmtId="0" fontId="7" fillId="0" borderId="0" xfId="0" applyFont="1" applyAlignment="1">
      <alignment/>
    </xf>
    <xf numFmtId="173" fontId="7" fillId="0" borderId="0" xfId="52" applyNumberFormat="1" applyFont="1" applyAlignment="1">
      <alignment/>
    </xf>
    <xf numFmtId="0" fontId="2" fillId="0" borderId="0" xfId="108" applyFont="1" applyAlignment="1">
      <alignment/>
    </xf>
    <xf numFmtId="173" fontId="101" fillId="0" borderId="0" xfId="52" applyNumberFormat="1" applyFont="1" applyAlignment="1">
      <alignment/>
    </xf>
    <xf numFmtId="0" fontId="101" fillId="0" borderId="0" xfId="0" applyFont="1" applyAlignment="1">
      <alignment horizontal="left"/>
    </xf>
    <xf numFmtId="173" fontId="101" fillId="0" borderId="0" xfId="52" applyNumberFormat="1" applyFont="1" applyAlignment="1">
      <alignment horizontal="center"/>
    </xf>
    <xf numFmtId="0" fontId="3" fillId="0" borderId="0" xfId="0" applyFont="1" applyFill="1" applyAlignment="1">
      <alignment/>
    </xf>
    <xf numFmtId="173" fontId="104" fillId="0" borderId="0" xfId="0" applyNumberFormat="1" applyFont="1" applyFill="1" applyAlignment="1">
      <alignment/>
    </xf>
    <xf numFmtId="0" fontId="4" fillId="0" borderId="0" xfId="0" applyFont="1" applyFill="1" applyAlignment="1">
      <alignment/>
    </xf>
    <xf numFmtId="173" fontId="101" fillId="0" borderId="0" xfId="52" applyNumberFormat="1" applyFont="1" applyFill="1" applyAlignment="1">
      <alignment/>
    </xf>
    <xf numFmtId="0" fontId="101" fillId="0" borderId="0" xfId="0" applyFont="1" applyFill="1" applyAlignment="1">
      <alignment horizontal="left"/>
    </xf>
    <xf numFmtId="0" fontId="108" fillId="0" borderId="0" xfId="0" applyFont="1" applyFill="1" applyAlignment="1">
      <alignment/>
    </xf>
    <xf numFmtId="173" fontId="106" fillId="0" borderId="0" xfId="52" applyNumberFormat="1" applyFont="1" applyAlignment="1">
      <alignment/>
    </xf>
    <xf numFmtId="0" fontId="101" fillId="0" borderId="0" xfId="0" applyFont="1" applyAlignment="1">
      <alignment horizontal="left"/>
    </xf>
    <xf numFmtId="0" fontId="105"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09" fillId="0" borderId="0" xfId="0" applyFont="1" applyFill="1" applyAlignment="1">
      <alignment/>
    </xf>
    <xf numFmtId="173" fontId="101" fillId="0" borderId="0" xfId="0" applyNumberFormat="1" applyFont="1" applyFill="1" applyAlignment="1">
      <alignment/>
    </xf>
    <xf numFmtId="173" fontId="106" fillId="0" borderId="0" xfId="52" applyNumberFormat="1" applyFont="1" applyAlignment="1">
      <alignment horizontal="center"/>
    </xf>
    <xf numFmtId="0" fontId="9" fillId="0" borderId="0" xfId="0" applyFont="1" applyAlignment="1">
      <alignment/>
    </xf>
    <xf numFmtId="173" fontId="110" fillId="0" borderId="0" xfId="52" applyNumberFormat="1" applyFont="1" applyAlignment="1">
      <alignment/>
    </xf>
    <xf numFmtId="173" fontId="111" fillId="0" borderId="0" xfId="52" applyNumberFormat="1" applyFont="1" applyAlignment="1">
      <alignment/>
    </xf>
    <xf numFmtId="173" fontId="101" fillId="0" borderId="0" xfId="52" applyNumberFormat="1" applyFont="1" applyBorder="1" applyAlignment="1">
      <alignment/>
    </xf>
    <xf numFmtId="0" fontId="101" fillId="0" borderId="0" xfId="0" applyFont="1" applyBorder="1" applyAlignment="1">
      <alignment horizontal="left"/>
    </xf>
    <xf numFmtId="173" fontId="101" fillId="0" borderId="0" xfId="52" applyNumberFormat="1" applyFont="1" applyBorder="1" applyAlignment="1">
      <alignment horizontal="center"/>
    </xf>
    <xf numFmtId="173" fontId="2" fillId="0" borderId="0" xfId="52" applyNumberFormat="1" applyFont="1" applyBorder="1" applyAlignment="1">
      <alignment/>
    </xf>
    <xf numFmtId="173" fontId="108" fillId="0" borderId="0" xfId="52" applyNumberFormat="1" applyFont="1" applyBorder="1" applyAlignment="1">
      <alignment/>
    </xf>
    <xf numFmtId="0" fontId="101" fillId="0" borderId="13" xfId="0" applyFont="1" applyFill="1" applyBorder="1" applyAlignment="1">
      <alignment/>
    </xf>
    <xf numFmtId="0" fontId="101" fillId="0" borderId="14" xfId="0" applyFont="1" applyFill="1" applyBorder="1" applyAlignment="1">
      <alignment/>
    </xf>
    <xf numFmtId="0" fontId="112" fillId="0" borderId="0" xfId="0" applyFont="1" applyFill="1" applyAlignment="1">
      <alignment/>
    </xf>
    <xf numFmtId="173" fontId="109" fillId="0" borderId="0" xfId="52" applyNumberFormat="1" applyFont="1" applyFill="1" applyAlignment="1">
      <alignment/>
    </xf>
    <xf numFmtId="173" fontId="8" fillId="0" borderId="0" xfId="52" applyNumberFormat="1" applyFont="1" applyFill="1" applyAlignment="1">
      <alignment/>
    </xf>
    <xf numFmtId="0" fontId="109" fillId="0" borderId="0" xfId="0" applyFont="1" applyFill="1" applyAlignment="1">
      <alignment/>
    </xf>
    <xf numFmtId="0" fontId="8" fillId="0" borderId="0" xfId="0" applyFont="1" applyFill="1" applyAlignment="1">
      <alignment/>
    </xf>
    <xf numFmtId="14" fontId="3" fillId="33" borderId="0" xfId="112" applyNumberFormat="1" applyFont="1" applyFill="1" applyBorder="1" applyAlignment="1">
      <alignment horizontal="center"/>
      <protection/>
    </xf>
    <xf numFmtId="0" fontId="100" fillId="0" borderId="0" xfId="0" applyFont="1" applyAlignment="1">
      <alignment/>
    </xf>
    <xf numFmtId="43" fontId="101" fillId="0" borderId="0" xfId="52" applyFont="1" applyFill="1" applyAlignment="1">
      <alignment/>
    </xf>
    <xf numFmtId="173" fontId="4" fillId="0" borderId="0" xfId="52" applyNumberFormat="1" applyFont="1" applyFill="1" applyAlignment="1">
      <alignment/>
    </xf>
    <xf numFmtId="173" fontId="101" fillId="0" borderId="0" xfId="52" applyNumberFormat="1" applyFont="1" applyFill="1" applyAlignment="1">
      <alignment horizontal="center"/>
    </xf>
    <xf numFmtId="173" fontId="8" fillId="0" borderId="0" xfId="52" applyNumberFormat="1" applyFont="1" applyFill="1" applyAlignment="1">
      <alignment horizontal="left"/>
    </xf>
    <xf numFmtId="173" fontId="113" fillId="35" borderId="0" xfId="0" applyNumberFormat="1" applyFont="1" applyFill="1" applyAlignment="1">
      <alignment horizontal="center" vertical="center"/>
    </xf>
    <xf numFmtId="0" fontId="114" fillId="36" borderId="0" xfId="0" applyFont="1" applyFill="1" applyAlignment="1">
      <alignment vertical="center"/>
    </xf>
    <xf numFmtId="0" fontId="113" fillId="35" borderId="0" xfId="0" applyFont="1" applyFill="1" applyAlignment="1">
      <alignment horizontal="center" vertical="center"/>
    </xf>
    <xf numFmtId="0" fontId="115" fillId="35" borderId="0" xfId="0" applyFont="1" applyFill="1" applyAlignment="1">
      <alignment/>
    </xf>
    <xf numFmtId="0" fontId="102" fillId="33" borderId="10" xfId="0" applyFont="1" applyFill="1" applyBorder="1" applyAlignment="1">
      <alignment horizontal="center" vertical="center" wrapText="1"/>
    </xf>
    <xf numFmtId="9" fontId="101" fillId="33" borderId="15" xfId="172" applyFont="1" applyFill="1" applyBorder="1" applyAlignment="1">
      <alignment/>
    </xf>
    <xf numFmtId="0" fontId="3" fillId="37" borderId="10" xfId="93" applyFont="1" applyFill="1" applyBorder="1">
      <alignment/>
      <protection/>
    </xf>
    <xf numFmtId="175" fontId="3" fillId="37" borderId="10" xfId="73" applyNumberFormat="1" applyFont="1" applyFill="1" applyBorder="1" applyAlignment="1">
      <alignment/>
    </xf>
    <xf numFmtId="172" fontId="11" fillId="37" borderId="10" xfId="73" applyFont="1" applyFill="1" applyBorder="1" applyAlignment="1">
      <alignment/>
    </xf>
    <xf numFmtId="0" fontId="108" fillId="33" borderId="0" xfId="0" applyFont="1" applyFill="1" applyAlignment="1">
      <alignment/>
    </xf>
    <xf numFmtId="0" fontId="116" fillId="0" borderId="0" xfId="0" applyFont="1" applyFill="1" applyAlignment="1">
      <alignment/>
    </xf>
    <xf numFmtId="175" fontId="4" fillId="33" borderId="0" xfId="52" applyNumberFormat="1" applyFont="1" applyFill="1" applyBorder="1" applyAlignment="1">
      <alignment/>
    </xf>
    <xf numFmtId="0" fontId="102" fillId="0" borderId="0" xfId="0" applyFont="1" applyFill="1" applyAlignment="1">
      <alignment/>
    </xf>
    <xf numFmtId="0" fontId="4" fillId="0" borderId="0" xfId="0" applyFont="1" applyFill="1" applyAlignment="1">
      <alignment wrapText="1"/>
    </xf>
    <xf numFmtId="0" fontId="101" fillId="0" borderId="0" xfId="0" applyFont="1" applyAlignment="1">
      <alignment wrapText="1"/>
    </xf>
    <xf numFmtId="3" fontId="106" fillId="0" borderId="0" xfId="53" applyNumberFormat="1" applyFont="1" applyBorder="1" applyAlignment="1">
      <alignment/>
    </xf>
    <xf numFmtId="175" fontId="115" fillId="35" borderId="0" xfId="52" applyNumberFormat="1" applyFont="1" applyFill="1" applyBorder="1" applyAlignment="1">
      <alignment/>
    </xf>
    <xf numFmtId="0" fontId="103" fillId="38" borderId="0" xfId="0" applyFont="1" applyFill="1" applyAlignment="1">
      <alignment vertical="center"/>
    </xf>
    <xf numFmtId="0" fontId="101" fillId="38" borderId="0" xfId="0" applyFont="1" applyFill="1" applyAlignment="1">
      <alignment/>
    </xf>
    <xf numFmtId="0" fontId="0" fillId="38" borderId="0" xfId="0" applyFill="1" applyAlignment="1">
      <alignment/>
    </xf>
    <xf numFmtId="174" fontId="101" fillId="33" borderId="16" xfId="52" applyNumberFormat="1" applyFont="1" applyFill="1" applyBorder="1" applyAlignment="1">
      <alignment/>
    </xf>
    <xf numFmtId="0" fontId="117" fillId="33" borderId="10" xfId="0" applyFont="1" applyFill="1" applyBorder="1" applyAlignment="1">
      <alignment/>
    </xf>
    <xf numFmtId="0" fontId="0" fillId="38" borderId="12" xfId="0" applyFill="1" applyBorder="1" applyAlignment="1">
      <alignment/>
    </xf>
    <xf numFmtId="0" fontId="100" fillId="38" borderId="12" xfId="0" applyFont="1" applyFill="1" applyBorder="1" applyAlignment="1">
      <alignment horizontal="center"/>
    </xf>
    <xf numFmtId="0" fontId="100" fillId="38" borderId="0" xfId="0" applyFont="1" applyFill="1" applyAlignment="1">
      <alignment/>
    </xf>
    <xf numFmtId="0" fontId="100" fillId="0" borderId="12" xfId="0" applyFont="1" applyBorder="1" applyAlignment="1">
      <alignment horizontal="center"/>
    </xf>
    <xf numFmtId="0" fontId="100" fillId="0" borderId="12" xfId="0" applyFont="1" applyBorder="1" applyAlignment="1">
      <alignment horizontal="center" vertical="center"/>
    </xf>
    <xf numFmtId="0" fontId="96" fillId="38" borderId="0" xfId="0" applyFont="1" applyFill="1" applyAlignment="1">
      <alignment/>
    </xf>
    <xf numFmtId="0" fontId="101" fillId="0" borderId="0" xfId="0" applyFont="1" applyAlignment="1">
      <alignment horizontal="left" vertical="top" wrapText="1"/>
    </xf>
    <xf numFmtId="0" fontId="101" fillId="0" borderId="0" xfId="0" applyFont="1" applyAlignment="1">
      <alignment vertical="justify" wrapText="1"/>
    </xf>
    <xf numFmtId="0" fontId="101" fillId="0" borderId="0" xfId="0" applyFont="1" applyFill="1" applyAlignment="1">
      <alignment vertical="justify" wrapText="1"/>
    </xf>
    <xf numFmtId="0" fontId="102" fillId="0" borderId="0" xfId="0" applyFont="1" applyAlignment="1">
      <alignment horizontal="left" vertical="top" wrapText="1"/>
    </xf>
    <xf numFmtId="0" fontId="102" fillId="0" borderId="0" xfId="0" applyFont="1" applyAlignment="1">
      <alignment vertical="top" wrapText="1"/>
    </xf>
    <xf numFmtId="0" fontId="101" fillId="38" borderId="0" xfId="0" applyFont="1" applyFill="1" applyAlignment="1">
      <alignment vertical="justify" wrapText="1"/>
    </xf>
    <xf numFmtId="0" fontId="101" fillId="38" borderId="0" xfId="0" applyFont="1" applyFill="1" applyAlignment="1">
      <alignment horizontal="left" vertical="top" wrapText="1"/>
    </xf>
    <xf numFmtId="0" fontId="101" fillId="38" borderId="0" xfId="0" applyFont="1" applyFill="1" applyAlignment="1">
      <alignment vertical="top" wrapText="1"/>
    </xf>
    <xf numFmtId="0" fontId="102" fillId="38" borderId="0" xfId="0" applyFont="1" applyFill="1" applyAlignment="1">
      <alignment vertical="top" wrapText="1"/>
    </xf>
    <xf numFmtId="0" fontId="102" fillId="38" borderId="0" xfId="0" applyFont="1" applyFill="1" applyAlignment="1">
      <alignment vertical="justify" wrapText="1"/>
    </xf>
    <xf numFmtId="0" fontId="102" fillId="38" borderId="0" xfId="0" applyFont="1" applyFill="1" applyAlignment="1">
      <alignment horizontal="center" vertical="center" wrapText="1"/>
    </xf>
    <xf numFmtId="0" fontId="90" fillId="0" borderId="0" xfId="49" applyAlignment="1">
      <alignment/>
    </xf>
    <xf numFmtId="0" fontId="90" fillId="38" borderId="0" xfId="49" applyFill="1" applyAlignment="1">
      <alignment/>
    </xf>
    <xf numFmtId="0" fontId="114" fillId="33" borderId="0" xfId="0" applyFont="1" applyFill="1" applyAlignment="1">
      <alignment horizontal="left" vertical="center"/>
    </xf>
    <xf numFmtId="0" fontId="96" fillId="0" borderId="0" xfId="0" applyFont="1" applyAlignment="1">
      <alignment/>
    </xf>
    <xf numFmtId="0" fontId="114" fillId="33" borderId="0" xfId="0" applyFont="1" applyFill="1" applyAlignment="1">
      <alignment vertical="center"/>
    </xf>
    <xf numFmtId="0" fontId="90" fillId="33" borderId="0" xfId="49" applyFill="1" applyAlignment="1">
      <alignment/>
    </xf>
    <xf numFmtId="0" fontId="100" fillId="33" borderId="0" xfId="0" applyFont="1" applyFill="1" applyAlignment="1">
      <alignment/>
    </xf>
    <xf numFmtId="0" fontId="103" fillId="38" borderId="0" xfId="0" applyFont="1" applyFill="1" applyBorder="1" applyAlignment="1">
      <alignment/>
    </xf>
    <xf numFmtId="175" fontId="103" fillId="38" borderId="0" xfId="60" applyNumberFormat="1" applyFont="1" applyFill="1" applyBorder="1" applyAlignment="1">
      <alignment/>
    </xf>
    <xf numFmtId="9" fontId="103" fillId="38" borderId="0" xfId="172" applyFont="1" applyFill="1" applyBorder="1" applyAlignment="1">
      <alignment/>
    </xf>
    <xf numFmtId="3" fontId="103" fillId="38" borderId="0" xfId="0" applyNumberFormat="1" applyFont="1" applyFill="1" applyBorder="1" applyAlignment="1">
      <alignment/>
    </xf>
    <xf numFmtId="0" fontId="118" fillId="38" borderId="0" xfId="0" applyFont="1" applyFill="1" applyBorder="1" applyAlignment="1">
      <alignment/>
    </xf>
    <xf numFmtId="41" fontId="103" fillId="38" borderId="17" xfId="53" applyFont="1" applyFill="1" applyBorder="1" applyAlignment="1">
      <alignment/>
    </xf>
    <xf numFmtId="0" fontId="0" fillId="33" borderId="0" xfId="0" applyFill="1" applyBorder="1" applyAlignment="1">
      <alignment/>
    </xf>
    <xf numFmtId="0" fontId="118" fillId="38" borderId="0" xfId="0" applyFont="1" applyFill="1" applyBorder="1" applyAlignment="1">
      <alignment vertical="center" wrapText="1"/>
    </xf>
    <xf numFmtId="0" fontId="0" fillId="36" borderId="0" xfId="0" applyFill="1" applyAlignment="1">
      <alignment/>
    </xf>
    <xf numFmtId="0" fontId="11" fillId="33" borderId="0" xfId="93" applyFont="1" applyFill="1" applyBorder="1">
      <alignment/>
      <protection/>
    </xf>
    <xf numFmtId="0" fontId="11" fillId="38" borderId="0" xfId="93" applyFont="1" applyFill="1" applyBorder="1">
      <alignment/>
      <protection/>
    </xf>
    <xf numFmtId="0" fontId="119" fillId="38" borderId="0" xfId="93" applyFont="1" applyFill="1" applyBorder="1">
      <alignment/>
      <protection/>
    </xf>
    <xf numFmtId="0" fontId="11" fillId="38" borderId="13" xfId="93" applyFont="1" applyFill="1" applyBorder="1">
      <alignment/>
      <protection/>
    </xf>
    <xf numFmtId="175" fontId="3" fillId="38" borderId="14" xfId="73" applyNumberFormat="1" applyFont="1" applyFill="1" applyBorder="1" applyAlignment="1">
      <alignment/>
    </xf>
    <xf numFmtId="175" fontId="11" fillId="38" borderId="0" xfId="93" applyNumberFormat="1" applyFont="1" applyFill="1" applyBorder="1">
      <alignment/>
      <protection/>
    </xf>
    <xf numFmtId="0" fontId="101" fillId="0" borderId="0" xfId="0" applyFont="1" applyFill="1" applyAlignment="1">
      <alignment horizontal="left" vertical="justify" wrapText="1"/>
    </xf>
    <xf numFmtId="0" fontId="120" fillId="0" borderId="13" xfId="0" applyFont="1" applyFill="1" applyBorder="1" applyAlignment="1">
      <alignment horizontal="left" vertical="justify" wrapText="1"/>
    </xf>
    <xf numFmtId="0" fontId="120" fillId="0" borderId="0" xfId="0" applyFont="1" applyFill="1" applyBorder="1" applyAlignment="1">
      <alignment horizontal="left" vertical="justify" wrapText="1"/>
    </xf>
    <xf numFmtId="0" fontId="120" fillId="0" borderId="14" xfId="0" applyFont="1" applyFill="1" applyBorder="1" applyAlignment="1">
      <alignment horizontal="left" vertical="justify" wrapText="1"/>
    </xf>
    <xf numFmtId="0" fontId="120"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6" fillId="38" borderId="12" xfId="0" applyFont="1" applyFill="1" applyBorder="1" applyAlignment="1">
      <alignment/>
    </xf>
    <xf numFmtId="0" fontId="0" fillId="38" borderId="13" xfId="0" applyFill="1" applyBorder="1" applyAlignment="1">
      <alignment/>
    </xf>
    <xf numFmtId="0" fontId="0" fillId="38" borderId="14"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6" fillId="38" borderId="20" xfId="0" applyFont="1" applyFill="1" applyBorder="1" applyAlignment="1">
      <alignment vertical="top" wrapText="1"/>
    </xf>
    <xf numFmtId="0" fontId="16" fillId="38" borderId="21" xfId="0" applyFont="1" applyFill="1" applyBorder="1" applyAlignment="1">
      <alignment vertical="top" wrapText="1"/>
    </xf>
    <xf numFmtId="0" fontId="60" fillId="0" borderId="21" xfId="0" applyFont="1" applyBorder="1" applyAlignment="1">
      <alignment vertical="center" wrapText="1"/>
    </xf>
    <xf numFmtId="0" fontId="60" fillId="0" borderId="22" xfId="0" applyFont="1" applyBorder="1" applyAlignment="1">
      <alignmen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4" xfId="0" applyFont="1" applyBorder="1" applyAlignment="1">
      <alignment vertical="center" wrapText="1"/>
    </xf>
    <xf numFmtId="0" fontId="60" fillId="0" borderId="25" xfId="0" applyFont="1" applyBorder="1" applyAlignment="1">
      <alignment vertical="center" wrapText="1"/>
    </xf>
    <xf numFmtId="0" fontId="60" fillId="0" borderId="26"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60" fillId="38" borderId="0" xfId="0" applyFont="1" applyFill="1" applyAlignment="1">
      <alignment/>
    </xf>
    <xf numFmtId="0" fontId="60" fillId="0" borderId="0" xfId="0" applyFont="1" applyAlignment="1">
      <alignment/>
    </xf>
    <xf numFmtId="0" fontId="101" fillId="0" borderId="0" xfId="0" applyFont="1" applyFill="1" applyAlignment="1">
      <alignment horizontal="left" vertical="justify" wrapText="1"/>
    </xf>
    <xf numFmtId="0" fontId="104" fillId="0" borderId="0" xfId="0" applyFont="1" applyFill="1" applyAlignment="1">
      <alignment horizontal="left" vertical="justify" wrapText="1"/>
    </xf>
    <xf numFmtId="0" fontId="17" fillId="0" borderId="12" xfId="0" applyFont="1" applyFill="1" applyBorder="1" applyAlignment="1">
      <alignment horizontal="center" wrapText="1"/>
    </xf>
    <xf numFmtId="0" fontId="0" fillId="38" borderId="10" xfId="0" applyFill="1" applyBorder="1" applyAlignment="1">
      <alignment/>
    </xf>
    <xf numFmtId="0" fontId="104" fillId="35" borderId="0" xfId="0" applyFont="1" applyFill="1" applyAlignment="1">
      <alignment/>
    </xf>
    <xf numFmtId="0" fontId="101" fillId="33" borderId="0" xfId="0" applyFont="1" applyFill="1" applyAlignment="1">
      <alignment horizontal="center" vertical="center"/>
    </xf>
    <xf numFmtId="0" fontId="90" fillId="33" borderId="0" xfId="49" applyFill="1" applyAlignment="1">
      <alignment horizontal="center" vertical="center"/>
    </xf>
    <xf numFmtId="0" fontId="0" fillId="0" borderId="0" xfId="0" applyAlignment="1">
      <alignment/>
    </xf>
    <xf numFmtId="176" fontId="121" fillId="35" borderId="0" xfId="52" applyNumberFormat="1" applyFont="1" applyFill="1" applyAlignment="1">
      <alignment horizontal="center" vertical="center"/>
    </xf>
    <xf numFmtId="0" fontId="121" fillId="33" borderId="0" xfId="0" applyFont="1" applyFill="1" applyBorder="1" applyAlignment="1">
      <alignment horizontal="center" vertical="center"/>
    </xf>
    <xf numFmtId="0" fontId="122" fillId="33" borderId="0" xfId="0" applyFont="1" applyFill="1" applyAlignment="1">
      <alignment horizontal="center" vertical="center"/>
    </xf>
    <xf numFmtId="173" fontId="101" fillId="33" borderId="0" xfId="0" applyNumberFormat="1" applyFont="1" applyFill="1" applyAlignment="1">
      <alignment horizontal="center" vertical="center"/>
    </xf>
    <xf numFmtId="0" fontId="121"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4" fillId="33" borderId="0" xfId="0" applyFont="1" applyFill="1" applyAlignment="1">
      <alignment horizontal="center" vertical="center"/>
    </xf>
    <xf numFmtId="173" fontId="109" fillId="33" borderId="0" xfId="52" applyNumberFormat="1" applyFont="1" applyFill="1" applyAlignment="1">
      <alignment horizontal="center" vertical="center"/>
    </xf>
    <xf numFmtId="173" fontId="8" fillId="0" borderId="0" xfId="52" applyNumberFormat="1" applyFont="1" applyFill="1" applyAlignment="1">
      <alignment horizontal="center" vertical="center"/>
    </xf>
    <xf numFmtId="0" fontId="8" fillId="33" borderId="0" xfId="0" applyFont="1" applyFill="1" applyAlignment="1">
      <alignment horizontal="center" vertical="center"/>
    </xf>
    <xf numFmtId="0" fontId="109" fillId="33" borderId="0" xfId="0" applyFont="1" applyFill="1" applyAlignment="1">
      <alignment horizontal="center" vertical="center"/>
    </xf>
    <xf numFmtId="0" fontId="6" fillId="33" borderId="0" xfId="0" applyFont="1" applyFill="1" applyAlignment="1">
      <alignment horizontal="center" vertical="center"/>
    </xf>
    <xf numFmtId="43" fontId="105" fillId="33" borderId="0" xfId="52" applyFont="1" applyFill="1" applyAlignment="1">
      <alignment horizontal="center" vertical="center"/>
    </xf>
    <xf numFmtId="0" fontId="105" fillId="33" borderId="0" xfId="0" applyFont="1" applyFill="1" applyAlignment="1">
      <alignment horizontal="center" vertical="center"/>
    </xf>
    <xf numFmtId="0" fontId="90" fillId="0" borderId="0" xfId="49" applyAlignment="1">
      <alignment horizontal="center"/>
    </xf>
    <xf numFmtId="43" fontId="101" fillId="33" borderId="0" xfId="52" applyFont="1" applyFill="1" applyAlignment="1">
      <alignment horizontal="center" vertical="center"/>
    </xf>
    <xf numFmtId="173" fontId="101" fillId="33" borderId="0" xfId="52" applyNumberFormat="1" applyFont="1" applyFill="1" applyAlignment="1">
      <alignment horizontal="center" vertical="center"/>
    </xf>
    <xf numFmtId="173" fontId="4" fillId="33" borderId="0" xfId="52" applyNumberFormat="1" applyFont="1" applyFill="1" applyAlignment="1">
      <alignment horizontal="center" vertical="center"/>
    </xf>
    <xf numFmtId="0" fontId="106" fillId="0" borderId="0" xfId="0" applyFont="1" applyAlignment="1">
      <alignment horizont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3" fillId="0" borderId="31" xfId="0" applyFont="1" applyBorder="1" applyAlignment="1">
      <alignment vertical="center" wrapText="1"/>
    </xf>
    <xf numFmtId="0" fontId="0" fillId="33" borderId="0" xfId="0" applyFill="1" applyAlignment="1" quotePrefix="1">
      <alignment/>
    </xf>
    <xf numFmtId="0" fontId="114" fillId="33" borderId="0" xfId="0" applyFont="1" applyFill="1" applyBorder="1" applyAlignment="1">
      <alignment horizontal="left"/>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01" fillId="0" borderId="13"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4" xfId="0" applyFont="1" applyFill="1" applyBorder="1" applyAlignment="1">
      <alignment horizontal="left" vertical="justify" wrapText="1"/>
    </xf>
    <xf numFmtId="0" fontId="123" fillId="0" borderId="13" xfId="0" applyFont="1" applyBorder="1" applyAlignment="1">
      <alignment horizontal="left" vertical="top" wrapText="1"/>
    </xf>
    <xf numFmtId="0" fontId="123" fillId="0" borderId="0" xfId="0" applyFont="1" applyBorder="1" applyAlignment="1">
      <alignment horizontal="left" vertical="top" wrapText="1"/>
    </xf>
    <xf numFmtId="0" fontId="123" fillId="0" borderId="14" xfId="0" applyFont="1" applyBorder="1" applyAlignment="1">
      <alignment horizontal="left" vertical="top"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01" fillId="0" borderId="13"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4" xfId="0" applyFont="1" applyFill="1" applyBorder="1" applyAlignment="1">
      <alignment horizontal="justify" vertical="justify" wrapText="1"/>
    </xf>
    <xf numFmtId="0" fontId="0" fillId="0" borderId="0" xfId="0" applyAlignment="1">
      <alignment/>
    </xf>
    <xf numFmtId="174" fontId="101" fillId="0" borderId="10" xfId="52" applyNumberFormat="1" applyFont="1" applyFill="1" applyBorder="1" applyAlignment="1">
      <alignment/>
    </xf>
    <xf numFmtId="0" fontId="2" fillId="38" borderId="0" xfId="0" applyFont="1" applyFill="1" applyAlignment="1">
      <alignment/>
    </xf>
    <xf numFmtId="0" fontId="101" fillId="33" borderId="10" xfId="0" applyFont="1" applyFill="1" applyBorder="1" applyAlignment="1">
      <alignment/>
    </xf>
    <xf numFmtId="0" fontId="101" fillId="33" borderId="10" xfId="0" applyFont="1" applyFill="1" applyBorder="1" applyAlignment="1">
      <alignment horizontal="center"/>
    </xf>
    <xf numFmtId="0" fontId="101" fillId="33" borderId="32" xfId="0" applyFont="1" applyFill="1" applyBorder="1" applyAlignment="1">
      <alignment/>
    </xf>
    <xf numFmtId="0" fontId="101" fillId="0" borderId="0" xfId="0" applyFont="1" applyAlignment="1">
      <alignment horizontal="left"/>
    </xf>
    <xf numFmtId="0" fontId="2" fillId="33" borderId="0" xfId="105" applyFont="1" applyFill="1" applyBorder="1" applyAlignment="1" quotePrefix="1">
      <alignment/>
      <protection/>
    </xf>
    <xf numFmtId="0" fontId="124" fillId="0" borderId="10" xfId="0" applyFont="1" applyBorder="1" applyAlignment="1">
      <alignment horizontal="center" vertical="center" wrapText="1"/>
    </xf>
    <xf numFmtId="0" fontId="114" fillId="0" borderId="0" xfId="0" applyFont="1" applyFill="1" applyAlignment="1">
      <alignment vertical="center"/>
    </xf>
    <xf numFmtId="0" fontId="114" fillId="38" borderId="0" xfId="0" applyFont="1" applyFill="1" applyBorder="1" applyAlignment="1">
      <alignment vertical="center"/>
    </xf>
    <xf numFmtId="41" fontId="0" fillId="38" borderId="17" xfId="53" applyFont="1" applyFill="1" applyBorder="1" applyAlignment="1">
      <alignment/>
    </xf>
    <xf numFmtId="0" fontId="125" fillId="33" borderId="0" xfId="0" applyFont="1" applyFill="1" applyAlignment="1">
      <alignment/>
    </xf>
    <xf numFmtId="41" fontId="101" fillId="0" borderId="17" xfId="53" applyFont="1" applyBorder="1" applyAlignment="1">
      <alignment vertical="top" wrapText="1"/>
    </xf>
    <xf numFmtId="41" fontId="0" fillId="0" borderId="17" xfId="53" applyFont="1" applyBorder="1" applyAlignment="1">
      <alignment/>
    </xf>
    <xf numFmtId="0" fontId="103" fillId="38" borderId="0" xfId="0" applyFont="1" applyFill="1" applyBorder="1" applyAlignment="1" quotePrefix="1">
      <alignment/>
    </xf>
    <xf numFmtId="0" fontId="85" fillId="0" borderId="0" xfId="0" applyFont="1" applyFill="1" applyAlignment="1">
      <alignment horizontal="center" vertical="center"/>
    </xf>
    <xf numFmtId="0" fontId="0" fillId="0" borderId="0" xfId="0" applyAlignment="1">
      <alignment/>
    </xf>
    <xf numFmtId="0" fontId="101" fillId="0" borderId="0" xfId="0" applyFont="1" applyFill="1" applyAlignment="1">
      <alignment horizontal="left" vertical="justify" wrapText="1"/>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01" fillId="0" borderId="13"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4" xfId="0" applyFont="1" applyFill="1" applyBorder="1" applyAlignment="1">
      <alignment horizontal="justify" vertical="justify" wrapText="1"/>
    </xf>
    <xf numFmtId="0" fontId="101" fillId="34" borderId="0" xfId="0" applyFont="1" applyFill="1" applyAlignment="1">
      <alignment horizontal="left"/>
    </xf>
    <xf numFmtId="0" fontId="126" fillId="0" borderId="0" xfId="49"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4" xfId="0" applyFill="1" applyBorder="1" applyAlignment="1">
      <alignment/>
    </xf>
    <xf numFmtId="0" fontId="96" fillId="38" borderId="0" xfId="0" applyFont="1" applyFill="1" applyBorder="1" applyAlignment="1">
      <alignment/>
    </xf>
    <xf numFmtId="0" fontId="100" fillId="38" borderId="13" xfId="0" applyFont="1" applyFill="1" applyBorder="1" applyAlignment="1">
      <alignment/>
    </xf>
    <xf numFmtId="0" fontId="100" fillId="38" borderId="0" xfId="0" applyFont="1" applyFill="1" applyBorder="1" applyAlignment="1">
      <alignment/>
    </xf>
    <xf numFmtId="41" fontId="17" fillId="38" borderId="0" xfId="53" applyFont="1" applyFill="1" applyBorder="1" applyAlignment="1">
      <alignment/>
    </xf>
    <xf numFmtId="0" fontId="127" fillId="38" borderId="0" xfId="0" applyFont="1" applyFill="1" applyBorder="1" applyAlignment="1">
      <alignment/>
    </xf>
    <xf numFmtId="0" fontId="128" fillId="38" borderId="0" xfId="0" applyFont="1" applyFill="1" applyAlignment="1">
      <alignment/>
    </xf>
    <xf numFmtId="0" fontId="129" fillId="0" borderId="0" xfId="0" applyFont="1" applyAlignment="1">
      <alignment horizontal="justify" vertical="center"/>
    </xf>
    <xf numFmtId="0" fontId="114" fillId="35" borderId="0" xfId="0" applyFont="1" applyFill="1" applyAlignment="1">
      <alignment/>
    </xf>
    <xf numFmtId="0" fontId="114" fillId="0" borderId="0" xfId="0" applyFont="1" applyFill="1" applyAlignment="1">
      <alignment/>
    </xf>
    <xf numFmtId="0" fontId="129" fillId="0" borderId="0" xfId="0" applyFont="1" applyAlignment="1">
      <alignment vertical="center"/>
    </xf>
    <xf numFmtId="0" fontId="130" fillId="0" borderId="10" xfId="0" applyFont="1" applyBorder="1" applyAlignment="1">
      <alignment horizontal="justify" vertical="center" wrapText="1"/>
    </xf>
    <xf numFmtId="0" fontId="130" fillId="0" borderId="10" xfId="0" applyFont="1" applyBorder="1" applyAlignment="1">
      <alignment horizontal="center" vertical="center" wrapText="1"/>
    </xf>
    <xf numFmtId="0" fontId="130" fillId="0" borderId="10" xfId="0" applyFont="1" applyBorder="1" applyAlignment="1">
      <alignment horizontal="right" vertical="center" wrapText="1"/>
    </xf>
    <xf numFmtId="0" fontId="131" fillId="35" borderId="10" xfId="0" applyFont="1" applyFill="1" applyBorder="1" applyAlignment="1">
      <alignment horizontal="justify" vertical="center" wrapText="1"/>
    </xf>
    <xf numFmtId="0" fontId="132" fillId="35" borderId="10" xfId="0" applyFont="1" applyFill="1" applyBorder="1" applyAlignment="1">
      <alignment horizontal="right" vertical="center" wrapText="1"/>
    </xf>
    <xf numFmtId="0" fontId="132" fillId="35" borderId="10" xfId="0" applyFont="1" applyFill="1" applyBorder="1" applyAlignment="1">
      <alignment horizontal="center" vertical="center" wrapText="1"/>
    </xf>
    <xf numFmtId="0" fontId="130" fillId="38" borderId="0" xfId="0" applyFont="1" applyFill="1" applyAlignment="1">
      <alignment vertical="center" wrapText="1"/>
    </xf>
    <xf numFmtId="0" fontId="130" fillId="38" borderId="0" xfId="0" applyFont="1" applyFill="1" applyAlignment="1">
      <alignment vertical="center"/>
    </xf>
    <xf numFmtId="0" fontId="16" fillId="38" borderId="0" xfId="0" applyFont="1" applyFill="1" applyAlignment="1">
      <alignment vertical="center" wrapText="1"/>
    </xf>
    <xf numFmtId="0" fontId="60" fillId="33" borderId="0" xfId="0" applyFont="1" applyFill="1" applyAlignment="1">
      <alignment vertical="center" wrapText="1"/>
    </xf>
    <xf numFmtId="0" fontId="0" fillId="0" borderId="0" xfId="0" applyAlignment="1">
      <alignment/>
    </xf>
    <xf numFmtId="0" fontId="125" fillId="33" borderId="0" xfId="0" applyFont="1" applyFill="1" applyAlignment="1">
      <alignment horizontal="center"/>
    </xf>
    <xf numFmtId="0" fontId="0" fillId="38" borderId="32" xfId="0" applyFill="1" applyBorder="1" applyAlignment="1">
      <alignment horizontal="center" vertical="center" wrapText="1"/>
    </xf>
    <xf numFmtId="0" fontId="0" fillId="0" borderId="0" xfId="0" applyAlignment="1">
      <alignment/>
    </xf>
    <xf numFmtId="0" fontId="125" fillId="33" borderId="0" xfId="0" applyFont="1" applyFill="1" applyAlignment="1">
      <alignment horizontal="center"/>
    </xf>
    <xf numFmtId="0" fontId="102" fillId="38" borderId="0" xfId="0" applyFont="1" applyFill="1" applyAlignment="1">
      <alignment horizontal="center" vertical="center" wrapText="1"/>
    </xf>
    <xf numFmtId="0" fontId="100" fillId="38" borderId="0" xfId="0" applyFont="1" applyFill="1" applyAlignment="1">
      <alignment horizontal="center" vertical="center"/>
    </xf>
    <xf numFmtId="0" fontId="4" fillId="33" borderId="0" xfId="0" applyFont="1" applyFill="1" applyBorder="1" applyAlignment="1">
      <alignment vertical="center"/>
    </xf>
    <xf numFmtId="0" fontId="101" fillId="0" borderId="0" xfId="0" applyFont="1" applyBorder="1" applyAlignment="1">
      <alignment/>
    </xf>
    <xf numFmtId="175" fontId="2" fillId="33" borderId="0" xfId="52" applyNumberFormat="1" applyFont="1" applyFill="1" applyBorder="1" applyAlignment="1">
      <alignment/>
    </xf>
    <xf numFmtId="0" fontId="121" fillId="35" borderId="0" xfId="52" applyNumberFormat="1" applyFont="1" applyFill="1" applyAlignment="1">
      <alignment horizontal="center"/>
    </xf>
    <xf numFmtId="0" fontId="0" fillId="38" borderId="32"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3" fillId="0" borderId="10" xfId="0" applyFont="1" applyBorder="1" applyAlignment="1">
      <alignment horizontal="center" vertical="center" wrapText="1"/>
    </xf>
    <xf numFmtId="0" fontId="0" fillId="0" borderId="0" xfId="0" applyAlignment="1">
      <alignment horizontal="center"/>
    </xf>
    <xf numFmtId="0" fontId="114" fillId="35" borderId="0" xfId="0" applyFont="1" applyFill="1" applyAlignment="1">
      <alignment vertical="center"/>
    </xf>
    <xf numFmtId="0" fontId="101" fillId="0" borderId="0" xfId="0" applyFont="1" applyAlignment="1">
      <alignment/>
    </xf>
    <xf numFmtId="0" fontId="4" fillId="33" borderId="12" xfId="105" applyFont="1" applyFill="1" applyBorder="1" applyAlignment="1">
      <alignment horizontal="center"/>
      <protection/>
    </xf>
    <xf numFmtId="0" fontId="134" fillId="33" borderId="0" xfId="0" applyFont="1" applyFill="1" applyAlignment="1">
      <alignment/>
    </xf>
    <xf numFmtId="0" fontId="2" fillId="33" borderId="0" xfId="105" applyFont="1" applyFill="1" applyAlignment="1">
      <alignment horizontal="center"/>
      <protection/>
    </xf>
    <xf numFmtId="0" fontId="105" fillId="0" borderId="0" xfId="0" applyFont="1" applyAlignment="1">
      <alignment horizontal="center" vertical="center"/>
    </xf>
    <xf numFmtId="0" fontId="101" fillId="0" borderId="33" xfId="0" applyFont="1" applyBorder="1" applyAlignment="1">
      <alignment/>
    </xf>
    <xf numFmtId="0" fontId="4" fillId="33" borderId="17" xfId="0" applyFont="1" applyFill="1" applyBorder="1" applyAlignment="1">
      <alignment horizontal="center" vertical="center"/>
    </xf>
    <xf numFmtId="0" fontId="4" fillId="33" borderId="13" xfId="0" applyFont="1" applyFill="1" applyBorder="1" applyAlignment="1">
      <alignment vertical="center"/>
    </xf>
    <xf numFmtId="0" fontId="101" fillId="0" borderId="13" xfId="0" applyFont="1" applyBorder="1" applyAlignment="1">
      <alignment/>
    </xf>
    <xf numFmtId="0" fontId="101" fillId="0" borderId="34" xfId="0" applyFont="1" applyBorder="1" applyAlignment="1">
      <alignment/>
    </xf>
    <xf numFmtId="0" fontId="102" fillId="0" borderId="32" xfId="0" applyFont="1" applyBorder="1" applyAlignment="1">
      <alignment horizontal="center" vertical="center"/>
    </xf>
    <xf numFmtId="0" fontId="102" fillId="0" borderId="35" xfId="0" applyFont="1" applyBorder="1" applyAlignment="1">
      <alignment horizontal="center" vertical="center"/>
    </xf>
    <xf numFmtId="0" fontId="90" fillId="0" borderId="35" xfId="49" applyBorder="1" applyAlignment="1">
      <alignment horizontal="center"/>
    </xf>
    <xf numFmtId="0" fontId="90" fillId="0" borderId="35" xfId="49" applyBorder="1" applyAlignment="1" quotePrefix="1">
      <alignment horizontal="center"/>
    </xf>
    <xf numFmtId="0" fontId="126" fillId="0" borderId="35" xfId="49" applyFont="1" applyBorder="1" applyAlignment="1" quotePrefix="1">
      <alignment horizontal="center"/>
    </xf>
    <xf numFmtId="1" fontId="121" fillId="35" borderId="0" xfId="52" applyNumberFormat="1" applyFont="1" applyFill="1" applyAlignment="1">
      <alignment horizontal="center"/>
    </xf>
    <xf numFmtId="173" fontId="90" fillId="0" borderId="0" xfId="49" applyNumberFormat="1" applyAlignment="1">
      <alignment horizontal="center" vertical="center"/>
    </xf>
    <xf numFmtId="0" fontId="135" fillId="35" borderId="0" xfId="0" applyFont="1" applyFill="1" applyAlignment="1">
      <alignment vertical="center"/>
    </xf>
    <xf numFmtId="0" fontId="136" fillId="0" borderId="0" xfId="0" applyFont="1" applyAlignment="1">
      <alignment/>
    </xf>
    <xf numFmtId="0" fontId="134"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0" fillId="38" borderId="12" xfId="0" applyFont="1" applyFill="1" applyBorder="1" applyAlignment="1">
      <alignment/>
    </xf>
    <xf numFmtId="0" fontId="0" fillId="0" borderId="0" xfId="0" applyAlignment="1">
      <alignment/>
    </xf>
    <xf numFmtId="0" fontId="127" fillId="38" borderId="0" xfId="0" applyFont="1" applyFill="1" applyAlignment="1">
      <alignment horizontal="center"/>
    </xf>
    <xf numFmtId="0" fontId="114" fillId="35" borderId="33" xfId="0" applyFont="1" applyFill="1" applyBorder="1" applyAlignment="1">
      <alignment vertical="center"/>
    </xf>
    <xf numFmtId="0" fontId="114" fillId="35" borderId="17" xfId="0" applyFont="1" applyFill="1" applyBorder="1" applyAlignment="1">
      <alignment vertical="center"/>
    </xf>
    <xf numFmtId="0" fontId="114" fillId="35" borderId="36" xfId="0" applyFont="1" applyFill="1" applyBorder="1" applyAlignment="1">
      <alignment vertical="center"/>
    </xf>
    <xf numFmtId="0" fontId="114" fillId="35" borderId="0" xfId="0" applyFont="1" applyFill="1" applyBorder="1" applyAlignment="1">
      <alignment vertical="center"/>
    </xf>
    <xf numFmtId="0" fontId="102" fillId="0" borderId="0" xfId="0" applyFont="1" applyBorder="1" applyAlignment="1">
      <alignment vertical="center"/>
    </xf>
    <xf numFmtId="0" fontId="0" fillId="0" borderId="0" xfId="0" applyAlignment="1">
      <alignment/>
    </xf>
    <xf numFmtId="0" fontId="114" fillId="35" borderId="0" xfId="0" applyFont="1" applyFill="1" applyAlignment="1">
      <alignment horizontal="center" vertical="center" wrapText="1"/>
    </xf>
    <xf numFmtId="0" fontId="114" fillId="35" borderId="0" xfId="0" applyFont="1" applyFill="1" applyBorder="1" applyAlignment="1">
      <alignment horizontal="left" vertical="center"/>
    </xf>
    <xf numFmtId="0" fontId="130" fillId="0" borderId="10" xfId="0" applyFont="1" applyBorder="1" applyAlignment="1">
      <alignment horizontal="justify" vertical="center" wrapText="1"/>
    </xf>
    <xf numFmtId="0" fontId="136" fillId="33" borderId="0" xfId="0" applyFont="1" applyFill="1" applyAlignment="1">
      <alignment/>
    </xf>
    <xf numFmtId="0" fontId="136" fillId="0" borderId="0" xfId="0" applyFont="1" applyBorder="1" applyAlignment="1">
      <alignment/>
    </xf>
    <xf numFmtId="3" fontId="101" fillId="0" borderId="0" xfId="53" applyNumberFormat="1" applyFont="1" applyFill="1" applyAlignment="1">
      <alignment horizontal="center"/>
    </xf>
    <xf numFmtId="3" fontId="101" fillId="0" borderId="0" xfId="52" applyNumberFormat="1" applyFont="1" applyFill="1" applyAlignment="1">
      <alignment horizontal="center"/>
    </xf>
    <xf numFmtId="3" fontId="101" fillId="0" borderId="0" xfId="0" applyNumberFormat="1" applyFont="1" applyFill="1" applyAlignment="1">
      <alignment horizontal="center"/>
    </xf>
    <xf numFmtId="3" fontId="4" fillId="0" borderId="0" xfId="0" applyNumberFormat="1" applyFont="1" applyFill="1" applyAlignment="1">
      <alignment horizontal="center"/>
    </xf>
    <xf numFmtId="3" fontId="102" fillId="0" borderId="0" xfId="52" applyNumberFormat="1" applyFont="1" applyFill="1" applyAlignment="1">
      <alignment horizontal="center"/>
    </xf>
    <xf numFmtId="3" fontId="4" fillId="0" borderId="0" xfId="52"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7" xfId="0" applyFont="1" applyBorder="1" applyAlignment="1">
      <alignment vertical="center" wrapText="1"/>
    </xf>
    <xf numFmtId="9" fontId="123" fillId="38" borderId="0" xfId="172" applyFont="1" applyFill="1" applyBorder="1" applyAlignment="1">
      <alignment/>
    </xf>
    <xf numFmtId="175" fontId="103" fillId="38" borderId="0" xfId="60" applyNumberFormat="1" applyFont="1" applyFill="1" applyBorder="1" applyAlignment="1">
      <alignment horizontal="center"/>
    </xf>
    <xf numFmtId="0" fontId="123" fillId="38" borderId="0" xfId="0" applyFont="1" applyFill="1" applyBorder="1" applyAlignment="1">
      <alignment/>
    </xf>
    <xf numFmtId="0" fontId="137" fillId="38" borderId="0" xfId="0" applyFont="1" applyFill="1" applyBorder="1" applyAlignment="1">
      <alignment/>
    </xf>
    <xf numFmtId="0" fontId="96" fillId="38" borderId="0" xfId="0" applyFont="1" applyFill="1" applyAlignment="1">
      <alignment wrapText="1"/>
    </xf>
    <xf numFmtId="0" fontId="60" fillId="38" borderId="0" xfId="0" applyFont="1" applyFill="1" applyAlignment="1">
      <alignment wrapText="1"/>
    </xf>
    <xf numFmtId="3" fontId="16" fillId="38" borderId="0" xfId="0" applyNumberFormat="1" applyFont="1" applyFill="1" applyAlignment="1">
      <alignment horizontal="center"/>
    </xf>
    <xf numFmtId="0" fontId="17" fillId="38" borderId="0" xfId="0" applyFont="1" applyFill="1" applyAlignment="1">
      <alignment wrapText="1"/>
    </xf>
    <xf numFmtId="0" fontId="17" fillId="38" borderId="0" xfId="0" applyFont="1" applyFill="1" applyAlignment="1">
      <alignment horizontal="center" wrapText="1"/>
    </xf>
    <xf numFmtId="0" fontId="9" fillId="0" borderId="0" xfId="0" applyFont="1" applyAlignment="1">
      <alignment/>
    </xf>
    <xf numFmtId="175" fontId="135" fillId="0" borderId="0" xfId="52" applyNumberFormat="1" applyFont="1" applyFill="1" applyBorder="1" applyAlignment="1">
      <alignment/>
    </xf>
    <xf numFmtId="0" fontId="138" fillId="0" borderId="0" xfId="0" applyFont="1" applyAlignment="1">
      <alignment/>
    </xf>
    <xf numFmtId="0" fontId="101" fillId="33" borderId="11" xfId="0" applyFont="1" applyFill="1" applyBorder="1" applyAlignment="1">
      <alignment/>
    </xf>
    <xf numFmtId="0" fontId="101" fillId="33" borderId="16" xfId="0" applyFont="1" applyFill="1" applyBorder="1" applyAlignment="1">
      <alignment/>
    </xf>
    <xf numFmtId="0" fontId="101" fillId="33" borderId="38" xfId="0" applyFont="1" applyFill="1" applyBorder="1" applyAlignment="1">
      <alignment/>
    </xf>
    <xf numFmtId="0" fontId="102" fillId="33" borderId="33" xfId="0" applyFont="1" applyFill="1" applyBorder="1" applyAlignment="1">
      <alignment vertical="center"/>
    </xf>
    <xf numFmtId="0" fontId="102" fillId="33" borderId="11" xfId="0" applyFont="1" applyFill="1" applyBorder="1" applyAlignment="1">
      <alignment vertical="center"/>
    </xf>
    <xf numFmtId="14" fontId="102" fillId="33" borderId="38" xfId="0" applyNumberFormat="1" applyFont="1" applyFill="1" applyBorder="1" applyAlignment="1">
      <alignment vertical="center"/>
    </xf>
    <xf numFmtId="0" fontId="101" fillId="33" borderId="17" xfId="0" applyFont="1" applyFill="1" applyBorder="1" applyAlignment="1">
      <alignment/>
    </xf>
    <xf numFmtId="0" fontId="101" fillId="0" borderId="0" xfId="0" applyFont="1" applyFill="1" applyBorder="1" applyAlignment="1">
      <alignment/>
    </xf>
    <xf numFmtId="0" fontId="101" fillId="0" borderId="10" xfId="0" applyFont="1" applyFill="1" applyBorder="1" applyAlignment="1">
      <alignment horizontal="center"/>
    </xf>
    <xf numFmtId="174" fontId="101" fillId="0" borderId="39" xfId="52" applyNumberFormat="1" applyFont="1" applyFill="1" applyBorder="1" applyAlignment="1">
      <alignment/>
    </xf>
    <xf numFmtId="174" fontId="101" fillId="33" borderId="38" xfId="52" applyNumberFormat="1" applyFont="1" applyFill="1" applyBorder="1" applyAlignment="1">
      <alignment/>
    </xf>
    <xf numFmtId="0" fontId="101" fillId="33" borderId="10" xfId="0" applyFont="1" applyFill="1" applyBorder="1" applyAlignment="1">
      <alignment wrapText="1"/>
    </xf>
    <xf numFmtId="174" fontId="101" fillId="33" borderId="15" xfId="52"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74" fontId="101" fillId="33" borderId="11" xfId="52" applyNumberFormat="1" applyFont="1" applyFill="1" applyBorder="1" applyAlignment="1">
      <alignment vertical="center"/>
    </xf>
    <xf numFmtId="9" fontId="101" fillId="0" borderId="38" xfId="172" applyFont="1" applyFill="1" applyBorder="1" applyAlignment="1">
      <alignment horizontal="center"/>
    </xf>
    <xf numFmtId="0" fontId="134" fillId="33" borderId="11" xfId="0" applyFont="1" applyFill="1" applyBorder="1" applyAlignment="1">
      <alignment/>
    </xf>
    <xf numFmtId="0" fontId="102" fillId="33" borderId="0" xfId="0" applyFont="1" applyFill="1" applyBorder="1" applyAlignment="1">
      <alignment vertical="center"/>
    </xf>
    <xf numFmtId="0" fontId="114" fillId="0" borderId="0" xfId="0" applyFont="1" applyFill="1" applyBorder="1" applyAlignment="1">
      <alignment vertical="center"/>
    </xf>
    <xf numFmtId="0" fontId="114" fillId="35" borderId="10" xfId="0" applyFont="1" applyFill="1" applyBorder="1" applyAlignment="1">
      <alignment horizontal="center" vertical="center"/>
    </xf>
    <xf numFmtId="0" fontId="0" fillId="0" borderId="0" xfId="0" applyAlignment="1">
      <alignment/>
    </xf>
    <xf numFmtId="0" fontId="114" fillId="35" borderId="12" xfId="105" applyNumberFormat="1" applyFont="1" applyFill="1" applyBorder="1" applyAlignment="1" quotePrefix="1">
      <alignment horizontal="center"/>
      <protection/>
    </xf>
    <xf numFmtId="0" fontId="114" fillId="35" borderId="0" xfId="0" applyFont="1" applyFill="1" applyBorder="1" applyAlignment="1">
      <alignment horizontal="center" vertical="center"/>
    </xf>
    <xf numFmtId="0" fontId="127" fillId="33" borderId="0" xfId="0" applyFont="1" applyFill="1" applyAlignment="1">
      <alignment/>
    </xf>
    <xf numFmtId="0" fontId="85" fillId="35" borderId="0" xfId="0" applyFont="1" applyFill="1" applyAlignment="1">
      <alignment horizontal="center"/>
    </xf>
    <xf numFmtId="0" fontId="85" fillId="35" borderId="0" xfId="0" applyFont="1" applyFill="1" applyAlignment="1">
      <alignment horizontal="center" vertical="center"/>
    </xf>
    <xf numFmtId="0" fontId="85" fillId="35" borderId="0" xfId="0" applyFont="1" applyFill="1" applyAlignment="1">
      <alignment vertical="center"/>
    </xf>
    <xf numFmtId="0" fontId="127" fillId="38" borderId="11" xfId="0" applyFont="1" applyFill="1" applyBorder="1" applyAlignment="1">
      <alignment/>
    </xf>
    <xf numFmtId="0" fontId="127" fillId="38" borderId="38" xfId="0" applyFont="1" applyFill="1" applyBorder="1" applyAlignment="1">
      <alignment/>
    </xf>
    <xf numFmtId="0" fontId="114" fillId="35" borderId="12" xfId="105" applyNumberFormat="1" applyFont="1" applyFill="1" applyBorder="1" applyAlignment="1" quotePrefix="1">
      <alignment horizontal="right"/>
      <protection/>
    </xf>
    <xf numFmtId="0" fontId="139" fillId="39" borderId="40" xfId="93" applyFont="1" applyFill="1" applyBorder="1" applyAlignment="1">
      <alignment vertical="center"/>
      <protection/>
    </xf>
    <xf numFmtId="0" fontId="11" fillId="39" borderId="40" xfId="93" applyFont="1" applyFill="1" applyBorder="1" applyAlignment="1">
      <alignment vertical="center"/>
      <protection/>
    </xf>
    <xf numFmtId="0" fontId="139" fillId="40" borderId="41" xfId="93" applyFont="1" applyFill="1" applyBorder="1" applyAlignment="1">
      <alignment horizontal="center" vertical="center" wrapText="1"/>
      <protection/>
    </xf>
    <xf numFmtId="0" fontId="139" fillId="40" borderId="42" xfId="93" applyFont="1" applyFill="1" applyBorder="1" applyAlignment="1">
      <alignment horizontal="center" vertical="center" wrapText="1"/>
      <protection/>
    </xf>
    <xf numFmtId="0" fontId="139" fillId="40" borderId="43" xfId="93" applyFont="1" applyFill="1" applyBorder="1" applyAlignment="1">
      <alignment horizontal="center" vertical="center"/>
      <protection/>
    </xf>
    <xf numFmtId="0" fontId="139" fillId="40" borderId="44" xfId="93" applyFont="1" applyFill="1" applyBorder="1" applyAlignment="1">
      <alignment vertical="center"/>
      <protection/>
    </xf>
    <xf numFmtId="0" fontId="139" fillId="40" borderId="44" xfId="93" applyFont="1" applyFill="1" applyBorder="1" applyAlignment="1">
      <alignment vertical="center" wrapText="1"/>
      <protection/>
    </xf>
    <xf numFmtId="0" fontId="139" fillId="40" borderId="45" xfId="93" applyFont="1" applyFill="1" applyBorder="1" applyAlignment="1">
      <alignment horizontal="center" vertical="center" wrapText="1"/>
      <protection/>
    </xf>
    <xf numFmtId="0" fontId="114" fillId="35" borderId="46" xfId="105" applyNumberFormat="1" applyFont="1" applyFill="1" applyBorder="1" applyAlignment="1" quotePrefix="1">
      <alignment horizontal="center"/>
      <protection/>
    </xf>
    <xf numFmtId="0" fontId="114" fillId="35" borderId="47" xfId="105" applyNumberFormat="1" applyFont="1" applyFill="1" applyBorder="1" applyAlignment="1" quotePrefix="1">
      <alignment horizontal="center"/>
      <protection/>
    </xf>
    <xf numFmtId="0" fontId="114" fillId="35" borderId="12" xfId="105" applyFont="1" applyFill="1" applyBorder="1" applyAlignment="1">
      <alignment horizontal="center"/>
      <protection/>
    </xf>
    <xf numFmtId="0" fontId="85" fillId="35" borderId="12" xfId="0" applyFont="1" applyFill="1" applyBorder="1" applyAlignment="1">
      <alignment horizontal="center" vertical="center"/>
    </xf>
    <xf numFmtId="0" fontId="85" fillId="35" borderId="0" xfId="0" applyFont="1" applyFill="1" applyAlignment="1">
      <alignment/>
    </xf>
    <xf numFmtId="0" fontId="114" fillId="0" borderId="0" xfId="0" applyFont="1" applyFill="1" applyAlignment="1">
      <alignment vertical="center" wrapText="1"/>
    </xf>
    <xf numFmtId="0" fontId="140" fillId="35" borderId="48" xfId="0" applyFont="1" applyFill="1" applyBorder="1" applyAlignment="1">
      <alignment horizontal="center" vertical="center" wrapText="1"/>
    </xf>
    <xf numFmtId="0" fontId="85" fillId="35" borderId="49" xfId="0" applyFont="1" applyFill="1" applyBorder="1" applyAlignment="1">
      <alignment/>
    </xf>
    <xf numFmtId="0" fontId="140" fillId="35" borderId="50" xfId="0" applyFont="1" applyFill="1" applyBorder="1" applyAlignment="1">
      <alignment horizontal="center" vertical="center" wrapText="1"/>
    </xf>
    <xf numFmtId="0" fontId="140" fillId="35" borderId="51" xfId="0" applyFont="1" applyFill="1" applyBorder="1" applyAlignment="1">
      <alignment vertical="center" wrapText="1"/>
    </xf>
    <xf numFmtId="0" fontId="140" fillId="35" borderId="50" xfId="0" applyFont="1" applyFill="1" applyBorder="1" applyAlignment="1">
      <alignment vertical="center" wrapText="1"/>
    </xf>
    <xf numFmtId="0" fontId="85" fillId="35" borderId="52" xfId="0" applyFont="1" applyFill="1" applyBorder="1" applyAlignment="1">
      <alignment/>
    </xf>
    <xf numFmtId="0" fontId="118" fillId="38" borderId="0" xfId="0" applyFont="1" applyFill="1" applyBorder="1" applyAlignment="1">
      <alignment horizontal="center"/>
    </xf>
    <xf numFmtId="0" fontId="114" fillId="35" borderId="0" xfId="0" applyFont="1" applyFill="1" applyBorder="1" applyAlignment="1">
      <alignment/>
    </xf>
    <xf numFmtId="9" fontId="137" fillId="38" borderId="0" xfId="172" applyFont="1" applyFill="1" applyBorder="1" applyAlignment="1">
      <alignment/>
    </xf>
    <xf numFmtId="0" fontId="16" fillId="38" borderId="53" xfId="0" applyFont="1" applyFill="1" applyBorder="1" applyAlignment="1">
      <alignment/>
    </xf>
    <xf numFmtId="0" fontId="4" fillId="0" borderId="0" xfId="0" applyFont="1" applyFill="1" applyAlignment="1">
      <alignment/>
    </xf>
    <xf numFmtId="0" fontId="135" fillId="35" borderId="0" xfId="0" applyFont="1" applyFill="1" applyAlignment="1">
      <alignment/>
    </xf>
    <xf numFmtId="175" fontId="135" fillId="35" borderId="0" xfId="52" applyNumberFormat="1" applyFont="1" applyFill="1" applyBorder="1" applyAlignment="1">
      <alignment/>
    </xf>
    <xf numFmtId="0" fontId="101" fillId="0" borderId="0" xfId="0" applyFont="1" applyFill="1" applyAlignment="1">
      <alignment horizontal="center"/>
    </xf>
    <xf numFmtId="0" fontId="90" fillId="0" borderId="0" xfId="49" applyAlignment="1">
      <alignment horizontal="right"/>
    </xf>
    <xf numFmtId="0" fontId="101" fillId="0" borderId="0" xfId="0" applyFont="1" applyAlignment="1">
      <alignment horizontal="justify" vertical="center"/>
    </xf>
    <xf numFmtId="0" fontId="0" fillId="41" borderId="0" xfId="0" applyFont="1" applyFill="1" applyBorder="1" applyAlignment="1">
      <alignment/>
    </xf>
    <xf numFmtId="0" fontId="0" fillId="41" borderId="35" xfId="0" applyFont="1" applyFill="1" applyBorder="1" applyAlignment="1">
      <alignment/>
    </xf>
    <xf numFmtId="0" fontId="0" fillId="41" borderId="10" xfId="0" applyFont="1" applyFill="1" applyBorder="1" applyAlignment="1">
      <alignment horizontal="center"/>
    </xf>
    <xf numFmtId="0" fontId="141"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39"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5" fillId="41" borderId="0" xfId="0" applyFont="1" applyFill="1" applyBorder="1" applyAlignment="1">
      <alignment/>
    </xf>
    <xf numFmtId="0" fontId="142" fillId="42" borderId="0" xfId="0" applyFont="1" applyFill="1" applyBorder="1" applyAlignment="1">
      <alignment/>
    </xf>
    <xf numFmtId="0" fontId="142" fillId="39" borderId="0" xfId="0" applyFont="1" applyFill="1" applyBorder="1" applyAlignment="1">
      <alignment/>
    </xf>
    <xf numFmtId="0" fontId="90" fillId="0" borderId="0" xfId="49" applyAlignment="1">
      <alignment horizontal="center" vertical="center"/>
    </xf>
    <xf numFmtId="0" fontId="90" fillId="0" borderId="39" xfId="49" applyBorder="1" applyAlignment="1">
      <alignment horizontal="center" vertical="center"/>
    </xf>
    <xf numFmtId="0" fontId="106" fillId="0" borderId="0" xfId="0" applyFont="1" applyFill="1" applyAlignment="1">
      <alignment/>
    </xf>
    <xf numFmtId="14" fontId="107" fillId="36" borderId="0" xfId="0" applyNumberFormat="1" applyFont="1" applyFill="1" applyAlignment="1">
      <alignment/>
    </xf>
    <xf numFmtId="0" fontId="102" fillId="0" borderId="0" xfId="0" applyFont="1" applyAlignment="1">
      <alignment horizontal="right"/>
    </xf>
    <xf numFmtId="0" fontId="101" fillId="0" borderId="12" xfId="0" applyFont="1" applyBorder="1" applyAlignment="1">
      <alignment/>
    </xf>
    <xf numFmtId="0" fontId="0" fillId="38" borderId="0" xfId="0" applyFill="1" applyAlignment="1">
      <alignment horizontal="center"/>
    </xf>
    <xf numFmtId="0" fontId="125" fillId="33" borderId="0" xfId="0" applyFont="1" applyFill="1" applyAlignment="1">
      <alignment horizontal="center"/>
    </xf>
    <xf numFmtId="0" fontId="107" fillId="36" borderId="0" xfId="0" applyFont="1" applyFill="1" applyAlignment="1">
      <alignment horizontal="center"/>
    </xf>
    <xf numFmtId="0" fontId="0" fillId="0" borderId="0" xfId="0" applyAlignment="1">
      <alignment/>
    </xf>
    <xf numFmtId="0" fontId="106" fillId="0" borderId="0" xfId="0" applyFont="1" applyAlignment="1">
      <alignment/>
    </xf>
    <xf numFmtId="0" fontId="106" fillId="0" borderId="0" xfId="0" applyFont="1" applyBorder="1" applyAlignment="1">
      <alignment/>
    </xf>
    <xf numFmtId="3" fontId="0" fillId="0" borderId="0" xfId="0" applyNumberFormat="1" applyAlignment="1">
      <alignment/>
    </xf>
    <xf numFmtId="0" fontId="101" fillId="0" borderId="0" xfId="0" applyFont="1" applyBorder="1" applyAlignment="1">
      <alignment vertical="justify" wrapText="1"/>
    </xf>
    <xf numFmtId="3" fontId="106" fillId="0" borderId="0" xfId="0" applyNumberFormat="1" applyFont="1" applyBorder="1" applyAlignment="1">
      <alignment horizontal="center" vertical="center"/>
    </xf>
    <xf numFmtId="3" fontId="101" fillId="33" borderId="10" xfId="0" applyNumberFormat="1" applyFont="1" applyFill="1" applyBorder="1" applyAlignment="1">
      <alignment horizontal="center"/>
    </xf>
    <xf numFmtId="3" fontId="102" fillId="33" borderId="10" xfId="0" applyNumberFormat="1" applyFont="1" applyFill="1" applyBorder="1" applyAlignment="1">
      <alignment horizontal="center"/>
    </xf>
    <xf numFmtId="3" fontId="0" fillId="0" borderId="0" xfId="0" applyNumberFormat="1" applyAlignment="1">
      <alignment horizontal="center"/>
    </xf>
    <xf numFmtId="3" fontId="101" fillId="33" borderId="0" xfId="0" applyNumberFormat="1" applyFont="1" applyFill="1" applyAlignment="1">
      <alignment horizontal="center"/>
    </xf>
    <xf numFmtId="0" fontId="104" fillId="0" borderId="0" xfId="0" applyFont="1" applyAlignment="1">
      <alignment vertical="center"/>
    </xf>
    <xf numFmtId="3" fontId="2" fillId="33" borderId="0" xfId="105" applyNumberFormat="1" applyFont="1" applyFill="1" applyBorder="1" applyAlignment="1" quotePrefix="1">
      <alignment horizontal="center"/>
      <protection/>
    </xf>
    <xf numFmtId="3" fontId="4" fillId="33" borderId="54" xfId="52" applyNumberFormat="1" applyFont="1" applyFill="1" applyBorder="1" applyAlignment="1">
      <alignment horizontal="center"/>
    </xf>
    <xf numFmtId="3" fontId="2" fillId="33" borderId="0" xfId="57" applyNumberFormat="1" applyFont="1" applyFill="1" applyAlignment="1">
      <alignment horizontal="center"/>
    </xf>
    <xf numFmtId="3" fontId="2" fillId="33" borderId="0" xfId="57" applyNumberFormat="1" applyFont="1" applyFill="1" applyBorder="1" applyAlignment="1">
      <alignment horizontal="center"/>
    </xf>
    <xf numFmtId="3" fontId="2" fillId="33" borderId="0" xfId="52" applyNumberFormat="1" applyFont="1" applyFill="1" applyBorder="1" applyAlignment="1">
      <alignment horizontal="center"/>
    </xf>
    <xf numFmtId="180" fontId="4" fillId="33" borderId="0" xfId="69" applyNumberFormat="1" applyFont="1" applyFill="1" applyBorder="1" applyAlignment="1">
      <alignment horizontal="center"/>
    </xf>
    <xf numFmtId="0" fontId="20" fillId="0" borderId="10" xfId="169" applyFont="1" applyBorder="1">
      <alignment/>
      <protection/>
    </xf>
    <xf numFmtId="3" fontId="101" fillId="38" borderId="0" xfId="0" applyNumberFormat="1" applyFont="1" applyFill="1" applyAlignment="1">
      <alignment horizontal="center" vertical="top" wrapText="1"/>
    </xf>
    <xf numFmtId="3" fontId="0" fillId="38" borderId="0" xfId="0" applyNumberFormat="1" applyFill="1" applyAlignment="1">
      <alignment horizontal="center"/>
    </xf>
    <xf numFmtId="180" fontId="0" fillId="38" borderId="17" xfId="53" applyNumberFormat="1" applyFont="1" applyFill="1" applyBorder="1" applyAlignment="1">
      <alignment horizontal="center"/>
    </xf>
    <xf numFmtId="3" fontId="0" fillId="38" borderId="0" xfId="0" applyNumberFormat="1" applyFill="1" applyAlignment="1">
      <alignment/>
    </xf>
    <xf numFmtId="3" fontId="2" fillId="33" borderId="0" xfId="52" applyNumberFormat="1" applyFont="1" applyFill="1" applyAlignment="1">
      <alignment horizontal="center"/>
    </xf>
    <xf numFmtId="3" fontId="101" fillId="33" borderId="0" xfId="53" applyNumberFormat="1" applyFont="1" applyFill="1" applyAlignment="1">
      <alignment horizontal="center"/>
    </xf>
    <xf numFmtId="3" fontId="102" fillId="33" borderId="54" xfId="0" applyNumberFormat="1" applyFont="1" applyFill="1" applyBorder="1" applyAlignment="1">
      <alignment horizontal="center"/>
    </xf>
    <xf numFmtId="3" fontId="4" fillId="33" borderId="54" xfId="106" applyNumberFormat="1" applyFont="1" applyFill="1" applyBorder="1" applyAlignment="1">
      <alignment horizontal="center"/>
      <protection/>
    </xf>
    <xf numFmtId="3" fontId="0" fillId="38" borderId="17" xfId="53"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5"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0"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xf>
    <xf numFmtId="173" fontId="105" fillId="0" borderId="0" xfId="0" applyNumberFormat="1" applyFont="1" applyFill="1" applyAlignment="1">
      <alignment/>
    </xf>
    <xf numFmtId="3" fontId="3" fillId="38" borderId="35" xfId="73" applyNumberFormat="1" applyFont="1" applyFill="1" applyBorder="1" applyAlignment="1">
      <alignment horizontal="center"/>
    </xf>
    <xf numFmtId="3" fontId="11" fillId="38" borderId="35" xfId="73" applyNumberFormat="1" applyFont="1" applyFill="1" applyBorder="1" applyAlignment="1">
      <alignment/>
    </xf>
    <xf numFmtId="3" fontId="11" fillId="38" borderId="14" xfId="73" applyNumberFormat="1" applyFont="1" applyFill="1" applyBorder="1" applyAlignment="1">
      <alignment/>
    </xf>
    <xf numFmtId="3" fontId="11" fillId="38" borderId="35" xfId="73" applyNumberFormat="1" applyFont="1" applyFill="1" applyBorder="1" applyAlignment="1" quotePrefix="1">
      <alignment/>
    </xf>
    <xf numFmtId="3" fontId="11" fillId="38" borderId="35" xfId="73" applyNumberFormat="1" applyFont="1" applyFill="1" applyBorder="1" applyAlignment="1">
      <alignment horizontal="center"/>
    </xf>
    <xf numFmtId="3" fontId="11" fillId="38" borderId="13" xfId="73" applyNumberFormat="1" applyFont="1" applyFill="1" applyBorder="1" applyAlignment="1">
      <alignment horizontal="center"/>
    </xf>
    <xf numFmtId="180" fontId="9" fillId="33" borderId="54" xfId="63" applyNumberFormat="1" applyFont="1" applyFill="1" applyBorder="1" applyAlignment="1">
      <alignment horizontal="center"/>
    </xf>
    <xf numFmtId="3" fontId="101" fillId="0" borderId="0" xfId="0" applyNumberFormat="1" applyFont="1" applyFill="1" applyBorder="1" applyAlignment="1">
      <alignment/>
    </xf>
    <xf numFmtId="3" fontId="101"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1"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2"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2" fillId="0" borderId="0" xfId="0" applyNumberFormat="1" applyFont="1" applyFill="1" applyBorder="1" applyAlignment="1">
      <alignment/>
    </xf>
    <xf numFmtId="3" fontId="125" fillId="33" borderId="0" xfId="0" applyNumberFormat="1" applyFont="1" applyFill="1" applyAlignment="1">
      <alignment horizontal="center"/>
    </xf>
    <xf numFmtId="3" fontId="4" fillId="33" borderId="0" xfId="105" applyNumberFormat="1" applyFont="1" applyFill="1" applyAlignment="1" quotePrefix="1">
      <alignment horizontal="center"/>
      <protection/>
    </xf>
    <xf numFmtId="3" fontId="0" fillId="0" borderId="0" xfId="0" applyNumberFormat="1" applyBorder="1" applyAlignment="1">
      <alignment horizontal="center"/>
    </xf>
    <xf numFmtId="3" fontId="2" fillId="33" borderId="54" xfId="52" applyNumberFormat="1" applyFont="1" applyFill="1" applyBorder="1" applyAlignment="1">
      <alignment horizontal="center"/>
    </xf>
    <xf numFmtId="3" fontId="0" fillId="0" borderId="12" xfId="0" applyNumberFormat="1" applyBorder="1" applyAlignment="1">
      <alignment horizontal="center"/>
    </xf>
    <xf numFmtId="3" fontId="0" fillId="38" borderId="12"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0" fontId="0" fillId="33" borderId="17" xfId="53" applyNumberFormat="1" applyFont="1" applyFill="1" applyBorder="1" applyAlignment="1">
      <alignment horizontal="center"/>
    </xf>
    <xf numFmtId="3" fontId="105" fillId="0" borderId="0" xfId="0" applyNumberFormat="1" applyFont="1" applyFill="1" applyAlignment="1">
      <alignment/>
    </xf>
    <xf numFmtId="3" fontId="11" fillId="0" borderId="55" xfId="0" applyNumberFormat="1" applyFont="1" applyBorder="1" applyAlignment="1">
      <alignment horizontal="center" vertical="center" wrapText="1"/>
    </xf>
    <xf numFmtId="3" fontId="11" fillId="0" borderId="56" xfId="0" applyNumberFormat="1" applyFont="1" applyBorder="1" applyAlignment="1">
      <alignment horizontal="center" vertical="center" wrapText="1"/>
    </xf>
    <xf numFmtId="3" fontId="11" fillId="0" borderId="57" xfId="0" applyNumberFormat="1" applyFont="1" applyBorder="1" applyAlignment="1">
      <alignment horizontal="center" vertical="center" wrapText="1"/>
    </xf>
    <xf numFmtId="0" fontId="0" fillId="0" borderId="0" xfId="0" applyFill="1" applyAlignment="1" quotePrefix="1">
      <alignment/>
    </xf>
    <xf numFmtId="3" fontId="85" fillId="0" borderId="0" xfId="0" applyNumberFormat="1" applyFont="1" applyFill="1" applyAlignment="1">
      <alignment horizontal="center" vertical="center"/>
    </xf>
    <xf numFmtId="3" fontId="0" fillId="33" borderId="17" xfId="0" applyNumberFormat="1" applyFill="1" applyBorder="1" applyAlignment="1">
      <alignment horizontal="center"/>
    </xf>
    <xf numFmtId="3" fontId="103" fillId="38" borderId="17" xfId="53" applyNumberFormat="1" applyFont="1" applyFill="1" applyBorder="1" applyAlignment="1">
      <alignment horizontal="center"/>
    </xf>
    <xf numFmtId="3" fontId="103" fillId="38" borderId="0" xfId="0" applyNumberFormat="1" applyFont="1" applyFill="1" applyBorder="1" applyAlignment="1">
      <alignment horizontal="center"/>
    </xf>
    <xf numFmtId="3" fontId="103" fillId="38" borderId="0" xfId="172" applyNumberFormat="1" applyFont="1" applyFill="1" applyBorder="1" applyAlignment="1">
      <alignment horizontal="center"/>
    </xf>
    <xf numFmtId="3" fontId="103" fillId="38" borderId="0" xfId="53" applyNumberFormat="1" applyFont="1" applyFill="1" applyBorder="1" applyAlignment="1">
      <alignment horizontal="center"/>
    </xf>
    <xf numFmtId="3" fontId="101" fillId="0" borderId="0" xfId="0" applyNumberFormat="1" applyFont="1" applyAlignment="1">
      <alignment/>
    </xf>
    <xf numFmtId="173" fontId="114" fillId="35" borderId="0" xfId="52" applyNumberFormat="1" applyFont="1" applyFill="1" applyAlignment="1">
      <alignment horizontal="center" vertical="center" wrapText="1"/>
    </xf>
    <xf numFmtId="0" fontId="106" fillId="0" borderId="0" xfId="0" applyFont="1" applyAlignment="1">
      <alignment horizontal="center"/>
    </xf>
    <xf numFmtId="0" fontId="114" fillId="35" borderId="0" xfId="0" applyFont="1" applyFill="1" applyAlignment="1">
      <alignment horizontal="center" vertical="center" wrapText="1"/>
    </xf>
    <xf numFmtId="0" fontId="0" fillId="0" borderId="0" xfId="0" applyAlignment="1">
      <alignment/>
    </xf>
    <xf numFmtId="0" fontId="7" fillId="0" borderId="0" xfId="0" applyFont="1" applyAlignment="1">
      <alignment horizontal="center"/>
    </xf>
    <xf numFmtId="3" fontId="101" fillId="0" borderId="0" xfId="52" applyNumberFormat="1" applyFont="1" applyAlignment="1">
      <alignment/>
    </xf>
    <xf numFmtId="3" fontId="101" fillId="0" borderId="0" xfId="52" applyNumberFormat="1" applyFont="1" applyBorder="1" applyAlignment="1">
      <alignment/>
    </xf>
    <xf numFmtId="3" fontId="107" fillId="0" borderId="0" xfId="52" applyNumberFormat="1" applyFont="1" applyAlignment="1">
      <alignment/>
    </xf>
    <xf numFmtId="3" fontId="107" fillId="0" borderId="0" xfId="0" applyNumberFormat="1" applyFont="1" applyAlignment="1">
      <alignment/>
    </xf>
    <xf numFmtId="3" fontId="114" fillId="36" borderId="0" xfId="52" applyNumberFormat="1" applyFont="1" applyFill="1" applyBorder="1" applyAlignment="1">
      <alignment/>
    </xf>
    <xf numFmtId="3" fontId="2" fillId="0" borderId="0" xfId="52" applyNumberFormat="1" applyFont="1" applyAlignment="1">
      <alignment/>
    </xf>
    <xf numFmtId="3" fontId="108" fillId="0" borderId="0" xfId="52" applyNumberFormat="1" applyFont="1" applyAlignment="1">
      <alignment/>
    </xf>
    <xf numFmtId="3" fontId="114" fillId="36" borderId="0" xfId="52" applyNumberFormat="1" applyFont="1" applyFill="1" applyBorder="1" applyAlignment="1">
      <alignment vertical="center"/>
    </xf>
    <xf numFmtId="3" fontId="108" fillId="0" borderId="0" xfId="0" applyNumberFormat="1" applyFont="1" applyAlignment="1">
      <alignment/>
    </xf>
    <xf numFmtId="3" fontId="2" fillId="0" borderId="0" xfId="52" applyNumberFormat="1" applyFont="1" applyBorder="1" applyAlignment="1">
      <alignment/>
    </xf>
    <xf numFmtId="173" fontId="114" fillId="35" borderId="0" xfId="52" applyNumberFormat="1" applyFont="1" applyFill="1" applyBorder="1" applyAlignment="1">
      <alignment horizontal="center" vertical="center" wrapText="1"/>
    </xf>
    <xf numFmtId="173" fontId="114" fillId="33" borderId="0" xfId="52" applyNumberFormat="1" applyFont="1" applyFill="1" applyAlignment="1">
      <alignment horizontal="center" vertical="center" wrapText="1"/>
    </xf>
    <xf numFmtId="173" fontId="114" fillId="33" borderId="0" xfId="52" applyNumberFormat="1" applyFont="1" applyFill="1" applyBorder="1" applyAlignment="1">
      <alignment horizontal="center" vertical="center" wrapText="1"/>
    </xf>
    <xf numFmtId="3" fontId="101" fillId="33" borderId="0" xfId="52" applyNumberFormat="1" applyFont="1" applyFill="1" applyAlignment="1">
      <alignment/>
    </xf>
    <xf numFmtId="3" fontId="114" fillId="33" borderId="0" xfId="52" applyNumberFormat="1" applyFont="1" applyFill="1" applyBorder="1" applyAlignment="1">
      <alignment/>
    </xf>
    <xf numFmtId="173" fontId="101" fillId="33" borderId="0" xfId="52" applyNumberFormat="1" applyFont="1" applyFill="1" applyBorder="1" applyAlignment="1">
      <alignment horizontal="center"/>
    </xf>
    <xf numFmtId="3" fontId="101" fillId="33" borderId="0" xfId="52" applyNumberFormat="1" applyFont="1" applyFill="1" applyBorder="1" applyAlignment="1">
      <alignment/>
    </xf>
    <xf numFmtId="3" fontId="101" fillId="0" borderId="0" xfId="0" applyNumberFormat="1" applyFont="1" applyFill="1" applyAlignment="1">
      <alignment horizontal="center"/>
    </xf>
    <xf numFmtId="3" fontId="101" fillId="33" borderId="0" xfId="53" applyNumberFormat="1" applyFont="1" applyFill="1" applyAlignment="1">
      <alignment/>
    </xf>
    <xf numFmtId="3" fontId="106" fillId="33" borderId="0" xfId="53" applyNumberFormat="1" applyFont="1" applyFill="1" applyAlignment="1">
      <alignment/>
    </xf>
    <xf numFmtId="10" fontId="101" fillId="0" borderId="15" xfId="172" applyNumberFormat="1" applyFont="1" applyFill="1" applyBorder="1" applyAlignment="1">
      <alignment horizontal="center"/>
    </xf>
    <xf numFmtId="0" fontId="0" fillId="0" borderId="0" xfId="114">
      <alignment/>
      <protection/>
    </xf>
    <xf numFmtId="0" fontId="143" fillId="0" borderId="0" xfId="114" applyFont="1">
      <alignment/>
      <protection/>
    </xf>
    <xf numFmtId="14" fontId="102" fillId="33" borderId="0" xfId="0" applyNumberFormat="1" applyFont="1" applyFill="1" applyBorder="1" applyAlignment="1">
      <alignment vertical="center"/>
    </xf>
    <xf numFmtId="174" fontId="101" fillId="0" borderId="15" xfId="52" applyNumberFormat="1" applyFont="1" applyFill="1" applyBorder="1" applyAlignment="1">
      <alignment/>
    </xf>
    <xf numFmtId="174" fontId="101" fillId="0" borderId="38" xfId="52" applyNumberFormat="1" applyFont="1" applyFill="1" applyBorder="1" applyAlignment="1">
      <alignment/>
    </xf>
    <xf numFmtId="175" fontId="2" fillId="33" borderId="15" xfId="52" applyNumberFormat="1" applyFont="1" applyFill="1" applyBorder="1" applyAlignment="1">
      <alignment/>
    </xf>
    <xf numFmtId="0" fontId="4" fillId="33" borderId="0" xfId="0" applyFont="1" applyFill="1" applyAlignment="1">
      <alignment/>
    </xf>
    <xf numFmtId="0" fontId="2" fillId="0" borderId="0" xfId="113">
      <alignment/>
      <protection/>
    </xf>
    <xf numFmtId="0" fontId="21" fillId="0" borderId="0" xfId="170" applyFont="1" applyBorder="1" applyAlignment="1">
      <alignment/>
      <protection/>
    </xf>
    <xf numFmtId="0" fontId="4" fillId="0" borderId="13" xfId="113" applyFont="1" applyBorder="1" applyAlignment="1">
      <alignment horizontal="center"/>
      <protection/>
    </xf>
    <xf numFmtId="0" fontId="4" fillId="0" borderId="0" xfId="113" applyFont="1" applyBorder="1" applyAlignment="1">
      <alignment horizontal="center"/>
      <protection/>
    </xf>
    <xf numFmtId="0" fontId="4" fillId="0" borderId="14" xfId="113" applyFont="1" applyBorder="1" applyAlignment="1">
      <alignment horizontal="center"/>
      <protection/>
    </xf>
    <xf numFmtId="0" fontId="5" fillId="0" borderId="33" xfId="113" applyFont="1" applyBorder="1">
      <alignment/>
      <protection/>
    </xf>
    <xf numFmtId="0" fontId="5" fillId="0" borderId="17" xfId="113" applyFont="1" applyBorder="1">
      <alignment/>
      <protection/>
    </xf>
    <xf numFmtId="0" fontId="2" fillId="0" borderId="17" xfId="113" applyBorder="1">
      <alignment/>
      <protection/>
    </xf>
    <xf numFmtId="0" fontId="2" fillId="0" borderId="36" xfId="113" applyBorder="1">
      <alignment/>
      <protection/>
    </xf>
    <xf numFmtId="0" fontId="5" fillId="0" borderId="13" xfId="113" applyFont="1" applyBorder="1">
      <alignment/>
      <protection/>
    </xf>
    <xf numFmtId="0" fontId="5" fillId="0" borderId="0" xfId="113" applyFont="1" applyBorder="1">
      <alignment/>
      <protection/>
    </xf>
    <xf numFmtId="0" fontId="2" fillId="0" borderId="0" xfId="113" applyBorder="1">
      <alignment/>
      <protection/>
    </xf>
    <xf numFmtId="0" fontId="2" fillId="0" borderId="14" xfId="113" applyBorder="1">
      <alignment/>
      <protection/>
    </xf>
    <xf numFmtId="0" fontId="23" fillId="0" borderId="0" xfId="113" applyFont="1" applyBorder="1">
      <alignment/>
      <protection/>
    </xf>
    <xf numFmtId="0" fontId="2" fillId="0" borderId="13" xfId="113" applyBorder="1">
      <alignment/>
      <protection/>
    </xf>
    <xf numFmtId="0" fontId="2" fillId="0" borderId="13" xfId="113" applyFont="1" applyBorder="1">
      <alignment/>
      <protection/>
    </xf>
    <xf numFmtId="0" fontId="2" fillId="0" borderId="13" xfId="113" applyFont="1" applyFill="1" applyBorder="1">
      <alignment/>
      <protection/>
    </xf>
    <xf numFmtId="0" fontId="2" fillId="0" borderId="0" xfId="113" applyFill="1" applyBorder="1">
      <alignment/>
      <protection/>
    </xf>
    <xf numFmtId="0" fontId="2" fillId="0" borderId="13" xfId="113" applyFill="1" applyBorder="1">
      <alignment/>
      <protection/>
    </xf>
    <xf numFmtId="0" fontId="3" fillId="0" borderId="11" xfId="113" applyFont="1" applyBorder="1" applyAlignment="1">
      <alignment/>
      <protection/>
    </xf>
    <xf numFmtId="0" fontId="3" fillId="0" borderId="16" xfId="113" applyFont="1" applyBorder="1" applyAlignment="1">
      <alignment/>
      <protection/>
    </xf>
    <xf numFmtId="0" fontId="3" fillId="0" borderId="38" xfId="113" applyFont="1" applyBorder="1" applyAlignment="1">
      <alignment/>
      <protection/>
    </xf>
    <xf numFmtId="0" fontId="4" fillId="0" borderId="13" xfId="113" applyFont="1" applyBorder="1">
      <alignment/>
      <protection/>
    </xf>
    <xf numFmtId="0" fontId="4" fillId="0" borderId="0" xfId="113" applyFont="1" applyBorder="1">
      <alignment/>
      <protection/>
    </xf>
    <xf numFmtId="0" fontId="3" fillId="0" borderId="34" xfId="113" applyFont="1" applyBorder="1" applyAlignment="1">
      <alignment/>
      <protection/>
    </xf>
    <xf numFmtId="0" fontId="3" fillId="0" borderId="12" xfId="113" applyFont="1" applyBorder="1" applyAlignment="1">
      <alignment/>
      <protection/>
    </xf>
    <xf numFmtId="0" fontId="3" fillId="0" borderId="15" xfId="113" applyFont="1" applyBorder="1" applyAlignment="1">
      <alignment/>
      <protection/>
    </xf>
    <xf numFmtId="0" fontId="2" fillId="0" borderId="13" xfId="113" applyBorder="1" applyAlignment="1">
      <alignment horizontal="center"/>
      <protection/>
    </xf>
    <xf numFmtId="0" fontId="2" fillId="0" borderId="0" xfId="113" applyBorder="1" applyAlignment="1">
      <alignment horizontal="center"/>
      <protection/>
    </xf>
    <xf numFmtId="3" fontId="2" fillId="0" borderId="0" xfId="113" applyNumberFormat="1" applyBorder="1">
      <alignment/>
      <protection/>
    </xf>
    <xf numFmtId="0" fontId="2" fillId="0" borderId="13" xfId="113" applyFill="1" applyBorder="1" applyAlignment="1">
      <alignment horizontal="left"/>
      <protection/>
    </xf>
    <xf numFmtId="0" fontId="2" fillId="0" borderId="0" xfId="113" applyFont="1" applyBorder="1">
      <alignment/>
      <protection/>
    </xf>
    <xf numFmtId="3" fontId="2" fillId="0" borderId="14" xfId="113" applyNumberFormat="1" applyBorder="1">
      <alignment/>
      <protection/>
    </xf>
    <xf numFmtId="0" fontId="2" fillId="0" borderId="0" xfId="113" applyFont="1" applyFill="1" applyBorder="1">
      <alignment/>
      <protection/>
    </xf>
    <xf numFmtId="0" fontId="0" fillId="0" borderId="13" xfId="0" applyBorder="1" applyAlignment="1">
      <alignment/>
    </xf>
    <xf numFmtId="0" fontId="2" fillId="0" borderId="34" xfId="113" applyBorder="1">
      <alignment/>
      <protection/>
    </xf>
    <xf numFmtId="0" fontId="2" fillId="0" borderId="12" xfId="113" applyBorder="1">
      <alignment/>
      <protection/>
    </xf>
    <xf numFmtId="0" fontId="2" fillId="0" borderId="15" xfId="113" applyBorder="1">
      <alignment/>
      <protection/>
    </xf>
    <xf numFmtId="0" fontId="100" fillId="0" borderId="58" xfId="0" applyFont="1" applyBorder="1" applyAlignment="1">
      <alignment horizontal="center"/>
    </xf>
    <xf numFmtId="0" fontId="100" fillId="0" borderId="0" xfId="0" applyFont="1" applyBorder="1" applyAlignment="1">
      <alignment horizontal="center"/>
    </xf>
    <xf numFmtId="0" fontId="100" fillId="0" borderId="18" xfId="0" applyFont="1" applyBorder="1" applyAlignment="1">
      <alignment horizontal="center"/>
    </xf>
    <xf numFmtId="0" fontId="0" fillId="0" borderId="59" xfId="0" applyBorder="1" applyAlignment="1">
      <alignment/>
    </xf>
    <xf numFmtId="3" fontId="4" fillId="0" borderId="60" xfId="0" applyNumberFormat="1" applyFont="1" applyBorder="1" applyAlignment="1">
      <alignment horizontal="center" vertical="top" wrapText="1"/>
    </xf>
    <xf numFmtId="3" fontId="2" fillId="0" borderId="60" xfId="0" applyNumberFormat="1" applyFont="1" applyBorder="1" applyAlignment="1">
      <alignment horizontal="center" vertical="top" wrapText="1"/>
    </xf>
    <xf numFmtId="3" fontId="4" fillId="0" borderId="61" xfId="0" applyNumberFormat="1" applyFont="1" applyBorder="1" applyAlignment="1">
      <alignment horizontal="center" vertical="top" wrapText="1"/>
    </xf>
    <xf numFmtId="0" fontId="4" fillId="43" borderId="62" xfId="0" applyFont="1" applyFill="1" applyBorder="1" applyAlignment="1">
      <alignment horizontal="center" vertical="top" wrapText="1"/>
    </xf>
    <xf numFmtId="0" fontId="4" fillId="43" borderId="63" xfId="0" applyFont="1" applyFill="1" applyBorder="1" applyAlignment="1">
      <alignment horizontal="center" vertical="top" wrapText="1"/>
    </xf>
    <xf numFmtId="0" fontId="4" fillId="0" borderId="59" xfId="0" applyFont="1" applyFill="1" applyBorder="1" applyAlignment="1">
      <alignment horizontal="center" vertical="top" wrapText="1"/>
    </xf>
    <xf numFmtId="49" fontId="4" fillId="0" borderId="64" xfId="0" applyNumberFormat="1" applyFont="1" applyFill="1" applyBorder="1" applyAlignment="1">
      <alignment horizontal="left" vertical="top" wrapText="1"/>
    </xf>
    <xf numFmtId="49" fontId="4" fillId="0" borderId="64" xfId="0" applyNumberFormat="1" applyFont="1" applyFill="1" applyBorder="1" applyAlignment="1">
      <alignment horizontal="center" vertical="top" wrapText="1"/>
    </xf>
    <xf numFmtId="3" fontId="4" fillId="0" borderId="64" xfId="0" applyNumberFormat="1" applyFont="1" applyFill="1" applyBorder="1" applyAlignment="1">
      <alignment horizontal="right" vertical="top" wrapText="1"/>
    </xf>
    <xf numFmtId="10" fontId="4" fillId="0" borderId="64" xfId="0" applyNumberFormat="1" applyFont="1" applyFill="1" applyBorder="1" applyAlignment="1">
      <alignment horizontal="center" vertical="top" wrapText="1"/>
    </xf>
    <xf numFmtId="10" fontId="4" fillId="0" borderId="63" xfId="0" applyNumberFormat="1" applyFont="1" applyFill="1" applyBorder="1" applyAlignment="1">
      <alignment horizontal="center" vertical="top" wrapText="1"/>
    </xf>
    <xf numFmtId="0" fontId="4" fillId="0" borderId="65" xfId="0"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right" vertical="top" wrapText="1"/>
    </xf>
    <xf numFmtId="10" fontId="4" fillId="0" borderId="0" xfId="0" applyNumberFormat="1" applyFont="1" applyFill="1" applyBorder="1" applyAlignment="1">
      <alignment horizontal="center" vertical="top" wrapText="1"/>
    </xf>
    <xf numFmtId="10" fontId="4" fillId="0" borderId="66" xfId="0" applyNumberFormat="1" applyFont="1" applyFill="1" applyBorder="1" applyAlignment="1">
      <alignment horizontal="center" vertical="top" wrapText="1"/>
    </xf>
    <xf numFmtId="0" fontId="4" fillId="0" borderId="67" xfId="0" applyFont="1" applyFill="1" applyBorder="1" applyAlignment="1">
      <alignment horizontal="center" vertical="top" wrapText="1"/>
    </xf>
    <xf numFmtId="49" fontId="4" fillId="0" borderId="68" xfId="0" applyNumberFormat="1" applyFont="1" applyFill="1" applyBorder="1" applyAlignment="1">
      <alignment horizontal="left" vertical="top" wrapText="1"/>
    </xf>
    <xf numFmtId="49" fontId="4" fillId="0" borderId="68" xfId="0" applyNumberFormat="1" applyFont="1" applyFill="1" applyBorder="1" applyAlignment="1">
      <alignment horizontal="center" vertical="top" wrapText="1"/>
    </xf>
    <xf numFmtId="3" fontId="4" fillId="0" borderId="68" xfId="0" applyNumberFormat="1" applyFont="1" applyFill="1" applyBorder="1" applyAlignment="1">
      <alignment horizontal="right" vertical="top" wrapText="1"/>
    </xf>
    <xf numFmtId="10" fontId="4" fillId="0" borderId="68" xfId="0" applyNumberFormat="1" applyFont="1" applyFill="1" applyBorder="1" applyAlignment="1">
      <alignment horizontal="center" vertical="top" wrapText="1"/>
    </xf>
    <xf numFmtId="10" fontId="4" fillId="0" borderId="69" xfId="0" applyNumberFormat="1" applyFont="1" applyFill="1" applyBorder="1" applyAlignment="1">
      <alignment horizontal="center" vertical="top" wrapText="1"/>
    </xf>
    <xf numFmtId="0" fontId="4" fillId="0" borderId="70" xfId="0" applyFont="1" applyFill="1" applyBorder="1" applyAlignment="1">
      <alignment horizontal="center" vertical="top" wrapText="1"/>
    </xf>
    <xf numFmtId="49" fontId="4" fillId="0" borderId="53" xfId="0" applyNumberFormat="1" applyFont="1" applyFill="1" applyBorder="1" applyAlignment="1">
      <alignment horizontal="left" vertical="top" wrapText="1"/>
    </xf>
    <xf numFmtId="49" fontId="4" fillId="0" borderId="53" xfId="0" applyNumberFormat="1" applyFont="1" applyFill="1" applyBorder="1" applyAlignment="1">
      <alignment horizontal="center" vertical="top" wrapText="1"/>
    </xf>
    <xf numFmtId="3" fontId="4" fillId="0" borderId="53" xfId="0" applyNumberFormat="1" applyFont="1" applyFill="1" applyBorder="1" applyAlignment="1">
      <alignment horizontal="right" vertical="top" wrapText="1"/>
    </xf>
    <xf numFmtId="10" fontId="4" fillId="0" borderId="53" xfId="0" applyNumberFormat="1" applyFont="1" applyFill="1" applyBorder="1" applyAlignment="1">
      <alignment horizontal="center" vertical="top" wrapText="1"/>
    </xf>
    <xf numFmtId="10" fontId="4" fillId="0" borderId="71" xfId="0" applyNumberFormat="1" applyFont="1" applyFill="1" applyBorder="1" applyAlignment="1">
      <alignment horizontal="center" vertical="top" wrapText="1"/>
    </xf>
    <xf numFmtId="49" fontId="106" fillId="0" borderId="0" xfId="0" applyNumberFormat="1" applyFont="1" applyBorder="1" applyAlignment="1">
      <alignment vertical="center" wrapText="1"/>
    </xf>
    <xf numFmtId="49" fontId="106" fillId="0" borderId="0" xfId="0" applyNumberFormat="1" applyFont="1" applyBorder="1" applyAlignment="1">
      <alignment wrapText="1"/>
    </xf>
    <xf numFmtId="0" fontId="100" fillId="0" borderId="0" xfId="0" applyFont="1" applyBorder="1" applyAlignment="1">
      <alignment/>
    </xf>
    <xf numFmtId="0" fontId="0" fillId="0" borderId="0" xfId="0" applyBorder="1" applyAlignment="1">
      <alignment/>
    </xf>
    <xf numFmtId="0" fontId="144"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94" fillId="0" borderId="0" xfId="0" applyFont="1" applyFill="1" applyBorder="1" applyAlignment="1">
      <alignment horizontal="left"/>
    </xf>
    <xf numFmtId="0" fontId="94" fillId="0" borderId="0" xfId="0" applyFont="1" applyFill="1" applyBorder="1" applyAlignment="1">
      <alignment horizontal="center"/>
    </xf>
    <xf numFmtId="0" fontId="94" fillId="0" borderId="0" xfId="0" applyFont="1" applyFill="1" applyBorder="1" applyAlignment="1">
      <alignment horizontal="center" wrapText="1"/>
    </xf>
    <xf numFmtId="10" fontId="106" fillId="0" borderId="0" xfId="0" applyNumberFormat="1" applyFont="1" applyAlignment="1">
      <alignment/>
    </xf>
    <xf numFmtId="10" fontId="102" fillId="0" borderId="0" xfId="0" applyNumberFormat="1" applyFont="1" applyAlignment="1">
      <alignment vertical="center"/>
    </xf>
    <xf numFmtId="10" fontId="101" fillId="0" borderId="0" xfId="0" applyNumberFormat="1" applyFont="1" applyAlignment="1">
      <alignment vertical="center"/>
    </xf>
    <xf numFmtId="10" fontId="4" fillId="43" borderId="63" xfId="0" applyNumberFormat="1" applyFont="1" applyFill="1" applyBorder="1" applyAlignment="1">
      <alignment horizontal="center" vertical="top" wrapText="1"/>
    </xf>
    <xf numFmtId="3" fontId="4" fillId="0" borderId="16" xfId="52" applyNumberFormat="1" applyFont="1" applyFill="1" applyBorder="1" applyAlignment="1">
      <alignment horizontal="center"/>
    </xf>
    <xf numFmtId="3" fontId="2" fillId="0" borderId="0" xfId="52" applyNumberFormat="1" applyFont="1" applyFill="1" applyAlignment="1">
      <alignment horizontal="center"/>
    </xf>
    <xf numFmtId="3" fontId="121" fillId="35" borderId="0" xfId="52" applyNumberFormat="1" applyFont="1" applyFill="1" applyBorder="1" applyAlignment="1">
      <alignment horizontal="center"/>
    </xf>
    <xf numFmtId="3" fontId="121" fillId="35" borderId="17" xfId="52" applyNumberFormat="1" applyFont="1" applyFill="1" applyBorder="1" applyAlignment="1">
      <alignment horizontal="center"/>
    </xf>
    <xf numFmtId="3" fontId="145" fillId="33" borderId="0" xfId="52" applyNumberFormat="1" applyFont="1" applyFill="1" applyAlignment="1">
      <alignment horizontal="center"/>
    </xf>
    <xf numFmtId="3" fontId="145" fillId="33" borderId="0" xfId="52" applyNumberFormat="1" applyFont="1" applyFill="1" applyBorder="1" applyAlignment="1">
      <alignment horizontal="center"/>
    </xf>
    <xf numFmtId="3" fontId="107" fillId="0" borderId="0" xfId="0" applyNumberFormat="1" applyFont="1" applyFill="1" applyAlignment="1">
      <alignment horizontal="center"/>
    </xf>
    <xf numFmtId="3" fontId="120" fillId="0" borderId="0" xfId="0" applyNumberFormat="1" applyFont="1" applyFill="1" applyAlignment="1">
      <alignment horizontal="center"/>
    </xf>
    <xf numFmtId="3" fontId="104" fillId="0" borderId="0" xfId="0" applyNumberFormat="1" applyFont="1" applyFill="1" applyAlignment="1">
      <alignment horizontal="center"/>
    </xf>
    <xf numFmtId="3" fontId="146" fillId="0" borderId="0" xfId="53" applyNumberFormat="1" applyFont="1" applyFill="1" applyAlignment="1">
      <alignment horizontal="center"/>
    </xf>
    <xf numFmtId="0" fontId="106" fillId="0" borderId="0" xfId="0" applyFont="1" applyAlignment="1">
      <alignment/>
    </xf>
    <xf numFmtId="0" fontId="106" fillId="0" borderId="0" xfId="0" applyFont="1" applyBorder="1" applyAlignment="1">
      <alignment/>
    </xf>
    <xf numFmtId="0" fontId="4" fillId="43" borderId="18" xfId="0" applyFont="1" applyFill="1" applyBorder="1" applyAlignment="1">
      <alignment horizontal="center" vertical="top" wrapText="1"/>
    </xf>
    <xf numFmtId="0" fontId="4" fillId="43" borderId="19" xfId="0" applyFont="1" applyFill="1" applyBorder="1" applyAlignment="1">
      <alignment horizontal="center" vertical="top" wrapText="1"/>
    </xf>
    <xf numFmtId="0" fontId="4" fillId="44" borderId="61" xfId="0" applyFont="1" applyFill="1" applyBorder="1" applyAlignment="1">
      <alignment horizontal="center" vertical="top" wrapText="1"/>
    </xf>
    <xf numFmtId="49" fontId="4" fillId="44" borderId="18" xfId="0" applyNumberFormat="1" applyFont="1" applyFill="1" applyBorder="1" applyAlignment="1">
      <alignment horizontal="left" vertical="top" wrapText="1"/>
    </xf>
    <xf numFmtId="49" fontId="4" fillId="44" borderId="71" xfId="0" applyNumberFormat="1" applyFont="1" applyFill="1" applyBorder="1" applyAlignment="1">
      <alignment horizontal="center" vertical="top" wrapText="1"/>
    </xf>
    <xf numFmtId="3" fontId="4" fillId="44" borderId="18" xfId="0" applyNumberFormat="1" applyFont="1" applyFill="1" applyBorder="1" applyAlignment="1">
      <alignment horizontal="right" vertical="top" wrapText="1"/>
    </xf>
    <xf numFmtId="49" fontId="4" fillId="44" borderId="18" xfId="0" applyNumberFormat="1" applyFont="1" applyFill="1" applyBorder="1" applyAlignment="1">
      <alignment horizontal="center" vertical="top" wrapText="1"/>
    </xf>
    <xf numFmtId="3" fontId="4" fillId="44" borderId="71" xfId="0" applyNumberFormat="1" applyFont="1" applyFill="1" applyBorder="1" applyAlignment="1">
      <alignment horizontal="right" vertical="top" wrapText="1"/>
    </xf>
    <xf numFmtId="10" fontId="4" fillId="44" borderId="71" xfId="0" applyNumberFormat="1" applyFont="1" applyFill="1" applyBorder="1" applyAlignment="1">
      <alignment horizontal="center" vertical="top" wrapText="1"/>
    </xf>
    <xf numFmtId="49" fontId="4" fillId="44" borderId="61" xfId="0" applyNumberFormat="1" applyFont="1" applyFill="1" applyBorder="1" applyAlignment="1">
      <alignment horizontal="left" vertical="top" wrapText="1"/>
    </xf>
    <xf numFmtId="3" fontId="4" fillId="44" borderId="61" xfId="0" applyNumberFormat="1" applyFont="1" applyFill="1" applyBorder="1" applyAlignment="1">
      <alignment horizontal="right" vertical="top" wrapText="1"/>
    </xf>
    <xf numFmtId="49" fontId="4" fillId="44" borderId="61" xfId="0" applyNumberFormat="1" applyFont="1" applyFill="1" applyBorder="1" applyAlignment="1">
      <alignment horizontal="center" vertical="top" wrapText="1"/>
    </xf>
    <xf numFmtId="49" fontId="4" fillId="0" borderId="61" xfId="0" applyNumberFormat="1" applyFont="1" applyFill="1" applyBorder="1" applyAlignment="1">
      <alignment horizontal="left" vertical="top" wrapText="1"/>
    </xf>
    <xf numFmtId="49" fontId="4" fillId="0" borderId="71" xfId="0" applyNumberFormat="1" applyFont="1" applyFill="1" applyBorder="1" applyAlignment="1">
      <alignment horizontal="center" vertical="top" wrapText="1"/>
    </xf>
    <xf numFmtId="3" fontId="4" fillId="0" borderId="61" xfId="0" applyNumberFormat="1" applyFont="1" applyFill="1" applyBorder="1" applyAlignment="1">
      <alignment horizontal="right" vertical="top" wrapText="1"/>
    </xf>
    <xf numFmtId="49" fontId="4" fillId="0" borderId="61" xfId="0" applyNumberFormat="1" applyFont="1" applyFill="1" applyBorder="1" applyAlignment="1">
      <alignment horizontal="center" vertical="top" wrapText="1"/>
    </xf>
    <xf numFmtId="3" fontId="4" fillId="0" borderId="71" xfId="0" applyNumberFormat="1" applyFont="1" applyFill="1" applyBorder="1" applyAlignment="1">
      <alignment horizontal="right" vertical="top" wrapText="1"/>
    </xf>
    <xf numFmtId="49" fontId="4" fillId="0" borderId="18" xfId="0" applyNumberFormat="1" applyFont="1" applyFill="1" applyBorder="1" applyAlignment="1">
      <alignment horizontal="left" vertical="top" wrapText="1"/>
    </xf>
    <xf numFmtId="49" fontId="4" fillId="0" borderId="18"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3" fontId="4" fillId="0" borderId="18" xfId="0" applyNumberFormat="1" applyFont="1" applyFill="1" applyBorder="1" applyAlignment="1">
      <alignment horizontal="right" vertical="top" wrapText="1"/>
    </xf>
    <xf numFmtId="3" fontId="4" fillId="0" borderId="19" xfId="0" applyNumberFormat="1" applyFont="1" applyFill="1" applyBorder="1" applyAlignment="1">
      <alignment horizontal="right" vertical="top" wrapText="1"/>
    </xf>
    <xf numFmtId="10" fontId="4" fillId="0" borderId="19" xfId="0" applyNumberFormat="1" applyFont="1" applyFill="1" applyBorder="1" applyAlignment="1">
      <alignment horizontal="center" vertical="top" wrapText="1"/>
    </xf>
    <xf numFmtId="0" fontId="4" fillId="44" borderId="18" xfId="0" applyFont="1" applyFill="1" applyBorder="1" applyAlignment="1">
      <alignment horizontal="center" vertical="top" wrapText="1"/>
    </xf>
    <xf numFmtId="0" fontId="4" fillId="44" borderId="72" xfId="0" applyFont="1" applyFill="1" applyBorder="1" applyAlignment="1">
      <alignment horizontal="justify" vertical="top" wrapText="1"/>
    </xf>
    <xf numFmtId="49" fontId="4" fillId="44" borderId="19" xfId="0" applyNumberFormat="1" applyFont="1" applyFill="1" applyBorder="1" applyAlignment="1">
      <alignment horizontal="justify" vertical="top" wrapText="1"/>
    </xf>
    <xf numFmtId="10" fontId="4" fillId="44" borderId="19" xfId="0" applyNumberFormat="1" applyFont="1" applyFill="1" applyBorder="1" applyAlignment="1">
      <alignment horizontal="center" vertical="top" wrapText="1"/>
    </xf>
    <xf numFmtId="0" fontId="144" fillId="0" borderId="0" xfId="0" applyFont="1" applyAlignment="1">
      <alignment/>
    </xf>
    <xf numFmtId="0" fontId="106" fillId="0" borderId="0" xfId="0" applyFont="1" applyAlignment="1">
      <alignment/>
    </xf>
    <xf numFmtId="0" fontId="106" fillId="0" borderId="14" xfId="0" applyFont="1" applyBorder="1" applyAlignment="1">
      <alignment/>
    </xf>
    <xf numFmtId="3" fontId="0" fillId="38" borderId="10" xfId="0" applyNumberFormat="1" applyFill="1" applyBorder="1" applyAlignment="1">
      <alignment horizontal="center"/>
    </xf>
    <xf numFmtId="10" fontId="124"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3" fontId="16" fillId="38" borderId="0" xfId="0" applyNumberFormat="1" applyFont="1" applyFill="1" applyAlignment="1">
      <alignment/>
    </xf>
    <xf numFmtId="0" fontId="0" fillId="0" borderId="0" xfId="0" applyAlignment="1">
      <alignment/>
    </xf>
    <xf numFmtId="0" fontId="0" fillId="38" borderId="0" xfId="0" applyFill="1" applyAlignment="1">
      <alignment horizontal="center"/>
    </xf>
    <xf numFmtId="3" fontId="2" fillId="38" borderId="0" xfId="0" applyNumberFormat="1" applyFont="1" applyFill="1" applyAlignment="1">
      <alignment horizontal="center"/>
    </xf>
    <xf numFmtId="0" fontId="101" fillId="33" borderId="0" xfId="0" applyFont="1" applyFill="1" applyAlignment="1">
      <alignment horizontal="center"/>
    </xf>
    <xf numFmtId="3" fontId="0" fillId="0" borderId="0" xfId="0" applyNumberFormat="1" applyFont="1" applyFill="1" applyAlignment="1">
      <alignment horizontal="center"/>
    </xf>
    <xf numFmtId="180" fontId="101" fillId="0" borderId="0" xfId="0" applyNumberFormat="1" applyFont="1" applyAlignment="1">
      <alignment horizontal="center"/>
    </xf>
    <xf numFmtId="3" fontId="102" fillId="33" borderId="0" xfId="0" applyNumberFormat="1" applyFont="1" applyFill="1" applyAlignment="1">
      <alignment/>
    </xf>
    <xf numFmtId="3" fontId="100" fillId="0" borderId="0" xfId="0" applyNumberFormat="1" applyFont="1" applyFill="1" applyAlignment="1">
      <alignment horizontal="center"/>
    </xf>
    <xf numFmtId="0" fontId="0" fillId="0" borderId="0" xfId="0" applyFont="1" applyFill="1" applyAlignment="1">
      <alignment horizontal="center"/>
    </xf>
    <xf numFmtId="3" fontId="0" fillId="38" borderId="12" xfId="0" applyNumberFormat="1" applyFont="1" applyFill="1" applyBorder="1" applyAlignment="1">
      <alignment horizontal="center"/>
    </xf>
    <xf numFmtId="0" fontId="96" fillId="38" borderId="0" xfId="0" applyFont="1" applyFill="1" applyAlignment="1">
      <alignment horizontal="center"/>
    </xf>
    <xf numFmtId="3" fontId="16" fillId="0" borderId="0" xfId="0" applyNumberFormat="1" applyFont="1" applyAlignment="1">
      <alignment horizontal="center"/>
    </xf>
    <xf numFmtId="0" fontId="0" fillId="0" borderId="0" xfId="0" applyAlignment="1">
      <alignment/>
    </xf>
    <xf numFmtId="0" fontId="0" fillId="0" borderId="0" xfId="0" applyAlignment="1">
      <alignment/>
    </xf>
    <xf numFmtId="0" fontId="135" fillId="0" borderId="0" xfId="0" applyFont="1" applyAlignment="1">
      <alignment/>
    </xf>
    <xf numFmtId="174" fontId="101" fillId="33" borderId="0" xfId="0" applyNumberFormat="1" applyFont="1" applyFill="1" applyAlignment="1">
      <alignment/>
    </xf>
    <xf numFmtId="3" fontId="101" fillId="33" borderId="0" xfId="0" applyNumberFormat="1" applyFont="1" applyFill="1" applyAlignment="1">
      <alignment/>
    </xf>
    <xf numFmtId="10" fontId="101" fillId="0" borderId="38" xfId="172" applyNumberFormat="1" applyFont="1" applyFill="1" applyBorder="1" applyAlignment="1">
      <alignment horizontal="center"/>
    </xf>
    <xf numFmtId="17" fontId="100" fillId="0" borderId="0" xfId="0" applyNumberFormat="1" applyFont="1" applyAlignment="1">
      <alignment horizontal="left"/>
    </xf>
    <xf numFmtId="0" fontId="0" fillId="0" borderId="18" xfId="0" applyBorder="1" applyAlignment="1">
      <alignment/>
    </xf>
    <xf numFmtId="0" fontId="0" fillId="0" borderId="19" xfId="0" applyBorder="1" applyAlignment="1">
      <alignment/>
    </xf>
    <xf numFmtId="0" fontId="143" fillId="33" borderId="60" xfId="0" applyFont="1" applyFill="1" applyBorder="1" applyAlignment="1">
      <alignment horizontal="center" vertical="center"/>
    </xf>
    <xf numFmtId="0" fontId="143" fillId="33" borderId="66" xfId="0" applyFont="1" applyFill="1" applyBorder="1" applyAlignment="1">
      <alignment horizontal="center" vertical="center"/>
    </xf>
    <xf numFmtId="9" fontId="143" fillId="33" borderId="66" xfId="0" applyNumberFormat="1" applyFont="1" applyFill="1" applyBorder="1" applyAlignment="1">
      <alignment horizontal="center" vertical="center"/>
    </xf>
    <xf numFmtId="0" fontId="143" fillId="44" borderId="60" xfId="0" applyFont="1" applyFill="1" applyBorder="1" applyAlignment="1">
      <alignment horizontal="center" vertical="center"/>
    </xf>
    <xf numFmtId="9" fontId="143" fillId="44" borderId="66" xfId="0" applyNumberFormat="1" applyFont="1" applyFill="1" applyBorder="1" applyAlignment="1">
      <alignment horizontal="center" vertical="center"/>
    </xf>
    <xf numFmtId="0" fontId="143" fillId="44" borderId="61" xfId="0" applyFont="1" applyFill="1" applyBorder="1" applyAlignment="1">
      <alignment horizontal="center" vertical="center"/>
    </xf>
    <xf numFmtId="9" fontId="143" fillId="44" borderId="71" xfId="0" applyNumberFormat="1" applyFont="1" applyFill="1" applyBorder="1" applyAlignment="1">
      <alignment horizontal="center" vertical="center"/>
    </xf>
    <xf numFmtId="0" fontId="0" fillId="0" borderId="0" xfId="0" applyAlignment="1">
      <alignment/>
    </xf>
    <xf numFmtId="10" fontId="100" fillId="0" borderId="0" xfId="0" applyNumberFormat="1" applyFont="1" applyFill="1" applyAlignment="1">
      <alignment/>
    </xf>
    <xf numFmtId="181" fontId="101" fillId="0" borderId="38" xfId="172" applyNumberFormat="1" applyFont="1" applyFill="1" applyBorder="1" applyAlignment="1">
      <alignment horizontal="center"/>
    </xf>
    <xf numFmtId="0" fontId="0" fillId="0" borderId="0" xfId="0" applyAlignment="1">
      <alignment/>
    </xf>
    <xf numFmtId="3" fontId="4" fillId="0" borderId="54" xfId="52" applyNumberFormat="1" applyFont="1" applyFill="1" applyBorder="1" applyAlignment="1">
      <alignment horizontal="center"/>
    </xf>
    <xf numFmtId="0" fontId="11" fillId="0" borderId="30" xfId="0" applyFont="1" applyFill="1" applyBorder="1" applyAlignment="1">
      <alignment vertical="center" wrapText="1"/>
    </xf>
    <xf numFmtId="3" fontId="11" fillId="0" borderId="56" xfId="0" applyNumberFormat="1" applyFont="1" applyFill="1" applyBorder="1" applyAlignment="1">
      <alignment horizontal="center" vertical="center" wrapText="1"/>
    </xf>
    <xf numFmtId="3" fontId="0" fillId="0" borderId="0" xfId="0" applyNumberFormat="1" applyBorder="1" applyAlignment="1">
      <alignment/>
    </xf>
    <xf numFmtId="0" fontId="0" fillId="33" borderId="0" xfId="0" applyFill="1" applyAlignment="1">
      <alignment horizontal="center"/>
    </xf>
    <xf numFmtId="0" fontId="114" fillId="35" borderId="0" xfId="0" applyFont="1" applyFill="1" applyAlignment="1">
      <alignment horizontal="center" vertical="center"/>
    </xf>
    <xf numFmtId="41" fontId="105" fillId="33" borderId="0" xfId="0" applyNumberFormat="1" applyFont="1" applyFill="1" applyAlignment="1">
      <alignment/>
    </xf>
    <xf numFmtId="173" fontId="105" fillId="33" borderId="0" xfId="0" applyNumberFormat="1" applyFont="1" applyFill="1" applyAlignment="1">
      <alignment/>
    </xf>
    <xf numFmtId="10" fontId="100" fillId="33" borderId="0" xfId="0" applyNumberFormat="1" applyFont="1" applyFill="1" applyAlignment="1">
      <alignment/>
    </xf>
    <xf numFmtId="3" fontId="100" fillId="33" borderId="0" xfId="0" applyNumberFormat="1" applyFont="1" applyFill="1" applyAlignment="1">
      <alignment/>
    </xf>
    <xf numFmtId="3" fontId="2" fillId="38" borderId="0" xfId="0" applyNumberFormat="1" applyFont="1" applyFill="1" applyAlignment="1">
      <alignment/>
    </xf>
    <xf numFmtId="0" fontId="0" fillId="0" borderId="0" xfId="0" applyAlignment="1">
      <alignment vertical="center"/>
    </xf>
    <xf numFmtId="0" fontId="0" fillId="0" borderId="0" xfId="0" applyAlignment="1">
      <alignment vertical="center" wrapText="1"/>
    </xf>
    <xf numFmtId="0" fontId="102" fillId="0" borderId="33" xfId="0" applyFont="1" applyFill="1" applyBorder="1" applyAlignment="1">
      <alignment vertical="center"/>
    </xf>
    <xf numFmtId="0" fontId="102" fillId="0" borderId="10" xfId="0" applyFont="1" applyFill="1" applyBorder="1" applyAlignment="1">
      <alignment horizontal="center" vertical="center" wrapText="1"/>
    </xf>
    <xf numFmtId="0" fontId="101" fillId="0" borderId="11" xfId="0" applyFont="1" applyFill="1" applyBorder="1" applyAlignment="1">
      <alignment/>
    </xf>
    <xf numFmtId="0" fontId="101" fillId="0" borderId="32" xfId="0" applyFont="1" applyFill="1" applyBorder="1" applyAlignment="1">
      <alignment/>
    </xf>
    <xf numFmtId="0" fontId="134" fillId="0" borderId="11" xfId="0" applyFont="1" applyFill="1" applyBorder="1" applyAlignment="1">
      <alignment/>
    </xf>
    <xf numFmtId="0" fontId="101" fillId="0" borderId="10" xfId="0" applyFont="1" applyFill="1" applyBorder="1" applyAlignment="1">
      <alignment/>
    </xf>
    <xf numFmtId="174" fontId="101" fillId="0" borderId="16" xfId="52" applyNumberFormat="1" applyFont="1" applyFill="1" applyBorder="1" applyAlignment="1">
      <alignment/>
    </xf>
    <xf numFmtId="0" fontId="101" fillId="0" borderId="10" xfId="0" applyFont="1" applyFill="1" applyBorder="1" applyAlignment="1">
      <alignment wrapText="1"/>
    </xf>
    <xf numFmtId="0" fontId="2" fillId="0" borderId="10" xfId="0" applyFont="1" applyFill="1" applyBorder="1" applyAlignment="1">
      <alignment/>
    </xf>
    <xf numFmtId="175" fontId="2" fillId="0" borderId="10" xfId="52" applyNumberFormat="1" applyFont="1" applyFill="1" applyBorder="1" applyAlignment="1">
      <alignment/>
    </xf>
    <xf numFmtId="0" fontId="101" fillId="0" borderId="11" xfId="0" applyFont="1" applyFill="1" applyBorder="1" applyAlignment="1">
      <alignment/>
    </xf>
    <xf numFmtId="0" fontId="101" fillId="0" borderId="16" xfId="0" applyFont="1" applyFill="1" applyBorder="1" applyAlignment="1">
      <alignment/>
    </xf>
    <xf numFmtId="0" fontId="2" fillId="0" borderId="10" xfId="0" applyFont="1" applyFill="1" applyBorder="1" applyAlignment="1">
      <alignment wrapText="1"/>
    </xf>
    <xf numFmtId="174" fontId="101" fillId="0" borderId="11" xfId="52" applyNumberFormat="1" applyFont="1" applyFill="1" applyBorder="1" applyAlignment="1">
      <alignment vertical="center"/>
    </xf>
    <xf numFmtId="1" fontId="2" fillId="33" borderId="0" xfId="52" applyNumberFormat="1" applyFont="1" applyFill="1" applyAlignment="1">
      <alignment horizontal="center"/>
    </xf>
    <xf numFmtId="1" fontId="2" fillId="33" borderId="0" xfId="69" applyNumberFormat="1" applyFont="1" applyFill="1" applyAlignment="1">
      <alignment horizontal="center"/>
    </xf>
    <xf numFmtId="1" fontId="2" fillId="33" borderId="54" xfId="52" applyNumberFormat="1" applyFont="1" applyFill="1" applyBorder="1" applyAlignment="1">
      <alignment horizontal="center"/>
    </xf>
    <xf numFmtId="0" fontId="0" fillId="0" borderId="32" xfId="0" applyFill="1" applyBorder="1" applyAlignment="1">
      <alignment vertical="center" wrapText="1"/>
    </xf>
    <xf numFmtId="3" fontId="0" fillId="0" borderId="10" xfId="0" applyNumberFormat="1" applyFill="1" applyBorder="1" applyAlignment="1">
      <alignment horizontal="center"/>
    </xf>
    <xf numFmtId="0" fontId="133" fillId="0" borderId="10" xfId="0" applyFont="1" applyFill="1" applyBorder="1" applyAlignment="1">
      <alignment horizontal="center" vertical="center" wrapText="1"/>
    </xf>
    <xf numFmtId="3" fontId="3" fillId="0" borderId="73" xfId="0" applyNumberFormat="1" applyFont="1" applyBorder="1" applyAlignment="1">
      <alignment horizontal="center" vertical="center" wrapText="1"/>
    </xf>
    <xf numFmtId="3" fontId="17" fillId="38" borderId="0" xfId="0" applyNumberFormat="1" applyFont="1" applyFill="1" applyAlignment="1">
      <alignment horizontal="center"/>
    </xf>
    <xf numFmtId="14" fontId="2" fillId="0" borderId="0" xfId="113" applyNumberFormat="1" applyBorder="1" applyAlignment="1">
      <alignment horizontal="center"/>
      <protection/>
    </xf>
    <xf numFmtId="3" fontId="2" fillId="0" borderId="0" xfId="113" applyNumberFormat="1" applyBorder="1" applyAlignment="1">
      <alignment horizontal="center"/>
      <protection/>
    </xf>
    <xf numFmtId="3" fontId="2" fillId="0" borderId="0" xfId="113" applyNumberFormat="1" applyFont="1" applyBorder="1" applyAlignment="1">
      <alignment horizontal="center"/>
      <protection/>
    </xf>
    <xf numFmtId="0" fontId="0" fillId="0" borderId="0" xfId="0" applyAlignment="1">
      <alignment/>
    </xf>
    <xf numFmtId="3" fontId="101" fillId="0" borderId="0" xfId="0" applyNumberFormat="1" applyFont="1" applyFill="1" applyAlignment="1">
      <alignment horizontal="center"/>
    </xf>
    <xf numFmtId="0" fontId="0" fillId="0" borderId="0" xfId="0" applyAlignment="1">
      <alignment/>
    </xf>
    <xf numFmtId="173" fontId="4" fillId="33" borderId="54" xfId="63" applyNumberFormat="1" applyFont="1" applyFill="1" applyBorder="1" applyAlignment="1">
      <alignment/>
    </xf>
    <xf numFmtId="41" fontId="102" fillId="33" borderId="0" xfId="0" applyNumberFormat="1" applyFont="1" applyFill="1" applyBorder="1" applyAlignment="1">
      <alignment/>
    </xf>
    <xf numFmtId="173" fontId="4" fillId="33" borderId="0" xfId="106" applyNumberFormat="1" applyFont="1" applyFill="1" applyBorder="1" applyAlignment="1">
      <alignment/>
      <protection/>
    </xf>
    <xf numFmtId="0" fontId="0" fillId="0" borderId="0" xfId="0" applyAlignment="1">
      <alignment/>
    </xf>
    <xf numFmtId="0" fontId="0" fillId="0" borderId="0" xfId="0" applyAlignment="1">
      <alignment/>
    </xf>
    <xf numFmtId="175" fontId="3" fillId="37" borderId="10" xfId="73" applyNumberFormat="1" applyFont="1" applyFill="1" applyBorder="1" applyAlignment="1">
      <alignment/>
    </xf>
    <xf numFmtId="3" fontId="3" fillId="37" borderId="10" xfId="73" applyNumberFormat="1" applyFont="1" applyFill="1" applyBorder="1" applyAlignment="1">
      <alignment/>
    </xf>
    <xf numFmtId="3" fontId="3" fillId="0" borderId="35" xfId="73" applyNumberFormat="1" applyFont="1" applyFill="1" applyBorder="1" applyAlignment="1">
      <alignment horizontal="center"/>
    </xf>
    <xf numFmtId="3" fontId="11" fillId="0" borderId="35" xfId="73" applyNumberFormat="1" applyFont="1" applyFill="1" applyBorder="1" applyAlignment="1">
      <alignment/>
    </xf>
    <xf numFmtId="3" fontId="3" fillId="0" borderId="13" xfId="73" applyNumberFormat="1" applyFont="1" applyFill="1" applyBorder="1" applyAlignment="1">
      <alignment horizontal="center"/>
    </xf>
    <xf numFmtId="3" fontId="11" fillId="0" borderId="35" xfId="73" applyNumberFormat="1" applyFont="1" applyFill="1" applyBorder="1" applyAlignment="1">
      <alignment horizontal="center"/>
    </xf>
    <xf numFmtId="3" fontId="11" fillId="0" borderId="14" xfId="73" applyNumberFormat="1" applyFont="1" applyFill="1" applyBorder="1" applyAlignment="1">
      <alignment/>
    </xf>
    <xf numFmtId="3" fontId="11" fillId="0" borderId="13" xfId="73" applyNumberFormat="1" applyFont="1" applyFill="1" applyBorder="1" applyAlignment="1">
      <alignment horizontal="center"/>
    </xf>
    <xf numFmtId="175" fontId="3" fillId="38" borderId="35" xfId="73" applyNumberFormat="1" applyFont="1" applyFill="1" applyBorder="1" applyAlignment="1">
      <alignment/>
    </xf>
    <xf numFmtId="3" fontId="102" fillId="33" borderId="0" xfId="0" applyNumberFormat="1" applyFont="1" applyFill="1" applyAlignment="1">
      <alignment horizontal="center"/>
    </xf>
    <xf numFmtId="3" fontId="105" fillId="33" borderId="0" xfId="0" applyNumberFormat="1" applyFont="1" applyFill="1" applyAlignment="1">
      <alignment/>
    </xf>
    <xf numFmtId="180" fontId="0" fillId="33" borderId="0" xfId="53" applyNumberFormat="1" applyFont="1" applyFill="1" applyBorder="1" applyAlignment="1">
      <alignment horizontal="center"/>
    </xf>
    <xf numFmtId="0" fontId="103" fillId="38" borderId="0" xfId="0" applyFont="1" applyFill="1" applyBorder="1" applyAlignment="1">
      <alignment/>
    </xf>
    <xf numFmtId="3" fontId="16" fillId="38" borderId="0" xfId="0" applyNumberFormat="1" applyFont="1" applyFill="1" applyAlignment="1">
      <alignment horizontal="center"/>
    </xf>
    <xf numFmtId="3" fontId="0" fillId="0" borderId="0" xfId="0" applyNumberFormat="1" applyAlignment="1">
      <alignment horizontal="center"/>
    </xf>
    <xf numFmtId="3" fontId="101" fillId="0" borderId="0" xfId="0" applyNumberFormat="1" applyFont="1" applyFill="1" applyAlignment="1">
      <alignment horizontal="center"/>
    </xf>
    <xf numFmtId="3" fontId="101" fillId="38" borderId="0" xfId="0" applyNumberFormat="1" applyFont="1" applyFill="1" applyAlignment="1">
      <alignment vertical="top" wrapText="1"/>
    </xf>
    <xf numFmtId="3" fontId="11" fillId="0" borderId="55" xfId="0" applyNumberFormat="1" applyFont="1" applyFill="1" applyBorder="1" applyAlignment="1">
      <alignment horizontal="center" vertical="center" wrapText="1"/>
    </xf>
    <xf numFmtId="10" fontId="4" fillId="0" borderId="18" xfId="0" applyNumberFormat="1" applyFont="1" applyFill="1" applyBorder="1" applyAlignment="1">
      <alignment horizontal="center" vertical="top" wrapText="1"/>
    </xf>
    <xf numFmtId="3" fontId="101" fillId="0" borderId="0" xfId="0" applyNumberFormat="1" applyFont="1" applyFill="1" applyAlignment="1">
      <alignment/>
    </xf>
    <xf numFmtId="0" fontId="106" fillId="33" borderId="0" xfId="0" applyFont="1" applyFill="1" applyBorder="1" applyAlignment="1">
      <alignment/>
    </xf>
    <xf numFmtId="0" fontId="144" fillId="33" borderId="0" xfId="0" applyFont="1" applyFill="1" applyBorder="1" applyAlignment="1">
      <alignment/>
    </xf>
    <xf numFmtId="0" fontId="100" fillId="45" borderId="0" xfId="0" applyFont="1" applyFill="1" applyAlignment="1">
      <alignment/>
    </xf>
    <xf numFmtId="3" fontId="0" fillId="33" borderId="18" xfId="0" applyNumberFormat="1" applyFill="1" applyBorder="1" applyAlignment="1">
      <alignment/>
    </xf>
    <xf numFmtId="187" fontId="0" fillId="0" borderId="0" xfId="0" applyNumberFormat="1" applyAlignment="1">
      <alignment/>
    </xf>
    <xf numFmtId="10" fontId="0" fillId="0" borderId="0" xfId="0" applyNumberFormat="1" applyAlignment="1">
      <alignment/>
    </xf>
    <xf numFmtId="4" fontId="0" fillId="33" borderId="0" xfId="0" applyNumberFormat="1" applyFill="1" applyAlignment="1">
      <alignment/>
    </xf>
    <xf numFmtId="3" fontId="134" fillId="33" borderId="0" xfId="0" applyNumberFormat="1" applyFont="1" applyFill="1" applyAlignment="1">
      <alignment/>
    </xf>
    <xf numFmtId="3" fontId="101" fillId="45" borderId="0" xfId="0" applyNumberFormat="1" applyFont="1" applyFill="1" applyAlignment="1">
      <alignment/>
    </xf>
    <xf numFmtId="3" fontId="0" fillId="45" borderId="0" xfId="0" applyNumberFormat="1" applyFill="1" applyAlignment="1">
      <alignment/>
    </xf>
    <xf numFmtId="0" fontId="0" fillId="0" borderId="0" xfId="114" applyFont="1">
      <alignment/>
      <protection/>
    </xf>
    <xf numFmtId="0" fontId="0" fillId="0" borderId="12" xfId="0" applyFill="1" applyBorder="1" applyAlignment="1">
      <alignment/>
    </xf>
    <xf numFmtId="3" fontId="0" fillId="0" borderId="12" xfId="0" applyNumberFormat="1" applyFill="1" applyBorder="1" applyAlignment="1">
      <alignment horizontal="center"/>
    </xf>
    <xf numFmtId="0" fontId="16" fillId="0" borderId="0" xfId="0" applyFont="1" applyFill="1" applyAlignment="1">
      <alignment horizontal="center" wrapText="1"/>
    </xf>
    <xf numFmtId="3" fontId="16" fillId="0" borderId="0" xfId="0" applyNumberFormat="1" applyFont="1" applyFill="1" applyAlignment="1">
      <alignment horizontal="center"/>
    </xf>
    <xf numFmtId="3" fontId="16" fillId="0" borderId="0" xfId="0" applyNumberFormat="1" applyFont="1" applyFill="1" applyAlignment="1">
      <alignment horizontal="center" wrapText="1"/>
    </xf>
    <xf numFmtId="0" fontId="20" fillId="0" borderId="10" xfId="169" applyFont="1" applyFill="1" applyBorder="1">
      <alignment/>
      <protection/>
    </xf>
    <xf numFmtId="10" fontId="124" fillId="0" borderId="10" xfId="0" applyNumberFormat="1" applyFont="1" applyFill="1" applyBorder="1" applyAlignment="1">
      <alignment horizontal="center" vertical="center" wrapText="1"/>
    </xf>
    <xf numFmtId="0" fontId="4" fillId="0" borderId="0" xfId="0" applyFont="1" applyFill="1" applyAlignment="1">
      <alignment horizontal="left" vertical="center"/>
    </xf>
    <xf numFmtId="0" fontId="0" fillId="0" borderId="0" xfId="0" applyAlignment="1">
      <alignment/>
    </xf>
    <xf numFmtId="0" fontId="121" fillId="35"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xf>
    <xf numFmtId="3" fontId="4" fillId="0" borderId="0" xfId="0" applyNumberFormat="1" applyFont="1" applyFill="1" applyAlignment="1">
      <alignment horizontal="center"/>
    </xf>
    <xf numFmtId="0" fontId="8" fillId="0" borderId="0" xfId="0" applyFont="1" applyFill="1" applyAlignment="1">
      <alignment horizontal="left" vertical="center"/>
    </xf>
    <xf numFmtId="173" fontId="147" fillId="0" borderId="0" xfId="52" applyNumberFormat="1" applyFont="1" applyFill="1" applyAlignment="1">
      <alignment horizontal="center"/>
    </xf>
    <xf numFmtId="173" fontId="109" fillId="0" borderId="0" xfId="52" applyNumberFormat="1" applyFont="1" applyFill="1" applyAlignment="1">
      <alignment horizontal="center"/>
    </xf>
    <xf numFmtId="3" fontId="109" fillId="0" borderId="0" xfId="52" applyNumberFormat="1" applyFont="1" applyFill="1" applyAlignment="1">
      <alignment horizontal="center"/>
    </xf>
    <xf numFmtId="0" fontId="101" fillId="0" borderId="0" xfId="0" applyFont="1" applyFill="1" applyAlignment="1">
      <alignment horizontal="left"/>
    </xf>
    <xf numFmtId="0" fontId="121" fillId="35" borderId="0" xfId="0" applyFont="1" applyFill="1" applyAlignment="1">
      <alignment horizontal="left"/>
    </xf>
    <xf numFmtId="0" fontId="0" fillId="0" borderId="0" xfId="0" applyAlignment="1">
      <alignment horizontal="left"/>
    </xf>
    <xf numFmtId="3" fontId="101" fillId="0" borderId="0" xfId="0" applyNumberFormat="1" applyFont="1" applyFill="1" applyAlignment="1">
      <alignment horizontal="center"/>
    </xf>
    <xf numFmtId="0" fontId="101" fillId="0" borderId="0" xfId="0" applyFont="1" applyFill="1" applyAlignment="1">
      <alignment horizontal="center"/>
    </xf>
    <xf numFmtId="0" fontId="114" fillId="35" borderId="0" xfId="0" applyFont="1" applyFill="1" applyAlignment="1">
      <alignment horizontal="center" vertical="center" wrapText="1"/>
    </xf>
    <xf numFmtId="173" fontId="114" fillId="35" borderId="0" xfId="52" applyNumberFormat="1" applyFont="1" applyFill="1" applyAlignment="1">
      <alignment horizontal="center" vertical="center" wrapText="1"/>
    </xf>
    <xf numFmtId="173" fontId="114" fillId="35" borderId="12" xfId="52" applyNumberFormat="1" applyFont="1" applyFill="1" applyBorder="1" applyAlignment="1">
      <alignment horizontal="center" vertical="center" wrapText="1"/>
    </xf>
    <xf numFmtId="0" fontId="106" fillId="0" borderId="0" xfId="0" applyFont="1" applyAlignment="1">
      <alignment horizontal="center"/>
    </xf>
    <xf numFmtId="0" fontId="114" fillId="0" borderId="0" xfId="0" applyFont="1" applyFill="1" applyAlignment="1">
      <alignment horizontal="center" vertical="center" wrapText="1"/>
    </xf>
    <xf numFmtId="0" fontId="106"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49" fontId="106" fillId="0" borderId="0" xfId="0" applyNumberFormat="1" applyFont="1" applyAlignment="1">
      <alignment horizontal="justify" vertical="center" wrapText="1"/>
    </xf>
    <xf numFmtId="49" fontId="106" fillId="0" borderId="0" xfId="0" applyNumberFormat="1" applyFont="1" applyAlignment="1">
      <alignment wrapText="1"/>
    </xf>
    <xf numFmtId="49" fontId="106" fillId="0" borderId="0" xfId="0" applyNumberFormat="1" applyFont="1" applyAlignment="1">
      <alignment horizontal="left" wrapText="1"/>
    </xf>
    <xf numFmtId="0" fontId="4" fillId="0" borderId="58" xfId="0" applyFont="1" applyBorder="1" applyAlignment="1">
      <alignment horizontal="center" vertical="top" wrapText="1"/>
    </xf>
    <xf numFmtId="0" fontId="4" fillId="0" borderId="72" xfId="0" applyFont="1" applyBorder="1" applyAlignment="1">
      <alignment horizontal="center" vertical="top" wrapText="1"/>
    </xf>
    <xf numFmtId="0" fontId="4" fillId="0" borderId="19" xfId="0" applyFont="1" applyBorder="1" applyAlignment="1">
      <alignment horizontal="center" vertical="top" wrapText="1"/>
    </xf>
    <xf numFmtId="0" fontId="101" fillId="0" borderId="0" xfId="0" applyFont="1" applyBorder="1" applyAlignment="1">
      <alignment horizontal="center" vertical="center"/>
    </xf>
    <xf numFmtId="0" fontId="102" fillId="0" borderId="0" xfId="0" applyFont="1" applyAlignment="1">
      <alignment horizontal="left" vertical="center"/>
    </xf>
    <xf numFmtId="0" fontId="106" fillId="0" borderId="0" xfId="0" applyFont="1" applyAlignment="1">
      <alignment wrapText="1"/>
    </xf>
    <xf numFmtId="0" fontId="13" fillId="0" borderId="0" xfId="0" applyFont="1" applyBorder="1" applyAlignment="1">
      <alignment horizontal="justify" vertical="justify" wrapText="1"/>
    </xf>
    <xf numFmtId="0" fontId="0" fillId="0" borderId="0" xfId="0" applyAlignment="1">
      <alignment horizontal="center" vertical="center" wrapText="1"/>
    </xf>
    <xf numFmtId="0" fontId="106" fillId="0" borderId="0" xfId="0" applyFont="1" applyBorder="1" applyAlignment="1">
      <alignment horizontal="left" wrapText="1"/>
    </xf>
    <xf numFmtId="0" fontId="4" fillId="0" borderId="72" xfId="0" applyFont="1" applyBorder="1" applyAlignment="1">
      <alignment horizontal="justify" vertical="top" wrapText="1"/>
    </xf>
    <xf numFmtId="0" fontId="4" fillId="0" borderId="0" xfId="0" applyFont="1" applyBorder="1" applyAlignment="1">
      <alignment horizontal="justify" vertical="top" wrapText="1"/>
    </xf>
    <xf numFmtId="0" fontId="100" fillId="0" borderId="58" xfId="0" applyFont="1" applyBorder="1" applyAlignment="1">
      <alignment horizontal="center"/>
    </xf>
    <xf numFmtId="0" fontId="100" fillId="0" borderId="72" xfId="0" applyFont="1" applyBorder="1" applyAlignment="1">
      <alignment horizontal="center"/>
    </xf>
    <xf numFmtId="0" fontId="100" fillId="0" borderId="19" xfId="0" applyFont="1" applyBorder="1" applyAlignment="1">
      <alignment horizontal="center"/>
    </xf>
    <xf numFmtId="0" fontId="101" fillId="0" borderId="0" xfId="0" applyFont="1" applyFill="1" applyAlignment="1">
      <alignment horizontal="left" vertical="justify" wrapText="1"/>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01" fillId="0" borderId="13"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4" xfId="0" applyFont="1" applyFill="1" applyBorder="1" applyAlignment="1">
      <alignment horizontal="left" vertical="justify" wrapText="1"/>
    </xf>
    <xf numFmtId="0" fontId="102" fillId="0" borderId="13"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4" xfId="0" applyFont="1" applyFill="1" applyBorder="1" applyAlignment="1">
      <alignment horizontal="left" vertical="justify" wrapText="1"/>
    </xf>
    <xf numFmtId="0" fontId="104" fillId="0" borderId="0" xfId="0" applyFont="1" applyFill="1" applyAlignment="1">
      <alignment horizontal="left" vertical="justify" wrapText="1"/>
    </xf>
    <xf numFmtId="0" fontId="101" fillId="0" borderId="0" xfId="0" applyFont="1" applyAlignment="1">
      <alignment horizontal="left" vertical="top" wrapText="1"/>
    </xf>
    <xf numFmtId="0" fontId="2" fillId="0" borderId="34"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4" xfId="0" applyFont="1" applyFill="1" applyBorder="1" applyAlignment="1">
      <alignment horizontal="left" vertical="center" wrapText="1"/>
    </xf>
    <xf numFmtId="0" fontId="102" fillId="0" borderId="13" xfId="0" applyFont="1" applyFill="1" applyBorder="1" applyAlignment="1">
      <alignment horizontal="left"/>
    </xf>
    <xf numFmtId="0" fontId="102" fillId="0" borderId="0" xfId="0" applyFont="1" applyFill="1" applyBorder="1" applyAlignment="1">
      <alignment horizontal="left"/>
    </xf>
    <xf numFmtId="0" fontId="102" fillId="0" borderId="14" xfId="0" applyFont="1" applyFill="1" applyBorder="1" applyAlignment="1">
      <alignment horizontal="left"/>
    </xf>
    <xf numFmtId="0" fontId="104" fillId="0" borderId="0" xfId="0" applyFont="1" applyFill="1" applyBorder="1" applyAlignment="1">
      <alignment horizontal="justify" vertical="justify"/>
    </xf>
    <xf numFmtId="0" fontId="104" fillId="0" borderId="14" xfId="0" applyFont="1" applyFill="1" applyBorder="1" applyAlignment="1">
      <alignment horizontal="justify" vertical="justify"/>
    </xf>
    <xf numFmtId="0" fontId="104" fillId="0" borderId="13" xfId="0" applyFont="1" applyFill="1" applyBorder="1" applyAlignment="1">
      <alignment horizontal="left" vertical="justify" wrapText="1"/>
    </xf>
    <xf numFmtId="0" fontId="104" fillId="0" borderId="0" xfId="0" applyFont="1" applyFill="1" applyBorder="1" applyAlignment="1">
      <alignment horizontal="left" vertical="justify" wrapText="1"/>
    </xf>
    <xf numFmtId="0" fontId="104" fillId="0" borderId="14" xfId="0" applyFont="1" applyFill="1" applyBorder="1" applyAlignment="1">
      <alignment horizontal="left" vertical="justify"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14" fillId="35" borderId="13" xfId="0" applyFont="1" applyFill="1" applyBorder="1" applyAlignment="1">
      <alignment horizontal="left" vertical="center"/>
    </xf>
    <xf numFmtId="0" fontId="114" fillId="35" borderId="0" xfId="0" applyFont="1" applyFill="1" applyBorder="1" applyAlignment="1">
      <alignment horizontal="left" vertical="center"/>
    </xf>
    <xf numFmtId="0" fontId="114" fillId="35" borderId="14" xfId="0" applyFont="1" applyFill="1" applyBorder="1" applyAlignment="1">
      <alignment horizontal="left" vertical="center"/>
    </xf>
    <xf numFmtId="0" fontId="123" fillId="0" borderId="13" xfId="0" applyFont="1" applyBorder="1" applyAlignment="1">
      <alignment horizontal="left" vertical="top" wrapText="1"/>
    </xf>
    <xf numFmtId="0" fontId="123" fillId="0" borderId="0" xfId="0" applyFont="1" applyBorder="1" applyAlignment="1">
      <alignment horizontal="left" vertical="top" wrapText="1"/>
    </xf>
    <xf numFmtId="0" fontId="123" fillId="0" borderId="14" xfId="0" applyFont="1" applyBorder="1" applyAlignment="1">
      <alignment horizontal="left" vertical="top" wrapText="1"/>
    </xf>
    <xf numFmtId="0" fontId="148" fillId="0" borderId="13" xfId="0" applyFont="1" applyFill="1" applyBorder="1" applyAlignment="1">
      <alignment horizontal="left" wrapText="1"/>
    </xf>
    <xf numFmtId="0" fontId="148" fillId="0" borderId="0" xfId="0" applyFont="1" applyFill="1" applyBorder="1" applyAlignment="1">
      <alignment horizontal="left" wrapText="1"/>
    </xf>
    <xf numFmtId="0" fontId="148" fillId="0" borderId="14" xfId="0" applyFont="1" applyFill="1" applyBorder="1" applyAlignment="1">
      <alignment horizontal="left" wrapText="1"/>
    </xf>
    <xf numFmtId="0" fontId="11" fillId="0" borderId="33" xfId="0" applyFont="1" applyFill="1" applyBorder="1" applyAlignment="1">
      <alignment horizontal="justify" vertical="justify" wrapText="1"/>
    </xf>
    <xf numFmtId="0" fontId="11" fillId="0" borderId="17" xfId="0" applyFont="1" applyFill="1" applyBorder="1" applyAlignment="1">
      <alignment horizontal="justify" vertical="justify" wrapText="1"/>
    </xf>
    <xf numFmtId="0" fontId="11" fillId="0" borderId="36" xfId="0" applyFont="1" applyFill="1" applyBorder="1" applyAlignment="1">
      <alignment horizontal="justify" vertical="justify" wrapText="1"/>
    </xf>
    <xf numFmtId="0" fontId="114" fillId="35" borderId="0" xfId="0" applyFont="1" applyFill="1" applyAlignment="1">
      <alignment horizontal="left"/>
    </xf>
    <xf numFmtId="0" fontId="125" fillId="33" borderId="0" xfId="0" applyFont="1" applyFill="1" applyAlignment="1">
      <alignment horizontal="center"/>
    </xf>
    <xf numFmtId="0" fontId="104" fillId="33" borderId="11" xfId="0" applyFont="1" applyFill="1" applyBorder="1" applyAlignment="1">
      <alignment horizontal="center"/>
    </xf>
    <xf numFmtId="0" fontId="104" fillId="33" borderId="38" xfId="0" applyFont="1" applyFill="1" applyBorder="1" applyAlignment="1">
      <alignment horizontal="center"/>
    </xf>
    <xf numFmtId="0" fontId="101" fillId="0" borderId="0" xfId="0" applyFont="1" applyAlignment="1">
      <alignment horizontal="left" vertical="center"/>
    </xf>
    <xf numFmtId="0" fontId="114" fillId="35" borderId="0" xfId="0" applyFont="1" applyFill="1" applyAlignment="1">
      <alignment horizontal="left" vertical="center"/>
    </xf>
    <xf numFmtId="0" fontId="139" fillId="40" borderId="11" xfId="93" applyFont="1" applyFill="1" applyBorder="1" applyAlignment="1">
      <alignment horizontal="left" vertical="center"/>
      <protection/>
    </xf>
    <xf numFmtId="0" fontId="139" fillId="40" borderId="16" xfId="93" applyFont="1" applyFill="1" applyBorder="1" applyAlignment="1">
      <alignment horizontal="left" vertical="center"/>
      <protection/>
    </xf>
    <xf numFmtId="0" fontId="139" fillId="40" borderId="38" xfId="93" applyFont="1" applyFill="1" applyBorder="1" applyAlignment="1">
      <alignment horizontal="left" vertical="center"/>
      <protection/>
    </xf>
    <xf numFmtId="0" fontId="102" fillId="0" borderId="0" xfId="0" applyFont="1" applyAlignment="1">
      <alignment horizontal="left"/>
    </xf>
    <xf numFmtId="0" fontId="100" fillId="38" borderId="0" xfId="0" applyFont="1" applyFill="1" applyAlignment="1">
      <alignment horizontal="center" vertical="center"/>
    </xf>
    <xf numFmtId="0" fontId="128" fillId="33" borderId="0" xfId="0" applyFont="1" applyFill="1" applyAlignment="1">
      <alignment horizontal="left"/>
    </xf>
    <xf numFmtId="0" fontId="114" fillId="35" borderId="0" xfId="0" applyFont="1" applyFill="1" applyAlignment="1">
      <alignment horizontal="center" vertical="center"/>
    </xf>
    <xf numFmtId="0" fontId="0" fillId="38" borderId="0" xfId="0" applyFill="1" applyAlignment="1">
      <alignment horizontal="center"/>
    </xf>
    <xf numFmtId="0" fontId="127" fillId="38" borderId="0" xfId="0" applyFont="1" applyFill="1" applyAlignment="1">
      <alignment horizontal="center"/>
    </xf>
    <xf numFmtId="0" fontId="18" fillId="38" borderId="0" xfId="0" applyFont="1" applyFill="1" applyAlignment="1">
      <alignment horizontal="left" wrapText="1"/>
    </xf>
    <xf numFmtId="0" fontId="11" fillId="0" borderId="59" xfId="0" applyFont="1" applyBorder="1" applyAlignment="1">
      <alignment horizontal="center" vertical="center" wrapText="1"/>
    </xf>
    <xf numFmtId="0" fontId="11" fillId="0" borderId="70" xfId="0" applyFont="1" applyBorder="1" applyAlignment="1">
      <alignment horizontal="center" vertical="center" wrapText="1"/>
    </xf>
    <xf numFmtId="0" fontId="114" fillId="35" borderId="0" xfId="0" applyFont="1" applyFill="1" applyBorder="1" applyAlignment="1">
      <alignment horizontal="left"/>
    </xf>
    <xf numFmtId="9" fontId="103" fillId="38" borderId="0" xfId="172" applyFont="1" applyFill="1" applyBorder="1" applyAlignment="1">
      <alignment horizontal="center"/>
    </xf>
    <xf numFmtId="9" fontId="137" fillId="38" borderId="0" xfId="172" applyFont="1" applyFill="1" applyBorder="1" applyAlignment="1">
      <alignment horizontal="left"/>
    </xf>
    <xf numFmtId="0" fontId="123" fillId="38" borderId="0" xfId="0" applyFont="1" applyFill="1" applyBorder="1" applyAlignment="1">
      <alignment horizontal="left"/>
    </xf>
    <xf numFmtId="0" fontId="16" fillId="38" borderId="0" xfId="0" applyFont="1" applyFill="1" applyAlignment="1">
      <alignment horizontal="left"/>
    </xf>
    <xf numFmtId="0" fontId="18" fillId="0" borderId="0" xfId="0" applyFont="1" applyFill="1" applyAlignment="1">
      <alignment horizontal="left" vertical="center" wrapText="1"/>
    </xf>
    <xf numFmtId="0" fontId="16" fillId="38" borderId="0" xfId="0" applyFont="1" applyFill="1" applyAlignment="1">
      <alignment horizontal="left" vertical="center" wrapText="1"/>
    </xf>
    <xf numFmtId="0" fontId="85" fillId="35" borderId="0" xfId="0" applyFont="1" applyFill="1" applyAlignment="1">
      <alignment horizontal="left"/>
    </xf>
    <xf numFmtId="0" fontId="130" fillId="0" borderId="0" xfId="0" applyFont="1" applyAlignment="1">
      <alignment horizontal="left" vertical="center" wrapText="1"/>
    </xf>
    <xf numFmtId="0" fontId="130" fillId="38" borderId="0" xfId="0" applyFont="1" applyFill="1" applyAlignment="1">
      <alignment horizontal="left" vertical="center" wrapText="1"/>
    </xf>
    <xf numFmtId="0" fontId="130" fillId="38" borderId="0" xfId="0" applyFont="1" applyFill="1" applyAlignment="1">
      <alignment horizontal="left" vertical="center"/>
    </xf>
    <xf numFmtId="0" fontId="16" fillId="38" borderId="0" xfId="0" applyFont="1" applyFill="1" applyAlignment="1">
      <alignment horizontal="left" wrapText="1"/>
    </xf>
    <xf numFmtId="0" fontId="141" fillId="41" borderId="0" xfId="0" applyFont="1" applyFill="1" applyBorder="1" applyAlignment="1">
      <alignment horizontal="left"/>
    </xf>
    <xf numFmtId="0" fontId="18" fillId="41" borderId="0" xfId="0" applyFont="1" applyFill="1" applyBorder="1" applyAlignment="1">
      <alignment horizontal="left" wrapText="1"/>
    </xf>
    <xf numFmtId="0" fontId="2" fillId="0" borderId="10" xfId="113" applyBorder="1" applyAlignment="1">
      <alignment horizontal="center"/>
      <protection/>
    </xf>
    <xf numFmtId="0" fontId="2" fillId="0" borderId="0" xfId="113" applyFont="1" applyBorder="1" applyAlignment="1">
      <alignment horizontal="center"/>
      <protection/>
    </xf>
    <xf numFmtId="0" fontId="2" fillId="0" borderId="0" xfId="113" applyBorder="1" applyAlignment="1">
      <alignment horizontal="center"/>
      <protection/>
    </xf>
    <xf numFmtId="0" fontId="3" fillId="0" borderId="13" xfId="113" applyFont="1" applyFill="1" applyBorder="1" applyAlignment="1">
      <alignment horizontal="left"/>
      <protection/>
    </xf>
    <xf numFmtId="0" fontId="3" fillId="0" borderId="0" xfId="113" applyFont="1" applyFill="1" applyBorder="1" applyAlignment="1">
      <alignment horizontal="left"/>
      <protection/>
    </xf>
    <xf numFmtId="0" fontId="3" fillId="0" borderId="14" xfId="113" applyFont="1" applyFill="1" applyBorder="1" applyAlignment="1">
      <alignment horizontal="left"/>
      <protection/>
    </xf>
    <xf numFmtId="0" fontId="6" fillId="43" borderId="11" xfId="113" applyFont="1" applyFill="1" applyBorder="1" applyAlignment="1">
      <alignment horizontal="center" vertical="center"/>
      <protection/>
    </xf>
    <xf numFmtId="0" fontId="6" fillId="43" borderId="16" xfId="113" applyFont="1" applyFill="1" applyBorder="1" applyAlignment="1">
      <alignment horizontal="center" vertical="center"/>
      <protection/>
    </xf>
    <xf numFmtId="0" fontId="6" fillId="43" borderId="38" xfId="113" applyFont="1" applyFill="1" applyBorder="1" applyAlignment="1">
      <alignment horizontal="center" vertical="center"/>
      <protection/>
    </xf>
    <xf numFmtId="0" fontId="13" fillId="43" borderId="16" xfId="113" applyFont="1" applyFill="1" applyBorder="1" applyAlignment="1">
      <alignment horizontal="center" vertical="center" wrapText="1" shrinkToFit="1"/>
      <protection/>
    </xf>
    <xf numFmtId="0" fontId="13" fillId="43" borderId="38" xfId="113" applyFont="1" applyFill="1" applyBorder="1" applyAlignment="1">
      <alignment horizontal="center" vertical="center" wrapText="1" shrinkToFit="1"/>
      <protection/>
    </xf>
    <xf numFmtId="0" fontId="24" fillId="43" borderId="13" xfId="113" applyFont="1" applyFill="1" applyBorder="1" applyAlignment="1">
      <alignment horizontal="center"/>
      <protection/>
    </xf>
    <xf numFmtId="0" fontId="24" fillId="43" borderId="0" xfId="113" applyFont="1" applyFill="1" applyBorder="1" applyAlignment="1">
      <alignment horizontal="center"/>
      <protection/>
    </xf>
    <xf numFmtId="0" fontId="24" fillId="43" borderId="14" xfId="113" applyFont="1" applyFill="1" applyBorder="1" applyAlignment="1">
      <alignment horizontal="center"/>
      <protection/>
    </xf>
    <xf numFmtId="0" fontId="13" fillId="0" borderId="10" xfId="113" applyFont="1" applyBorder="1" applyAlignment="1">
      <alignment horizontal="center" vertical="center"/>
      <protection/>
    </xf>
    <xf numFmtId="0" fontId="13" fillId="0" borderId="11" xfId="113" applyFont="1" applyBorder="1" applyAlignment="1">
      <alignment horizontal="center" vertical="center" wrapText="1" shrinkToFit="1"/>
      <protection/>
    </xf>
    <xf numFmtId="0" fontId="13" fillId="0" borderId="38" xfId="113" applyFont="1" applyBorder="1" applyAlignment="1">
      <alignment horizontal="center" vertical="center" wrapText="1" shrinkToFit="1"/>
      <protection/>
    </xf>
    <xf numFmtId="0" fontId="13" fillId="0" borderId="10" xfId="113" applyFont="1" applyBorder="1" applyAlignment="1">
      <alignment horizontal="center" wrapText="1" shrinkToFit="1"/>
      <protection/>
    </xf>
    <xf numFmtId="3" fontId="2" fillId="0" borderId="11" xfId="113" applyNumberFormat="1" applyBorder="1" applyAlignment="1">
      <alignment horizontal="center"/>
      <protection/>
    </xf>
    <xf numFmtId="3" fontId="2" fillId="0" borderId="38" xfId="113" applyNumberFormat="1" applyBorder="1" applyAlignment="1">
      <alignment horizontal="center"/>
      <protection/>
    </xf>
    <xf numFmtId="9" fontId="2" fillId="0" borderId="10" xfId="113" applyNumberFormat="1" applyBorder="1" applyAlignment="1">
      <alignment horizontal="center"/>
      <protection/>
    </xf>
    <xf numFmtId="0" fontId="2" fillId="0" borderId="10" xfId="113" applyFill="1" applyBorder="1" applyAlignment="1">
      <alignment horizontal="center"/>
      <protection/>
    </xf>
    <xf numFmtId="3" fontId="2" fillId="0" borderId="11" xfId="113" applyNumberFormat="1" applyFill="1" applyBorder="1" applyAlignment="1">
      <alignment horizontal="center"/>
      <protection/>
    </xf>
    <xf numFmtId="3" fontId="2" fillId="0" borderId="38" xfId="113" applyNumberFormat="1" applyFill="1" applyBorder="1" applyAlignment="1">
      <alignment horizontal="center"/>
      <protection/>
    </xf>
    <xf numFmtId="9" fontId="2" fillId="0" borderId="10" xfId="113" applyNumberFormat="1" applyFill="1" applyBorder="1" applyAlignment="1">
      <alignment horizontal="center"/>
      <protection/>
    </xf>
    <xf numFmtId="0" fontId="22" fillId="43" borderId="74" xfId="113" applyFont="1" applyFill="1" applyBorder="1" applyAlignment="1">
      <alignment horizontal="center"/>
      <protection/>
    </xf>
    <xf numFmtId="0" fontId="22" fillId="43" borderId="75" xfId="113" applyFont="1" applyFill="1" applyBorder="1" applyAlignment="1">
      <alignment horizontal="center"/>
      <protection/>
    </xf>
    <xf numFmtId="0" fontId="22" fillId="43" borderId="76" xfId="113" applyFont="1" applyFill="1" applyBorder="1" applyAlignment="1">
      <alignment horizontal="center"/>
      <protection/>
    </xf>
    <xf numFmtId="0" fontId="4" fillId="0" borderId="77" xfId="113" applyFont="1" applyBorder="1" applyAlignment="1">
      <alignment horizontal="center"/>
      <protection/>
    </xf>
    <xf numFmtId="0" fontId="4" fillId="0" borderId="64" xfId="113" applyFont="1" applyBorder="1" applyAlignment="1">
      <alignment horizontal="center"/>
      <protection/>
    </xf>
    <xf numFmtId="0" fontId="4" fillId="0" borderId="78" xfId="113" applyFont="1" applyBorder="1" applyAlignment="1">
      <alignment horizontal="center"/>
      <protection/>
    </xf>
  </cellXfs>
  <cellStyles count="1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Comma 4 2 2" xfId="38"/>
    <cellStyle name="Comma 4 2 3"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0] 2" xfId="54"/>
    <cellStyle name="Millares [0] 3" xfId="55"/>
    <cellStyle name="Millares [0] 4" xfId="56"/>
    <cellStyle name="Millares 100 11" xfId="57"/>
    <cellStyle name="Millares 100 11 2" xfId="58"/>
    <cellStyle name="Millares 100 11 3" xfId="59"/>
    <cellStyle name="Millares 174 2" xfId="60"/>
    <cellStyle name="Millares 174 2 2" xfId="61"/>
    <cellStyle name="Millares 174 2 3" xfId="62"/>
    <cellStyle name="Millares 2" xfId="63"/>
    <cellStyle name="Millares 2 2" xfId="64"/>
    <cellStyle name="Millares 2 2 2" xfId="65"/>
    <cellStyle name="Millares 2 2 3" xfId="66"/>
    <cellStyle name="Millares 2 3" xfId="67"/>
    <cellStyle name="Millares 2 4" xfId="68"/>
    <cellStyle name="Millares 212" xfId="69"/>
    <cellStyle name="Millares 212 2" xfId="70"/>
    <cellStyle name="Millares 212 3" xfId="71"/>
    <cellStyle name="Millares 3" xfId="72"/>
    <cellStyle name="Millares 3 11" xfId="73"/>
    <cellStyle name="Millares 3 11 2" xfId="74"/>
    <cellStyle name="Millares 3 11 3" xfId="75"/>
    <cellStyle name="Millares 4" xfId="76"/>
    <cellStyle name="Millares 4 2" xfId="77"/>
    <cellStyle name="Millares 5" xfId="78"/>
    <cellStyle name="Millares 6" xfId="79"/>
    <cellStyle name="Millares 654 2 2" xfId="80"/>
    <cellStyle name="Millares 656" xfId="81"/>
    <cellStyle name="Millares 656 2" xfId="82"/>
    <cellStyle name="Millares 656 3" xfId="83"/>
    <cellStyle name="Millares 657" xfId="84"/>
    <cellStyle name="Millares 657 2" xfId="85"/>
    <cellStyle name="Millares 657 3" xfId="86"/>
    <cellStyle name="Millares 7" xfId="87"/>
    <cellStyle name="Millares 8" xfId="88"/>
    <cellStyle name="Millares 9" xfId="89"/>
    <cellStyle name="Currency" xfId="90"/>
    <cellStyle name="Currency [0]" xfId="91"/>
    <cellStyle name="Neutral" xfId="92"/>
    <cellStyle name="Normal 10 10 2 2 2" xfId="93"/>
    <cellStyle name="Normal 1016" xfId="94"/>
    <cellStyle name="Normal 1018" xfId="95"/>
    <cellStyle name="Normal 1022" xfId="96"/>
    <cellStyle name="Normal 1024" xfId="97"/>
    <cellStyle name="Normal 1025" xfId="98"/>
    <cellStyle name="Normal 1026" xfId="99"/>
    <cellStyle name="Normal 1027" xfId="100"/>
    <cellStyle name="Normal 105" xfId="101"/>
    <cellStyle name="Normal 107" xfId="102"/>
    <cellStyle name="Normal 109" xfId="103"/>
    <cellStyle name="Normal 12 10" xfId="104"/>
    <cellStyle name="Normal 12 2 10" xfId="105"/>
    <cellStyle name="Normal 12 2 2 4" xfId="106"/>
    <cellStyle name="Normal 125" xfId="107"/>
    <cellStyle name="Normal 126" xfId="108"/>
    <cellStyle name="Normal 199 2 2" xfId="109"/>
    <cellStyle name="Normal 2" xfId="110"/>
    <cellStyle name="Normal 2 10 2 2 2" xfId="111"/>
    <cellStyle name="Normal 2 2 2 3" xfId="112"/>
    <cellStyle name="Normal 4" xfId="113"/>
    <cellStyle name="Normal 6" xfId="114"/>
    <cellStyle name="Normal 601" xfId="115"/>
    <cellStyle name="Normal 605" xfId="116"/>
    <cellStyle name="Normal 606" xfId="117"/>
    <cellStyle name="Normal 636" xfId="118"/>
    <cellStyle name="Normal 640" xfId="119"/>
    <cellStyle name="Normal 643" xfId="120"/>
    <cellStyle name="Normal 646" xfId="121"/>
    <cellStyle name="Normal 647" xfId="122"/>
    <cellStyle name="Normal 649" xfId="123"/>
    <cellStyle name="Normal 650" xfId="124"/>
    <cellStyle name="Normal 651" xfId="125"/>
    <cellStyle name="Normal 652" xfId="126"/>
    <cellStyle name="Normal 653" xfId="127"/>
    <cellStyle name="Normal 654" xfId="128"/>
    <cellStyle name="Normal 655" xfId="129"/>
    <cellStyle name="Normal 656" xfId="130"/>
    <cellStyle name="Normal 657" xfId="131"/>
    <cellStyle name="Normal 658" xfId="132"/>
    <cellStyle name="Normal 659" xfId="133"/>
    <cellStyle name="Normal 660" xfId="134"/>
    <cellStyle name="Normal 662" xfId="135"/>
    <cellStyle name="Normal 663" xfId="136"/>
    <cellStyle name="Normal 664" xfId="137"/>
    <cellStyle name="Normal 665" xfId="138"/>
    <cellStyle name="Normal 667" xfId="139"/>
    <cellStyle name="Normal 673" xfId="140"/>
    <cellStyle name="Normal 674" xfId="141"/>
    <cellStyle name="Normal 675" xfId="142"/>
    <cellStyle name="Normal 676" xfId="143"/>
    <cellStyle name="Normal 677" xfId="144"/>
    <cellStyle name="Normal 678" xfId="145"/>
    <cellStyle name="Normal 679" xfId="146"/>
    <cellStyle name="Normal 684" xfId="147"/>
    <cellStyle name="Normal 713" xfId="148"/>
    <cellStyle name="Normal 714" xfId="149"/>
    <cellStyle name="Normal 715" xfId="150"/>
    <cellStyle name="Normal 744" xfId="151"/>
    <cellStyle name="Normal 802" xfId="152"/>
    <cellStyle name="Normal 944" xfId="153"/>
    <cellStyle name="Normal 947" xfId="154"/>
    <cellStyle name="Normal 952" xfId="155"/>
    <cellStyle name="Normal 957" xfId="156"/>
    <cellStyle name="Normal 958" xfId="157"/>
    <cellStyle name="Normal 959" xfId="158"/>
    <cellStyle name="Normal 960" xfId="159"/>
    <cellStyle name="Normal 961" xfId="160"/>
    <cellStyle name="Normal 962" xfId="161"/>
    <cellStyle name="Normal 963" xfId="162"/>
    <cellStyle name="Normal 964" xfId="163"/>
    <cellStyle name="Normal 965" xfId="164"/>
    <cellStyle name="Normal 966" xfId="165"/>
    <cellStyle name="Normal 967" xfId="166"/>
    <cellStyle name="Normal 971" xfId="167"/>
    <cellStyle name="Normal 986" xfId="168"/>
    <cellStyle name="Normal_ANEXOC" xfId="169"/>
    <cellStyle name="Normal_ANEXOJ" xfId="170"/>
    <cellStyle name="Notas" xfId="171"/>
    <cellStyle name="Percent" xfId="172"/>
    <cellStyle name="Salida" xfId="173"/>
    <cellStyle name="Texto de advertencia" xfId="174"/>
    <cellStyle name="Texto explicativo" xfId="175"/>
    <cellStyle name="Título" xfId="176"/>
    <cellStyle name="Título 2" xfId="177"/>
    <cellStyle name="Título 3" xfId="178"/>
    <cellStyle name="Total" xfId="1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6.xml.rels><?xml version="1.0" encoding="utf-8" standalone="yes"?><Relationships xmlns="http://schemas.openxmlformats.org/package/2006/relationships"><Relationship Id="rId1" Type="http://schemas.openxmlformats.org/officeDocument/2006/relationships/image" Target="../media/image2.emf" /></Relationships>
</file>

<file path=xl/drawings/_rels/drawing4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1390650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858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34</xdr:row>
      <xdr:rowOff>47625</xdr:rowOff>
    </xdr:from>
    <xdr:to>
      <xdr:col>6</xdr:col>
      <xdr:colOff>200025</xdr:colOff>
      <xdr:row>43</xdr:row>
      <xdr:rowOff>38100</xdr:rowOff>
    </xdr:to>
    <xdr:pic>
      <xdr:nvPicPr>
        <xdr:cNvPr id="1" name="Imagen 1"/>
        <xdr:cNvPicPr preferRelativeResize="1">
          <a:picLocks noChangeAspect="1"/>
        </xdr:cNvPicPr>
      </xdr:nvPicPr>
      <xdr:blipFill>
        <a:blip r:embed="rId1"/>
        <a:srcRect l="11004" r="10534" b="16900"/>
        <a:stretch>
          <a:fillRect/>
        </a:stretch>
      </xdr:blipFill>
      <xdr:spPr>
        <a:xfrm>
          <a:off x="8058150" y="6943725"/>
          <a:ext cx="4105275" cy="1447800"/>
        </a:xfrm>
        <a:prstGeom prst="rect">
          <a:avLst/>
        </a:prstGeom>
        <a:noFill/>
        <a:ln w="9525" cmpd="sng">
          <a:noFill/>
        </a:ln>
      </xdr:spPr>
    </xdr:pic>
    <xdr:clientData/>
  </xdr:twoCellAnchor>
  <xdr:twoCellAnchor>
    <xdr:from>
      <xdr:col>7</xdr:col>
      <xdr:colOff>0</xdr:colOff>
      <xdr:row>0</xdr:row>
      <xdr:rowOff>0</xdr:rowOff>
    </xdr:from>
    <xdr:to>
      <xdr:col>7</xdr:col>
      <xdr:colOff>1181100</xdr:colOff>
      <xdr:row>2</xdr:row>
      <xdr:rowOff>66675</xdr:rowOff>
    </xdr:to>
    <xdr:pic>
      <xdr:nvPicPr>
        <xdr:cNvPr id="2" name="Picture 1" descr="image001"/>
        <xdr:cNvPicPr preferRelativeResize="1">
          <a:picLocks noChangeAspect="1"/>
        </xdr:cNvPicPr>
      </xdr:nvPicPr>
      <xdr:blipFill>
        <a:blip r:embed="rId2"/>
        <a:stretch>
          <a:fillRect/>
        </a:stretch>
      </xdr:blipFill>
      <xdr:spPr>
        <a:xfrm>
          <a:off x="13249275" y="0"/>
          <a:ext cx="118110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47625</xdr:rowOff>
    </xdr:from>
    <xdr:to>
      <xdr:col>6</xdr:col>
      <xdr:colOff>819150</xdr:colOff>
      <xdr:row>2</xdr:row>
      <xdr:rowOff>161925</xdr:rowOff>
    </xdr:to>
    <xdr:pic>
      <xdr:nvPicPr>
        <xdr:cNvPr id="1" name="Picture 1" descr="image001"/>
        <xdr:cNvPicPr preferRelativeResize="1">
          <a:picLocks noChangeAspect="1"/>
        </xdr:cNvPicPr>
      </xdr:nvPicPr>
      <xdr:blipFill>
        <a:blip r:embed="rId1"/>
        <a:stretch>
          <a:fillRect/>
        </a:stretch>
      </xdr:blipFill>
      <xdr:spPr>
        <a:xfrm>
          <a:off x="8924925" y="47625"/>
          <a:ext cx="125730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48175" y="0"/>
          <a:ext cx="124777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47625</xdr:rowOff>
    </xdr:from>
    <xdr:to>
      <xdr:col>2</xdr:col>
      <xdr:colOff>1685925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14875" y="47625"/>
          <a:ext cx="1285875"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95250</xdr:rowOff>
    </xdr:from>
    <xdr:to>
      <xdr:col>12</xdr:col>
      <xdr:colOff>742950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20525" y="285750"/>
          <a:ext cx="1257300"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57750" y="19050"/>
          <a:ext cx="1219200"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514350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6682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57150</xdr:rowOff>
    </xdr:from>
    <xdr:to>
      <xdr:col>3</xdr:col>
      <xdr:colOff>628650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3324225" y="57150"/>
          <a:ext cx="1247775"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57150</xdr:rowOff>
    </xdr:from>
    <xdr:to>
      <xdr:col>4</xdr:col>
      <xdr:colOff>1143000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8267700" y="57150"/>
          <a:ext cx="1247775"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1209675</xdr:colOff>
      <xdr:row>0</xdr:row>
      <xdr:rowOff>66675</xdr:rowOff>
    </xdr:from>
    <xdr:to>
      <xdr:col>11</xdr:col>
      <xdr:colOff>1257300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4954250" y="66675"/>
          <a:ext cx="12573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1276350</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6019800" y="190500"/>
          <a:ext cx="1276350" cy="4953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1276350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76350" cy="457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0</xdr:row>
      <xdr:rowOff>28575</xdr:rowOff>
    </xdr:from>
    <xdr:to>
      <xdr:col>4</xdr:col>
      <xdr:colOff>438150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238875" y="28575"/>
          <a:ext cx="1219200" cy="4476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47625</xdr:rowOff>
    </xdr:from>
    <xdr:to>
      <xdr:col>5</xdr:col>
      <xdr:colOff>447675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2872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0</xdr:rowOff>
    </xdr:from>
    <xdr:to>
      <xdr:col>4</xdr:col>
      <xdr:colOff>762000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715000" y="0"/>
          <a:ext cx="124777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10401300" y="0"/>
          <a:ext cx="1247775" cy="457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2</xdr:col>
      <xdr:colOff>1123950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724275" y="0"/>
          <a:ext cx="1257300" cy="457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28575</xdr:rowOff>
    </xdr:from>
    <xdr:to>
      <xdr:col>4</xdr:col>
      <xdr:colOff>476250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28575"/>
          <a:ext cx="1238250" cy="447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95250</xdr:colOff>
      <xdr:row>10</xdr:row>
      <xdr:rowOff>152400</xdr:rowOff>
    </xdr:to>
    <xdr:sp>
      <xdr:nvSpPr>
        <xdr:cNvPr id="1" name="CuadroTexto 2"/>
        <xdr:cNvSpPr txBox="1">
          <a:spLocks noChangeArrowheads="1"/>
        </xdr:cNvSpPr>
      </xdr:nvSpPr>
      <xdr:spPr>
        <a:xfrm>
          <a:off x="47625" y="1552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95250</xdr:colOff>
      <xdr:row>14</xdr:row>
      <xdr:rowOff>171450</xdr:rowOff>
    </xdr:to>
    <xdr:sp>
      <xdr:nvSpPr>
        <xdr:cNvPr id="2" name="CuadroTexto 3"/>
        <xdr:cNvSpPr txBox="1">
          <a:spLocks noChangeArrowheads="1"/>
        </xdr:cNvSpPr>
      </xdr:nvSpPr>
      <xdr:spPr>
        <a:xfrm>
          <a:off x="47625" y="2324100"/>
          <a:ext cx="78676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95250</xdr:colOff>
      <xdr:row>18</xdr:row>
      <xdr:rowOff>152400</xdr:rowOff>
    </xdr:to>
    <xdr:sp>
      <xdr:nvSpPr>
        <xdr:cNvPr id="3" name="CuadroTexto 4"/>
        <xdr:cNvSpPr txBox="1">
          <a:spLocks noChangeArrowheads="1"/>
        </xdr:cNvSpPr>
      </xdr:nvSpPr>
      <xdr:spPr>
        <a:xfrm>
          <a:off x="47625" y="3076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23</xdr:row>
      <xdr:rowOff>85725</xdr:rowOff>
    </xdr:from>
    <xdr:to>
      <xdr:col>8</xdr:col>
      <xdr:colOff>95250</xdr:colOff>
      <xdr:row>27</xdr:row>
      <xdr:rowOff>95250</xdr:rowOff>
    </xdr:to>
    <xdr:sp>
      <xdr:nvSpPr>
        <xdr:cNvPr id="4" name="CuadroTexto 5"/>
        <xdr:cNvSpPr txBox="1">
          <a:spLocks noChangeArrowheads="1"/>
        </xdr:cNvSpPr>
      </xdr:nvSpPr>
      <xdr:spPr>
        <a:xfrm>
          <a:off x="57150" y="4467225"/>
          <a:ext cx="78581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 Dentro</a:t>
          </a:r>
          <a:r>
            <a:rPr lang="en-US" cap="none" sz="1100" b="0" i="0" u="none" baseline="0">
              <a:solidFill>
                <a:srgbClr val="000000"/>
              </a:solidFill>
              <a:latin typeface="Calibri"/>
              <a:ea typeface="Calibri"/>
              <a:cs typeface="Calibri"/>
            </a:rPr>
            <a:t> de las reservas facultativas se encuentrann contabilizadas :
</a:t>
          </a:r>
          <a:r>
            <a:rPr lang="en-US" cap="none" sz="1100" b="0" i="0" u="none" baseline="0">
              <a:solidFill>
                <a:srgbClr val="000000"/>
              </a:solidFill>
              <a:latin typeface="Calibri"/>
              <a:ea typeface="Calibri"/>
              <a:cs typeface="Calibri"/>
            </a:rPr>
            <a:t>Reservas para malos creditos: 30.059.427
</a:t>
          </a:r>
          <a:r>
            <a:rPr lang="en-US" cap="none" sz="1100" b="0" i="0" u="none" baseline="0">
              <a:solidFill>
                <a:srgbClr val="000000"/>
              </a:solidFill>
              <a:latin typeface="Calibri"/>
              <a:ea typeface="Calibri"/>
              <a:cs typeface="Calibri"/>
            </a:rPr>
            <a:t>Reservas para pagos de Duvdendos: 13,221,480</a:t>
          </a:r>
          <a:r>
            <a:rPr lang="en-US" cap="none" sz="1100" b="0" i="0" u="none" baseline="0">
              <a:solidFill>
                <a:srgbClr val="000000"/>
              </a:solidFill>
              <a:latin typeface="Calibri"/>
              <a:ea typeface="Calibri"/>
              <a:cs typeface="Calibri"/>
            </a:rPr>
            <a:t>
</a:t>
          </a:r>
        </a:p>
      </xdr:txBody>
    </xdr:sp>
    <xdr:clientData/>
  </xdr:twoCellAnchor>
  <xdr:twoCellAnchor>
    <xdr:from>
      <xdr:col>6</xdr:col>
      <xdr:colOff>114300</xdr:colOff>
      <xdr:row>0</xdr:row>
      <xdr:rowOff>76200</xdr:rowOff>
    </xdr:from>
    <xdr:to>
      <xdr:col>7</xdr:col>
      <xdr:colOff>619125</xdr:colOff>
      <xdr:row>2</xdr:row>
      <xdr:rowOff>142875</xdr:rowOff>
    </xdr:to>
    <xdr:pic>
      <xdr:nvPicPr>
        <xdr:cNvPr id="5" name="Picture 1" descr="image001"/>
        <xdr:cNvPicPr preferRelativeResize="1">
          <a:picLocks noChangeAspect="1"/>
        </xdr:cNvPicPr>
      </xdr:nvPicPr>
      <xdr:blipFill>
        <a:blip r:embed="rId1"/>
        <a:stretch>
          <a:fillRect/>
        </a:stretch>
      </xdr:blipFill>
      <xdr:spPr>
        <a:xfrm>
          <a:off x="6410325" y="76200"/>
          <a:ext cx="1266825" cy="4476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552450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267325" y="19050"/>
          <a:ext cx="1257300" cy="4572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76200</xdr:rowOff>
    </xdr:from>
    <xdr:to>
      <xdr:col>4</xdr:col>
      <xdr:colOff>476250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5248275" y="76200"/>
          <a:ext cx="12382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1276350</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90500"/>
          <a:ext cx="1276350" cy="4857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34150" y="19050"/>
          <a:ext cx="1238250" cy="457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62650" y="0"/>
          <a:ext cx="1238250"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15600" y="190500"/>
          <a:ext cx="1238250" cy="457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95250</xdr:rowOff>
    </xdr:from>
    <xdr:to>
      <xdr:col>7</xdr:col>
      <xdr:colOff>28575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6515100" y="95250"/>
          <a:ext cx="122872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133350</xdr:rowOff>
    </xdr:from>
    <xdr:to>
      <xdr:col>6</xdr:col>
      <xdr:colOff>1009650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39150" y="133350"/>
          <a:ext cx="1247775" cy="4572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28575</xdr:rowOff>
    </xdr:from>
    <xdr:to>
      <xdr:col>3</xdr:col>
      <xdr:colOff>581025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191000" y="28575"/>
          <a:ext cx="1257300" cy="4476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3</xdr:col>
      <xdr:colOff>704850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91025" y="0"/>
          <a:ext cx="1257300" cy="4572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38100</xdr:rowOff>
    </xdr:from>
    <xdr:to>
      <xdr:col>3</xdr:col>
      <xdr:colOff>714375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67200" y="38100"/>
          <a:ext cx="1247775" cy="4191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47625</xdr:rowOff>
    </xdr:from>
    <xdr:to>
      <xdr:col>3</xdr:col>
      <xdr:colOff>628650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609975" y="47625"/>
          <a:ext cx="1247775" cy="4572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57150</xdr:rowOff>
    </xdr:from>
    <xdr:to>
      <xdr:col>3</xdr:col>
      <xdr:colOff>685800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38750" y="57150"/>
          <a:ext cx="12477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180975</xdr:rowOff>
    </xdr:from>
    <xdr:to>
      <xdr:col>22</xdr:col>
      <xdr:colOff>180975</xdr:colOff>
      <xdr:row>3</xdr:row>
      <xdr:rowOff>161925</xdr:rowOff>
    </xdr:to>
    <xdr:pic>
      <xdr:nvPicPr>
        <xdr:cNvPr id="1" name="Picture 1" descr="image001"/>
        <xdr:cNvPicPr preferRelativeResize="1">
          <a:picLocks noChangeAspect="1"/>
        </xdr:cNvPicPr>
      </xdr:nvPicPr>
      <xdr:blipFill>
        <a:blip r:embed="rId1"/>
        <a:stretch>
          <a:fillRect/>
        </a:stretch>
      </xdr:blipFill>
      <xdr:spPr>
        <a:xfrm>
          <a:off x="14420850" y="180975"/>
          <a:ext cx="1419225" cy="5524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1476375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67450" y="0"/>
          <a:ext cx="1276350" cy="4572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0</xdr:row>
      <xdr:rowOff>47625</xdr:rowOff>
    </xdr:from>
    <xdr:to>
      <xdr:col>5</xdr:col>
      <xdr:colOff>123825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38250" cy="4572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7</xdr:col>
      <xdr:colOff>904875</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9401175" y="57150"/>
          <a:ext cx="1266825" cy="4572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638175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66825" cy="4572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572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33925" y="95250"/>
          <a:ext cx="1228725" cy="4572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0</xdr:col>
      <xdr:colOff>4219575</xdr:colOff>
      <xdr:row>36</xdr:row>
      <xdr:rowOff>123825</xdr:rowOff>
    </xdr:to>
    <xdr:pic>
      <xdr:nvPicPr>
        <xdr:cNvPr id="1" name="Imagen 1"/>
        <xdr:cNvPicPr preferRelativeResize="1">
          <a:picLocks noChangeAspect="1"/>
        </xdr:cNvPicPr>
      </xdr:nvPicPr>
      <xdr:blipFill>
        <a:blip r:embed="rId1"/>
        <a:srcRect l="11004" r="10534" b="16900"/>
        <a:stretch>
          <a:fillRect/>
        </a:stretch>
      </xdr:blipFill>
      <xdr:spPr>
        <a:xfrm>
          <a:off x="0" y="5467350"/>
          <a:ext cx="4219575" cy="1647825"/>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76200</xdr:rowOff>
    </xdr:from>
    <xdr:to>
      <xdr:col>8</xdr:col>
      <xdr:colOff>762000</xdr:colOff>
      <xdr:row>3</xdr:row>
      <xdr:rowOff>28575</xdr:rowOff>
    </xdr:to>
    <xdr:pic>
      <xdr:nvPicPr>
        <xdr:cNvPr id="1" name="Picture 1" descr="image001"/>
        <xdr:cNvPicPr preferRelativeResize="1">
          <a:picLocks noChangeAspect="1"/>
        </xdr:cNvPicPr>
      </xdr:nvPicPr>
      <xdr:blipFill>
        <a:blip r:embed="rId1"/>
        <a:stretch>
          <a:fillRect/>
        </a:stretch>
      </xdr:blipFill>
      <xdr:spPr>
        <a:xfrm>
          <a:off x="8048625" y="76200"/>
          <a:ext cx="15240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133350</xdr:rowOff>
    </xdr:from>
    <xdr:to>
      <xdr:col>2</xdr:col>
      <xdr:colOff>1638300</xdr:colOff>
      <xdr:row>4</xdr:row>
      <xdr:rowOff>104775</xdr:rowOff>
    </xdr:to>
    <xdr:pic>
      <xdr:nvPicPr>
        <xdr:cNvPr id="1"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twoCellAnchor>
    <xdr:from>
      <xdr:col>2</xdr:col>
      <xdr:colOff>180975</xdr:colOff>
      <xdr:row>0</xdr:row>
      <xdr:rowOff>133350</xdr:rowOff>
    </xdr:from>
    <xdr:to>
      <xdr:col>2</xdr:col>
      <xdr:colOff>1638300</xdr:colOff>
      <xdr:row>4</xdr:row>
      <xdr:rowOff>104775</xdr:rowOff>
    </xdr:to>
    <xdr:pic>
      <xdr:nvPicPr>
        <xdr:cNvPr id="2"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57150</xdr:rowOff>
    </xdr:from>
    <xdr:to>
      <xdr:col>5</xdr:col>
      <xdr:colOff>876300</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8248650" y="247650"/>
          <a:ext cx="87630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1333500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85875" cy="457200"/>
        </a:xfrm>
        <a:prstGeom prst="rect">
          <a:avLst/>
        </a:prstGeom>
        <a:noFill/>
        <a:ln w="9525" cmpd="sng">
          <a:noFill/>
        </a:ln>
      </xdr:spPr>
    </xdr:pic>
    <xdr:clientData/>
  </xdr:twoCellAnchor>
  <xdr:twoCellAnchor editAs="oneCell">
    <xdr:from>
      <xdr:col>0</xdr:col>
      <xdr:colOff>1228725</xdr:colOff>
      <xdr:row>45</xdr:row>
      <xdr:rowOff>9525</xdr:rowOff>
    </xdr:from>
    <xdr:to>
      <xdr:col>4</xdr:col>
      <xdr:colOff>438150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228725" y="12534900"/>
          <a:ext cx="4086225" cy="1447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0</xdr:row>
      <xdr:rowOff>47625</xdr:rowOff>
    </xdr:from>
    <xdr:to>
      <xdr:col>3</xdr:col>
      <xdr:colOff>962025</xdr:colOff>
      <xdr:row>2</xdr:row>
      <xdr:rowOff>190500</xdr:rowOff>
    </xdr:to>
    <xdr:pic>
      <xdr:nvPicPr>
        <xdr:cNvPr id="1" name="Picture 1" descr="image001"/>
        <xdr:cNvPicPr preferRelativeResize="1">
          <a:picLocks noChangeAspect="1"/>
        </xdr:cNvPicPr>
      </xdr:nvPicPr>
      <xdr:blipFill>
        <a:blip r:embed="rId1"/>
        <a:stretch>
          <a:fillRect/>
        </a:stretch>
      </xdr:blipFill>
      <xdr:spPr>
        <a:xfrm>
          <a:off x="4667250" y="47625"/>
          <a:ext cx="12382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19050</xdr:rowOff>
    </xdr:from>
    <xdr:to>
      <xdr:col>2</xdr:col>
      <xdr:colOff>1019175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95950" y="19050"/>
          <a:ext cx="125730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gustavoj%20Copia%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julia%20Copia%20de%20plana%20ejecutiva%20bcp%20(004).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53.12\Users\User\AppData\Local\Temp\Notas%20a%20los%20Estados%20Financieros%2031.03.2021%20Borrad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row r="6">
          <cell r="B6">
            <v>44286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cell r="L6" t="str">
            <v>Gerente Gral Adjunto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de Informatica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s>
    <sheetDataSet>
      <sheetData sheetId="0">
        <row r="10">
          <cell r="L10" t="str">
            <v>Auditora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O C"/>
      <sheetName val="ANEXO D"/>
    </sheetNames>
    <sheetDataSet>
      <sheetData sheetId="45">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2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8.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29.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1">
      <selection activeCell="D30" sqref="D30"/>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45" customWidth="1"/>
    <col min="5" max="5" width="49.8515625" style="2" bestFit="1" customWidth="1"/>
    <col min="6" max="6" width="6.7109375" style="2" bestFit="1" customWidth="1"/>
    <col min="7" max="16384" width="11.421875" style="2" customWidth="1"/>
  </cols>
  <sheetData>
    <row r="1" spans="2:4" ht="12.75">
      <c r="B1" s="443" t="s">
        <v>840</v>
      </c>
      <c r="C1" s="447" t="s">
        <v>918</v>
      </c>
      <c r="D1" s="2"/>
    </row>
    <row r="2" spans="19:20" ht="12.75">
      <c r="S2" s="2">
        <v>1</v>
      </c>
      <c r="T2" s="2" t="s">
        <v>457</v>
      </c>
    </row>
    <row r="3" spans="19:20" ht="12.75">
      <c r="S3" s="2">
        <v>2</v>
      </c>
      <c r="T3" s="2" t="s">
        <v>458</v>
      </c>
    </row>
    <row r="4" spans="19:20" ht="12.75">
      <c r="S4" s="2">
        <v>3</v>
      </c>
      <c r="T4" s="2" t="s">
        <v>459</v>
      </c>
    </row>
    <row r="5" spans="19:20" ht="12.75">
      <c r="S5" s="2">
        <v>4</v>
      </c>
      <c r="T5" s="2" t="s">
        <v>460</v>
      </c>
    </row>
    <row r="6" spans="1:20" ht="12.75">
      <c r="A6" s="443" t="s">
        <v>837</v>
      </c>
      <c r="B6" s="442">
        <v>44469</v>
      </c>
      <c r="S6" s="2">
        <v>5</v>
      </c>
      <c r="T6" s="2" t="s">
        <v>461</v>
      </c>
    </row>
    <row r="7" spans="1:20" ht="12.75" customHeight="1" hidden="1">
      <c r="A7" s="31"/>
      <c r="B7" s="31"/>
      <c r="C7" s="31"/>
      <c r="D7" s="264"/>
      <c r="S7" s="2">
        <v>6</v>
      </c>
      <c r="T7" s="2" t="s">
        <v>462</v>
      </c>
    </row>
    <row r="8" spans="1:20" ht="12.75">
      <c r="A8" s="310"/>
      <c r="S8" s="2">
        <v>7</v>
      </c>
      <c r="T8" s="2" t="s">
        <v>463</v>
      </c>
    </row>
    <row r="9" spans="2:20" ht="26.25" customHeight="1">
      <c r="B9" s="311"/>
      <c r="C9" s="312" t="s">
        <v>22</v>
      </c>
      <c r="D9" s="316" t="s">
        <v>381</v>
      </c>
      <c r="S9" s="2">
        <v>8</v>
      </c>
      <c r="T9" s="2" t="s">
        <v>464</v>
      </c>
    </row>
    <row r="10" spans="2:20" ht="26.25" customHeight="1">
      <c r="B10" s="313" t="s">
        <v>431</v>
      </c>
      <c r="C10" s="296"/>
      <c r="D10" s="317"/>
      <c r="S10" s="2">
        <v>9</v>
      </c>
      <c r="T10" s="2" t="s">
        <v>465</v>
      </c>
    </row>
    <row r="11" spans="1:20" ht="15">
      <c r="A11" s="85"/>
      <c r="B11" s="314"/>
      <c r="C11" s="297" t="s">
        <v>355</v>
      </c>
      <c r="D11" s="318" t="s">
        <v>23</v>
      </c>
      <c r="S11" s="2">
        <v>10</v>
      </c>
      <c r="T11" s="2" t="s">
        <v>466</v>
      </c>
    </row>
    <row r="12" spans="1:20" ht="15">
      <c r="A12" s="85"/>
      <c r="B12" s="314"/>
      <c r="C12" s="297" t="s">
        <v>39</v>
      </c>
      <c r="D12" s="319" t="s">
        <v>24</v>
      </c>
      <c r="S12" s="2">
        <v>11</v>
      </c>
      <c r="T12" s="2" t="s">
        <v>467</v>
      </c>
    </row>
    <row r="13" spans="1:20" ht="15">
      <c r="A13" s="85"/>
      <c r="B13" s="313" t="s">
        <v>284</v>
      </c>
      <c r="C13" s="297"/>
      <c r="D13" s="318" t="s">
        <v>132</v>
      </c>
      <c r="S13" s="2">
        <v>12</v>
      </c>
      <c r="T13" s="2" t="s">
        <v>468</v>
      </c>
    </row>
    <row r="14" spans="1:4" ht="12.75">
      <c r="A14" s="85"/>
      <c r="B14" s="314"/>
      <c r="C14" s="30" t="s">
        <v>223</v>
      </c>
      <c r="D14" s="320" t="s">
        <v>25</v>
      </c>
    </row>
    <row r="15" spans="1:4" ht="12.75">
      <c r="A15" s="85"/>
      <c r="B15" s="314"/>
      <c r="C15" s="30" t="s">
        <v>110</v>
      </c>
      <c r="D15" s="320" t="s">
        <v>26</v>
      </c>
    </row>
    <row r="16" spans="1:4" ht="12.75">
      <c r="A16" s="85"/>
      <c r="B16" s="314"/>
      <c r="C16" s="30" t="s">
        <v>224</v>
      </c>
      <c r="D16" s="320" t="s">
        <v>27</v>
      </c>
    </row>
    <row r="17" spans="1:4" ht="12.75">
      <c r="A17" s="85"/>
      <c r="B17" s="314"/>
      <c r="C17" s="30" t="s">
        <v>40</v>
      </c>
      <c r="D17" s="320" t="s">
        <v>28</v>
      </c>
    </row>
    <row r="18" spans="1:4" ht="15">
      <c r="A18" s="85"/>
      <c r="B18" s="314"/>
      <c r="C18" s="30" t="s">
        <v>224</v>
      </c>
      <c r="D18" s="319" t="s">
        <v>27</v>
      </c>
    </row>
    <row r="19" spans="1:4" ht="12.75">
      <c r="A19" s="85"/>
      <c r="B19" s="314"/>
      <c r="C19" s="30" t="s">
        <v>225</v>
      </c>
      <c r="D19" s="320" t="s">
        <v>29</v>
      </c>
    </row>
    <row r="20" spans="1:4" ht="12.75">
      <c r="A20" s="85"/>
      <c r="B20" s="314"/>
      <c r="C20" s="30" t="s">
        <v>414</v>
      </c>
      <c r="D20" s="320" t="s">
        <v>30</v>
      </c>
    </row>
    <row r="21" spans="1:4" ht="12.75">
      <c r="A21" s="85"/>
      <c r="B21" s="314"/>
      <c r="C21" s="30" t="s">
        <v>356</v>
      </c>
      <c r="D21" s="320" t="s">
        <v>31</v>
      </c>
    </row>
    <row r="22" spans="1:4" ht="12.75">
      <c r="A22" s="85"/>
      <c r="B22" s="314"/>
      <c r="C22" s="30" t="s">
        <v>244</v>
      </c>
      <c r="D22" s="320" t="s">
        <v>32</v>
      </c>
    </row>
    <row r="23" spans="1:4" ht="15">
      <c r="A23" s="85"/>
      <c r="B23" s="314"/>
      <c r="C23" s="30" t="s">
        <v>125</v>
      </c>
      <c r="D23" s="319" t="s">
        <v>33</v>
      </c>
    </row>
    <row r="24" spans="1:4" ht="15">
      <c r="A24" s="85"/>
      <c r="B24" s="314"/>
      <c r="C24" s="30" t="s">
        <v>131</v>
      </c>
      <c r="D24" s="318" t="s">
        <v>34</v>
      </c>
    </row>
    <row r="25" spans="1:4" ht="15">
      <c r="A25" s="85"/>
      <c r="B25" s="314"/>
      <c r="C25" s="30" t="s">
        <v>111</v>
      </c>
      <c r="D25" s="319" t="s">
        <v>35</v>
      </c>
    </row>
    <row r="26" spans="1:4" ht="12.75">
      <c r="A26" s="85"/>
      <c r="B26" s="314"/>
      <c r="C26" s="30" t="s">
        <v>112</v>
      </c>
      <c r="D26" s="320" t="s">
        <v>36</v>
      </c>
    </row>
    <row r="27" spans="1:4" ht="12.75">
      <c r="A27" s="85"/>
      <c r="B27" s="314"/>
      <c r="C27" s="30" t="s">
        <v>133</v>
      </c>
      <c r="D27" s="320" t="s">
        <v>37</v>
      </c>
    </row>
    <row r="28" spans="1:4" ht="12.75">
      <c r="A28" s="85"/>
      <c r="B28" s="314"/>
      <c r="C28" s="30" t="s">
        <v>67</v>
      </c>
      <c r="D28" s="320" t="s">
        <v>38</v>
      </c>
    </row>
    <row r="29" spans="1:4" ht="15">
      <c r="A29" s="85"/>
      <c r="B29" s="314"/>
      <c r="C29" s="30" t="s">
        <v>68</v>
      </c>
      <c r="D29" s="319" t="s">
        <v>357</v>
      </c>
    </row>
    <row r="30" spans="1:4" ht="15">
      <c r="A30" s="85"/>
      <c r="B30" s="314"/>
      <c r="C30" s="30" t="s">
        <v>69</v>
      </c>
      <c r="D30" s="319" t="s">
        <v>358</v>
      </c>
    </row>
    <row r="31" spans="1:4" ht="15">
      <c r="A31" s="85"/>
      <c r="B31" s="314"/>
      <c r="C31" s="30" t="s">
        <v>250</v>
      </c>
      <c r="D31" s="319" t="s">
        <v>359</v>
      </c>
    </row>
    <row r="32" spans="1:4" ht="15">
      <c r="A32" s="85"/>
      <c r="B32" s="314"/>
      <c r="C32" s="30" t="s">
        <v>361</v>
      </c>
      <c r="D32" s="319" t="s">
        <v>36</v>
      </c>
    </row>
    <row r="33" spans="1:4" ht="15">
      <c r="A33" s="85"/>
      <c r="B33" s="314"/>
      <c r="C33" s="30" t="s">
        <v>363</v>
      </c>
      <c r="D33" s="319" t="s">
        <v>359</v>
      </c>
    </row>
    <row r="34" spans="1:4" ht="15">
      <c r="A34" s="85"/>
      <c r="B34" s="314"/>
      <c r="C34" s="30" t="s">
        <v>254</v>
      </c>
      <c r="D34" s="319" t="s">
        <v>360</v>
      </c>
    </row>
    <row r="35" spans="1:4" ht="15">
      <c r="A35" s="85"/>
      <c r="B35" s="314"/>
      <c r="C35" s="30" t="s">
        <v>43</v>
      </c>
      <c r="D35" s="319" t="s">
        <v>364</v>
      </c>
    </row>
    <row r="36" spans="1:4" ht="15">
      <c r="A36" s="85"/>
      <c r="B36" s="314"/>
      <c r="C36" s="30" t="s">
        <v>81</v>
      </c>
      <c r="D36" s="319" t="s">
        <v>364</v>
      </c>
    </row>
    <row r="37" spans="1:4" ht="15">
      <c r="A37" s="85"/>
      <c r="B37" s="314"/>
      <c r="C37" s="30" t="s">
        <v>255</v>
      </c>
      <c r="D37" s="319" t="s">
        <v>364</v>
      </c>
    </row>
    <row r="38" spans="1:4" ht="15">
      <c r="A38" s="85"/>
      <c r="B38" s="314"/>
      <c r="C38" s="30" t="s">
        <v>417</v>
      </c>
      <c r="D38" s="319" t="s">
        <v>364</v>
      </c>
    </row>
    <row r="39" spans="1:4" ht="15">
      <c r="A39" s="85"/>
      <c r="B39" s="314"/>
      <c r="C39" s="30" t="s">
        <v>70</v>
      </c>
      <c r="D39" s="319" t="s">
        <v>365</v>
      </c>
    </row>
    <row r="40" spans="1:4" ht="15">
      <c r="A40" s="85"/>
      <c r="B40" s="314"/>
      <c r="C40" s="30" t="s">
        <v>44</v>
      </c>
      <c r="D40" s="319" t="s">
        <v>366</v>
      </c>
    </row>
    <row r="41" spans="1:4" ht="15">
      <c r="A41" s="85"/>
      <c r="B41" s="314"/>
      <c r="C41" s="30" t="s">
        <v>71</v>
      </c>
      <c r="D41" s="319" t="s">
        <v>367</v>
      </c>
    </row>
    <row r="42" spans="1:4" ht="15">
      <c r="A42" s="85"/>
      <c r="B42" s="313" t="s">
        <v>57</v>
      </c>
      <c r="C42" s="297"/>
      <c r="D42" s="318" t="s">
        <v>148</v>
      </c>
    </row>
    <row r="43" spans="1:4" ht="15">
      <c r="A43" s="85"/>
      <c r="B43" s="314"/>
      <c r="C43" s="30" t="s">
        <v>63</v>
      </c>
      <c r="D43" s="319" t="s">
        <v>368</v>
      </c>
    </row>
    <row r="44" spans="1:4" ht="15">
      <c r="A44" s="85"/>
      <c r="B44" s="314"/>
      <c r="C44" s="30" t="s">
        <v>156</v>
      </c>
      <c r="D44" s="319" t="s">
        <v>369</v>
      </c>
    </row>
    <row r="45" spans="1:4" ht="15">
      <c r="A45" s="85"/>
      <c r="B45" s="314"/>
      <c r="C45" s="30" t="s">
        <v>260</v>
      </c>
      <c r="D45" s="319" t="s">
        <v>370</v>
      </c>
    </row>
    <row r="46" spans="1:4" ht="15">
      <c r="A46" s="85"/>
      <c r="B46" s="314"/>
      <c r="C46" s="30" t="s">
        <v>184</v>
      </c>
      <c r="D46" s="319" t="s">
        <v>370</v>
      </c>
    </row>
    <row r="47" spans="1:4" ht="15">
      <c r="A47" s="85"/>
      <c r="B47" s="314"/>
      <c r="C47" s="30" t="s">
        <v>372</v>
      </c>
      <c r="D47" s="319" t="s">
        <v>371</v>
      </c>
    </row>
    <row r="48" spans="1:4" ht="15">
      <c r="A48" s="85"/>
      <c r="B48" s="314"/>
      <c r="C48" s="30" t="s">
        <v>419</v>
      </c>
      <c r="D48" s="319" t="s">
        <v>373</v>
      </c>
    </row>
    <row r="49" spans="1:4" ht="15">
      <c r="A49" s="85"/>
      <c r="B49" s="314"/>
      <c r="C49" s="30" t="s">
        <v>422</v>
      </c>
      <c r="D49" s="319" t="s">
        <v>373</v>
      </c>
    </row>
    <row r="50" spans="1:4" ht="15">
      <c r="A50" s="85"/>
      <c r="B50" s="314"/>
      <c r="C50" s="30" t="s">
        <v>162</v>
      </c>
      <c r="D50" s="319" t="s">
        <v>374</v>
      </c>
    </row>
    <row r="51" spans="1:4" ht="15">
      <c r="A51" s="85"/>
      <c r="B51" s="314"/>
      <c r="C51" s="30" t="s">
        <v>163</v>
      </c>
      <c r="D51" s="319" t="s">
        <v>375</v>
      </c>
    </row>
    <row r="52" spans="1:4" ht="15">
      <c r="A52" s="85"/>
      <c r="B52" s="314"/>
      <c r="C52" s="30" t="s">
        <v>46</v>
      </c>
      <c r="D52" s="319" t="s">
        <v>376</v>
      </c>
    </row>
    <row r="53" spans="1:4" ht="15">
      <c r="A53" s="85"/>
      <c r="B53" s="314"/>
      <c r="C53" s="30" t="s">
        <v>73</v>
      </c>
      <c r="D53" s="319" t="s">
        <v>377</v>
      </c>
    </row>
    <row r="54" spans="1:4" ht="15">
      <c r="A54" s="85"/>
      <c r="B54" s="314"/>
      <c r="C54" s="30" t="s">
        <v>74</v>
      </c>
      <c r="D54" s="319" t="s">
        <v>378</v>
      </c>
    </row>
    <row r="55" spans="1:4" ht="15">
      <c r="A55" s="85"/>
      <c r="B55" s="314"/>
      <c r="C55" s="30" t="s">
        <v>380</v>
      </c>
      <c r="D55" s="319" t="s">
        <v>379</v>
      </c>
    </row>
    <row r="56" spans="1:4" ht="15">
      <c r="A56" s="85"/>
      <c r="B56" s="314"/>
      <c r="C56" s="30" t="s">
        <v>75</v>
      </c>
      <c r="D56" s="318" t="s">
        <v>379</v>
      </c>
    </row>
    <row r="57" spans="1:4" ht="15">
      <c r="A57" s="85"/>
      <c r="B57" s="313" t="s">
        <v>58</v>
      </c>
      <c r="C57" s="297"/>
      <c r="D57" s="318" t="s">
        <v>56</v>
      </c>
    </row>
    <row r="58" spans="1:4" ht="15">
      <c r="A58" s="85"/>
      <c r="B58" s="313" t="s">
        <v>285</v>
      </c>
      <c r="C58" s="297"/>
      <c r="D58" s="319" t="s">
        <v>286</v>
      </c>
    </row>
    <row r="59" spans="1:4" ht="15">
      <c r="A59" s="85"/>
      <c r="B59" s="313" t="s">
        <v>432</v>
      </c>
      <c r="C59" s="297"/>
      <c r="D59" s="319"/>
    </row>
    <row r="60" spans="1:4" ht="15">
      <c r="A60" s="85"/>
      <c r="B60" s="314"/>
      <c r="C60" s="30" t="s">
        <v>385</v>
      </c>
      <c r="D60" s="318" t="s">
        <v>386</v>
      </c>
    </row>
    <row r="61" spans="1:4" ht="15">
      <c r="A61" s="85"/>
      <c r="B61" s="314"/>
      <c r="C61" s="30" t="s">
        <v>390</v>
      </c>
      <c r="D61" s="318" t="s">
        <v>391</v>
      </c>
    </row>
    <row r="62" spans="1:4" ht="15">
      <c r="A62" s="85"/>
      <c r="B62" s="314"/>
      <c r="C62" s="30" t="s">
        <v>423</v>
      </c>
      <c r="D62" s="318" t="s">
        <v>393</v>
      </c>
    </row>
    <row r="63" spans="1:4" ht="15">
      <c r="A63" s="85"/>
      <c r="B63" s="314"/>
      <c r="C63" s="30" t="s">
        <v>392</v>
      </c>
      <c r="D63" s="318" t="s">
        <v>394</v>
      </c>
    </row>
    <row r="64" spans="1:4" ht="15">
      <c r="A64" s="85"/>
      <c r="B64" s="315"/>
      <c r="C64" s="444" t="s">
        <v>903</v>
      </c>
      <c r="D64" s="440" t="s">
        <v>904</v>
      </c>
    </row>
    <row r="65" spans="1:4" s="30" customFormat="1" ht="21" customHeight="1">
      <c r="A65" s="32"/>
      <c r="D65" s="265"/>
    </row>
    <row r="66" spans="2:4" ht="12.75">
      <c r="B66" s="30"/>
      <c r="C66" s="30"/>
      <c r="D66" s="85"/>
    </row>
    <row r="67" spans="2:4" ht="12.75">
      <c r="B67" s="30"/>
      <c r="C67" s="30"/>
      <c r="D67" s="85"/>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79"/>
  <sheetViews>
    <sheetView showGridLines="0" zoomScalePageLayoutView="0" workbookViewId="0" topLeftCell="E61">
      <selection activeCell="F9" sqref="F9:K78"/>
    </sheetView>
  </sheetViews>
  <sheetFormatPr defaultColWidth="11.421875" defaultRowHeight="15"/>
  <cols>
    <col min="1" max="1" width="40.28125" style="10" customWidth="1"/>
    <col min="2" max="2" width="27.7109375" style="10" customWidth="1"/>
    <col min="3" max="3" width="25.421875" style="10" customWidth="1"/>
    <col min="4" max="4" width="19.57421875" style="10" customWidth="1"/>
    <col min="5" max="5" width="4.8515625" style="10" customWidth="1"/>
    <col min="6" max="6" width="61.57421875" style="10" customWidth="1"/>
    <col min="7" max="7" width="19.28125" style="10" bestFit="1" customWidth="1"/>
    <col min="8" max="8" width="17.7109375" style="10" customWidth="1"/>
    <col min="9" max="9" width="15.8515625" style="10" bestFit="1" customWidth="1"/>
    <col min="10" max="10" width="13.7109375" style="10" bestFit="1" customWidth="1"/>
    <col min="11" max="11" width="14.7109375" style="10" bestFit="1" customWidth="1"/>
    <col min="12" max="16384" width="11.421875" style="10" customWidth="1"/>
  </cols>
  <sheetData>
    <row r="1" spans="1:6" ht="15">
      <c r="A1" s="12" t="str">
        <f>Indice!C1</f>
        <v>NEGOFIN S.A.E.C.A.</v>
      </c>
      <c r="F1" s="146" t="s">
        <v>132</v>
      </c>
    </row>
    <row r="2" spans="1:6" ht="15">
      <c r="A2" s="241" t="s">
        <v>103</v>
      </c>
      <c r="B2" s="241"/>
      <c r="F2" s="146"/>
    </row>
    <row r="3" spans="1:6" ht="102">
      <c r="A3" s="426" t="s">
        <v>889</v>
      </c>
      <c r="B3" s="241"/>
      <c r="F3" s="146"/>
    </row>
    <row r="4" ht="12.75">
      <c r="C4" s="111"/>
    </row>
    <row r="5" spans="1:5" ht="12.75">
      <c r="A5" s="336" t="s">
        <v>291</v>
      </c>
      <c r="B5" s="336"/>
      <c r="C5" s="385"/>
      <c r="D5" s="385"/>
      <c r="E5" s="385"/>
    </row>
    <row r="6" spans="1:5" ht="12.75">
      <c r="A6" s="2" t="s">
        <v>887</v>
      </c>
      <c r="B6" s="2"/>
      <c r="E6" s="111"/>
    </row>
    <row r="7" spans="1:5" ht="12.75">
      <c r="A7" s="120"/>
      <c r="B7" s="120"/>
      <c r="C7" s="891" t="s">
        <v>243</v>
      </c>
      <c r="D7" s="892"/>
      <c r="E7" s="111"/>
    </row>
    <row r="8" spans="1:5" ht="12.75">
      <c r="A8" s="15"/>
      <c r="B8" s="15"/>
      <c r="C8" s="386">
        <f>_xlfn.IFERROR(IF(Indice!B6="","2XX2",YEAR(Indice!B6)),"2XX2")</f>
        <v>2021</v>
      </c>
      <c r="D8" s="386">
        <f>_xlfn.IFERROR(YEAR(Indice!B6-365),"2XX1")</f>
        <v>2020</v>
      </c>
      <c r="E8" s="111"/>
    </row>
    <row r="9" spans="1:8" ht="12.75">
      <c r="A9" s="242" t="s">
        <v>297</v>
      </c>
      <c r="B9" s="242" t="s">
        <v>449</v>
      </c>
      <c r="C9" s="454">
        <v>528255835.712</v>
      </c>
      <c r="D9" s="454">
        <v>406658162.244</v>
      </c>
      <c r="E9" s="111"/>
      <c r="F9" s="370" t="s">
        <v>879</v>
      </c>
      <c r="G9" s="371" t="s">
        <v>1324</v>
      </c>
      <c r="H9" s="384"/>
    </row>
    <row r="10" spans="1:8" ht="12.75" customHeight="1">
      <c r="A10" s="242" t="s">
        <v>297</v>
      </c>
      <c r="B10" s="242" t="s">
        <v>450</v>
      </c>
      <c r="C10" s="454">
        <v>0</v>
      </c>
      <c r="D10" s="454">
        <v>0</v>
      </c>
      <c r="E10" s="111"/>
      <c r="F10" s="737" t="s">
        <v>292</v>
      </c>
      <c r="G10" s="738" t="s">
        <v>882</v>
      </c>
      <c r="H10" s="106" t="s">
        <v>886</v>
      </c>
    </row>
    <row r="11" spans="1:9" ht="15">
      <c r="A11" s="242" t="s">
        <v>297</v>
      </c>
      <c r="B11" s="242" t="s">
        <v>451</v>
      </c>
      <c r="C11" s="454">
        <v>0</v>
      </c>
      <c r="D11" s="454">
        <v>0</v>
      </c>
      <c r="E11" s="111"/>
      <c r="F11" s="739" t="s">
        <v>8</v>
      </c>
      <c r="G11" s="451">
        <v>373397655.914</v>
      </c>
      <c r="H11" s="551">
        <v>0.3975</v>
      </c>
      <c r="I11" s="707"/>
    </row>
    <row r="12" spans="1:9" ht="12.75">
      <c r="A12" s="242" t="s">
        <v>298</v>
      </c>
      <c r="B12" s="242" t="s">
        <v>449</v>
      </c>
      <c r="C12" s="454">
        <v>0</v>
      </c>
      <c r="D12" s="454">
        <v>0</v>
      </c>
      <c r="E12" s="111"/>
      <c r="F12" s="740" t="s">
        <v>12</v>
      </c>
      <c r="G12" s="240">
        <v>255683709</v>
      </c>
      <c r="H12" s="709"/>
      <c r="I12" s="707"/>
    </row>
    <row r="13" spans="1:9" ht="12.75">
      <c r="A13" s="242" t="s">
        <v>298</v>
      </c>
      <c r="B13" s="242" t="s">
        <v>450</v>
      </c>
      <c r="C13" s="454">
        <v>0</v>
      </c>
      <c r="D13" s="454">
        <v>0</v>
      </c>
      <c r="E13" s="111"/>
      <c r="F13" s="741" t="s">
        <v>102</v>
      </c>
      <c r="G13" s="240"/>
      <c r="H13" s="709"/>
      <c r="I13" s="707"/>
    </row>
    <row r="14" spans="1:9" ht="15">
      <c r="A14" s="242" t="s">
        <v>298</v>
      </c>
      <c r="B14" s="242" t="s">
        <v>451</v>
      </c>
      <c r="C14" s="454">
        <v>0</v>
      </c>
      <c r="D14" s="454">
        <v>0</v>
      </c>
      <c r="E14" s="111"/>
      <c r="F14" s="742" t="s">
        <v>9</v>
      </c>
      <c r="G14" s="451">
        <f>109481093.99-11337</f>
        <v>109469756.99</v>
      </c>
      <c r="H14" s="709">
        <v>0</v>
      </c>
      <c r="I14" s="707"/>
    </row>
    <row r="15" spans="1:9" ht="15">
      <c r="A15" s="242" t="s">
        <v>452</v>
      </c>
      <c r="B15" s="242" t="s">
        <v>449</v>
      </c>
      <c r="C15" s="454">
        <v>0</v>
      </c>
      <c r="D15" s="454">
        <v>0</v>
      </c>
      <c r="E15" s="111"/>
      <c r="F15" s="742" t="s">
        <v>10</v>
      </c>
      <c r="G15" s="451">
        <v>45377085.808</v>
      </c>
      <c r="H15" s="709">
        <v>0.01</v>
      </c>
      <c r="I15" s="707"/>
    </row>
    <row r="16" spans="1:9" ht="12.75">
      <c r="A16" s="242" t="s">
        <v>452</v>
      </c>
      <c r="B16" s="242" t="s">
        <v>450</v>
      </c>
      <c r="C16" s="454">
        <v>0</v>
      </c>
      <c r="D16" s="454">
        <v>0</v>
      </c>
      <c r="E16" s="111"/>
      <c r="F16" s="742" t="s">
        <v>11</v>
      </c>
      <c r="G16" s="240">
        <v>100836866.488</v>
      </c>
      <c r="H16" s="709">
        <v>0.3317</v>
      </c>
      <c r="I16" s="707"/>
    </row>
    <row r="17" spans="1:9" ht="12.75">
      <c r="A17" s="242" t="s">
        <v>452</v>
      </c>
      <c r="B17" s="242" t="s">
        <v>451</v>
      </c>
      <c r="C17" s="454">
        <v>0</v>
      </c>
      <c r="D17" s="454">
        <v>0</v>
      </c>
      <c r="E17" s="111"/>
      <c r="F17" s="739"/>
      <c r="G17" s="743"/>
      <c r="H17" s="376"/>
      <c r="I17" s="707"/>
    </row>
    <row r="18" spans="1:9" ht="12.75">
      <c r="A18" s="242" t="s">
        <v>294</v>
      </c>
      <c r="B18" s="242" t="s">
        <v>449</v>
      </c>
      <c r="C18" s="454">
        <v>0</v>
      </c>
      <c r="D18" s="454">
        <v>0</v>
      </c>
      <c r="E18" s="111"/>
      <c r="F18" s="744" t="s">
        <v>880</v>
      </c>
      <c r="G18" s="240">
        <f>G11+G12</f>
        <v>629081364.914</v>
      </c>
      <c r="H18" s="378"/>
      <c r="I18" s="707"/>
    </row>
    <row r="19" spans="1:9" ht="12.75">
      <c r="A19" s="242" t="s">
        <v>294</v>
      </c>
      <c r="B19" s="242" t="s">
        <v>450</v>
      </c>
      <c r="C19" s="454">
        <v>0</v>
      </c>
      <c r="D19" s="454">
        <v>0</v>
      </c>
      <c r="E19" s="111"/>
      <c r="F19" s="739"/>
      <c r="G19" s="743"/>
      <c r="H19" s="376"/>
      <c r="I19" s="707"/>
    </row>
    <row r="20" spans="1:8" ht="12.75">
      <c r="A20" s="242" t="s">
        <v>294</v>
      </c>
      <c r="B20" s="242" t="s">
        <v>451</v>
      </c>
      <c r="C20" s="454">
        <v>0</v>
      </c>
      <c r="D20" s="454">
        <v>0</v>
      </c>
      <c r="E20" s="111"/>
      <c r="F20" s="745" t="s">
        <v>881</v>
      </c>
      <c r="G20" s="746">
        <f>+C26+C53</f>
        <v>-182327042.42000002</v>
      </c>
      <c r="H20" s="107"/>
    </row>
    <row r="21" spans="1:8" ht="12.75">
      <c r="A21" s="242" t="s">
        <v>296</v>
      </c>
      <c r="B21" s="242" t="s">
        <v>449</v>
      </c>
      <c r="C21" s="454">
        <v>0</v>
      </c>
      <c r="D21" s="454">
        <v>0</v>
      </c>
      <c r="E21" s="111"/>
      <c r="F21" s="747"/>
      <c r="G21" s="748"/>
      <c r="H21" s="368"/>
    </row>
    <row r="22" spans="1:8" ht="12.75">
      <c r="A22" s="242" t="s">
        <v>296</v>
      </c>
      <c r="B22" s="242" t="s">
        <v>450</v>
      </c>
      <c r="C22" s="454">
        <v>0</v>
      </c>
      <c r="D22" s="454">
        <v>0</v>
      </c>
      <c r="E22" s="111"/>
      <c r="F22" s="749" t="s">
        <v>883</v>
      </c>
      <c r="G22" s="750">
        <f>G18+G20</f>
        <v>446754322.494</v>
      </c>
      <c r="H22" s="7"/>
    </row>
    <row r="23" spans="1:8" ht="15" customHeight="1">
      <c r="A23" s="242" t="s">
        <v>453</v>
      </c>
      <c r="B23" s="242" t="s">
        <v>449</v>
      </c>
      <c r="C23" s="454">
        <v>0</v>
      </c>
      <c r="D23" s="454">
        <v>0</v>
      </c>
      <c r="E23" s="111"/>
      <c r="F23" s="9"/>
      <c r="G23" s="372"/>
      <c r="H23" s="15"/>
    </row>
    <row r="24" spans="1:8" ht="12.75">
      <c r="A24" s="242" t="s">
        <v>453</v>
      </c>
      <c r="B24" s="242" t="s">
        <v>450</v>
      </c>
      <c r="C24" s="454">
        <v>0</v>
      </c>
      <c r="D24" s="454">
        <v>0</v>
      </c>
      <c r="E24" s="111"/>
      <c r="F24" s="6" t="s">
        <v>13</v>
      </c>
      <c r="G24" s="373"/>
      <c r="H24" s="373"/>
    </row>
    <row r="25" spans="1:8" ht="12.75">
      <c r="A25" s="242" t="s">
        <v>453</v>
      </c>
      <c r="B25" s="242" t="s">
        <v>451</v>
      </c>
      <c r="C25" s="454">
        <v>0</v>
      </c>
      <c r="D25" s="454">
        <v>0</v>
      </c>
      <c r="E25" s="111"/>
      <c r="F25" s="123" t="s">
        <v>14</v>
      </c>
      <c r="G25" s="374" t="s">
        <v>884</v>
      </c>
      <c r="H25" s="374" t="s">
        <v>885</v>
      </c>
    </row>
    <row r="26" spans="1:8" ht="12.75">
      <c r="A26" s="242" t="s">
        <v>454</v>
      </c>
      <c r="B26" s="242"/>
      <c r="C26" s="454">
        <v>-153154715.6328</v>
      </c>
      <c r="D26" s="454">
        <v>-153198888.423</v>
      </c>
      <c r="E26" s="111"/>
      <c r="F26" s="9" t="s">
        <v>9</v>
      </c>
      <c r="G26" s="243">
        <v>1</v>
      </c>
      <c r="H26" s="243">
        <v>30</v>
      </c>
    </row>
    <row r="27" spans="1:8" ht="12.75">
      <c r="A27" s="6" t="s">
        <v>3</v>
      </c>
      <c r="B27" s="6"/>
      <c r="C27" s="455">
        <f>+SUM($C$9:C26)</f>
        <v>375101120.0792</v>
      </c>
      <c r="D27" s="455">
        <f>+SUM($D$9:D26)</f>
        <v>253459273.821</v>
      </c>
      <c r="E27" s="111"/>
      <c r="F27" s="9" t="s">
        <v>10</v>
      </c>
      <c r="G27" s="243">
        <v>31</v>
      </c>
      <c r="H27" s="243">
        <v>60</v>
      </c>
    </row>
    <row r="28" spans="1:8" ht="12.75">
      <c r="A28" s="2"/>
      <c r="B28" s="2"/>
      <c r="E28" s="111"/>
      <c r="F28" s="9" t="s">
        <v>11</v>
      </c>
      <c r="G28" s="243">
        <v>61</v>
      </c>
      <c r="H28" s="243">
        <v>10000</v>
      </c>
    </row>
    <row r="29" spans="1:5" ht="12.75">
      <c r="A29" s="120"/>
      <c r="B29" s="120"/>
      <c r="E29" s="111"/>
    </row>
    <row r="30" spans="1:6" ht="12.75">
      <c r="A30" s="2" t="s">
        <v>888</v>
      </c>
      <c r="B30" s="2"/>
      <c r="E30" s="111"/>
      <c r="F30" s="10" t="s">
        <v>1058</v>
      </c>
    </row>
    <row r="31" spans="1:5" ht="12.75">
      <c r="A31" s="120"/>
      <c r="B31" s="120"/>
      <c r="C31" s="891" t="s">
        <v>243</v>
      </c>
      <c r="D31" s="892"/>
      <c r="E31" s="111"/>
    </row>
    <row r="32" spans="1:6" ht="15">
      <c r="A32" s="15"/>
      <c r="B32" s="15"/>
      <c r="C32" s="386">
        <f>_xlfn.IFERROR(IF(Indice!B6="","2XX2",YEAR(Indice!B6)),"2XX2")</f>
        <v>2021</v>
      </c>
      <c r="D32" s="386">
        <f>_xlfn.IFERROR(YEAR(Indice!B6-365),"2XX1")</f>
        <v>2020</v>
      </c>
      <c r="E32" s="111"/>
      <c r="F32" s="552" t="s">
        <v>1059</v>
      </c>
    </row>
    <row r="33" spans="1:6" ht="15">
      <c r="A33" s="242" t="s">
        <v>297</v>
      </c>
      <c r="B33" s="242" t="s">
        <v>449</v>
      </c>
      <c r="C33" s="454">
        <v>95043701.292</v>
      </c>
      <c r="D33" s="454">
        <v>90410526.718</v>
      </c>
      <c r="F33" s="552" t="s">
        <v>1060</v>
      </c>
    </row>
    <row r="34" spans="1:4" ht="15" customHeight="1">
      <c r="A34" s="242" t="s">
        <v>297</v>
      </c>
      <c r="B34" s="242" t="s">
        <v>450</v>
      </c>
      <c r="C34" s="454">
        <v>0</v>
      </c>
      <c r="D34" s="454">
        <v>0</v>
      </c>
    </row>
    <row r="35" spans="1:4" ht="12.75">
      <c r="A35" s="242" t="s">
        <v>297</v>
      </c>
      <c r="B35" s="242" t="s">
        <v>451</v>
      </c>
      <c r="C35" s="454">
        <v>0</v>
      </c>
      <c r="D35" s="454">
        <v>0</v>
      </c>
    </row>
    <row r="36" spans="1:4" ht="12.75">
      <c r="A36" s="242" t="s">
        <v>298</v>
      </c>
      <c r="B36" s="242" t="s">
        <v>449</v>
      </c>
      <c r="C36" s="454">
        <v>0</v>
      </c>
      <c r="D36" s="454">
        <v>0</v>
      </c>
    </row>
    <row r="37" spans="1:4" ht="12.75">
      <c r="A37" s="242" t="s">
        <v>298</v>
      </c>
      <c r="B37" s="242" t="s">
        <v>450</v>
      </c>
      <c r="C37" s="454">
        <v>0</v>
      </c>
      <c r="D37" s="454">
        <v>0</v>
      </c>
    </row>
    <row r="38" spans="1:4" ht="12.75">
      <c r="A38" s="242" t="s">
        <v>298</v>
      </c>
      <c r="B38" s="242" t="s">
        <v>451</v>
      </c>
      <c r="C38" s="454">
        <v>0</v>
      </c>
      <c r="D38" s="454">
        <v>0</v>
      </c>
    </row>
    <row r="39" spans="1:4" ht="12.75">
      <c r="A39" s="242" t="s">
        <v>452</v>
      </c>
      <c r="B39" s="242" t="s">
        <v>449</v>
      </c>
      <c r="C39" s="454">
        <v>0</v>
      </c>
      <c r="D39" s="454">
        <v>0</v>
      </c>
    </row>
    <row r="40" spans="1:4" ht="12.75">
      <c r="A40" s="242" t="s">
        <v>452</v>
      </c>
      <c r="B40" s="242" t="s">
        <v>450</v>
      </c>
      <c r="C40" s="454">
        <v>0</v>
      </c>
      <c r="D40" s="454">
        <v>0</v>
      </c>
    </row>
    <row r="41" spans="1:4" ht="12.75">
      <c r="A41" s="242" t="s">
        <v>452</v>
      </c>
      <c r="B41" s="242" t="s">
        <v>451</v>
      </c>
      <c r="C41" s="454">
        <v>0</v>
      </c>
      <c r="D41" s="454">
        <v>0</v>
      </c>
    </row>
    <row r="42" spans="1:4" ht="12.75">
      <c r="A42" s="242" t="s">
        <v>294</v>
      </c>
      <c r="B42" s="242" t="s">
        <v>449</v>
      </c>
      <c r="C42" s="454">
        <v>0</v>
      </c>
      <c r="D42" s="454">
        <v>0</v>
      </c>
    </row>
    <row r="43" spans="1:4" ht="12.75">
      <c r="A43" s="242" t="s">
        <v>294</v>
      </c>
      <c r="B43" s="242" t="s">
        <v>450</v>
      </c>
      <c r="C43" s="454">
        <v>0</v>
      </c>
      <c r="D43" s="454">
        <v>0</v>
      </c>
    </row>
    <row r="44" spans="1:4" ht="12.75">
      <c r="A44" s="242" t="s">
        <v>294</v>
      </c>
      <c r="B44" s="242" t="s">
        <v>451</v>
      </c>
      <c r="C44" s="454">
        <v>0</v>
      </c>
      <c r="D44" s="454">
        <v>0</v>
      </c>
    </row>
    <row r="45" spans="1:4" ht="15">
      <c r="A45" s="242" t="s">
        <v>295</v>
      </c>
      <c r="B45" s="242" t="s">
        <v>449</v>
      </c>
      <c r="C45" s="456">
        <v>4576500.793</v>
      </c>
      <c r="D45" s="454">
        <v>3812310.112</v>
      </c>
    </row>
    <row r="46" spans="1:6" ht="12.75">
      <c r="A46" s="242" t="s">
        <v>295</v>
      </c>
      <c r="B46" s="242" t="s">
        <v>450</v>
      </c>
      <c r="C46" s="454">
        <v>0</v>
      </c>
      <c r="D46" s="454">
        <v>0</v>
      </c>
      <c r="F46" s="553" t="s">
        <v>1061</v>
      </c>
    </row>
    <row r="47" spans="1:6" ht="15">
      <c r="A47" s="242" t="s">
        <v>295</v>
      </c>
      <c r="B47" s="242" t="s">
        <v>451</v>
      </c>
      <c r="C47" s="454">
        <v>0</v>
      </c>
      <c r="D47" s="454">
        <v>0</v>
      </c>
      <c r="F47" s="800" t="s">
        <v>1344</v>
      </c>
    </row>
    <row r="48" spans="1:6" ht="12.75">
      <c r="A48" s="242" t="s">
        <v>296</v>
      </c>
      <c r="B48" s="242" t="s">
        <v>449</v>
      </c>
      <c r="C48" s="454">
        <v>1205327.403</v>
      </c>
      <c r="D48" s="454">
        <v>1170341.854</v>
      </c>
      <c r="F48" s="10" t="s">
        <v>1345</v>
      </c>
    </row>
    <row r="49" spans="1:6" ht="12.75">
      <c r="A49" s="242" t="s">
        <v>296</v>
      </c>
      <c r="B49" s="242" t="s">
        <v>450</v>
      </c>
      <c r="C49" s="454">
        <v>0</v>
      </c>
      <c r="D49" s="454">
        <v>0</v>
      </c>
      <c r="F49" s="708" t="s">
        <v>1346</v>
      </c>
    </row>
    <row r="50" spans="1:4" ht="12.75">
      <c r="A50" s="242" t="s">
        <v>453</v>
      </c>
      <c r="B50" s="242" t="s">
        <v>449</v>
      </c>
      <c r="C50" s="454">
        <v>0</v>
      </c>
      <c r="D50" s="454">
        <v>0</v>
      </c>
    </row>
    <row r="51" spans="1:11" ht="15">
      <c r="A51" s="242" t="s">
        <v>453</v>
      </c>
      <c r="B51" s="242" t="s">
        <v>450</v>
      </c>
      <c r="C51" s="454">
        <v>0</v>
      </c>
      <c r="D51" s="454">
        <v>0</v>
      </c>
      <c r="F51" s="704"/>
      <c r="G51" s="451"/>
      <c r="H51" s="451"/>
      <c r="I51" s="451"/>
      <c r="J51" s="451"/>
      <c r="K51" s="451"/>
    </row>
    <row r="52" spans="1:11" ht="15">
      <c r="A52" s="242" t="s">
        <v>453</v>
      </c>
      <c r="B52" s="242" t="s">
        <v>451</v>
      </c>
      <c r="C52" s="454">
        <v>0</v>
      </c>
      <c r="D52" s="454">
        <v>0</v>
      </c>
      <c r="F52" s="720"/>
      <c r="G52" s="704"/>
      <c r="H52" s="451"/>
      <c r="I52" s="451"/>
      <c r="J52" s="451"/>
      <c r="K52" s="451"/>
    </row>
    <row r="53" spans="1:11" ht="15">
      <c r="A53" s="242" t="s">
        <v>454</v>
      </c>
      <c r="B53" s="242"/>
      <c r="C53" s="454">
        <v>-29172326.7872</v>
      </c>
      <c r="D53" s="454">
        <v>-29180740.652</v>
      </c>
      <c r="F53" s="710"/>
      <c r="G53" s="451"/>
      <c r="H53" s="451"/>
      <c r="I53" s="451"/>
      <c r="J53" s="451"/>
      <c r="K53" s="451"/>
    </row>
    <row r="54" spans="1:11" ht="15">
      <c r="A54" s="6" t="s">
        <v>3</v>
      </c>
      <c r="B54" s="6"/>
      <c r="C54" s="455">
        <f>+SUM($C$33:C53)</f>
        <v>71653202.70079999</v>
      </c>
      <c r="D54" s="455">
        <f>+SUM($D$33:D53)</f>
        <v>66212438.032000005</v>
      </c>
      <c r="F54" t="s">
        <v>1285</v>
      </c>
      <c r="G54" t="s">
        <v>1343</v>
      </c>
      <c r="H54"/>
      <c r="I54"/>
      <c r="J54"/>
      <c r="K54"/>
    </row>
    <row r="55" spans="2:11" ht="15">
      <c r="B55" s="241"/>
      <c r="C55" s="734"/>
      <c r="D55" s="241"/>
      <c r="F55" s="324"/>
      <c r="G55" s="797"/>
      <c r="H55" s="797"/>
      <c r="I55" s="797"/>
      <c r="J55" s="797"/>
      <c r="K55" s="797"/>
    </row>
    <row r="56" spans="1:11" ht="15">
      <c r="A56" s="241"/>
      <c r="B56" s="241"/>
      <c r="C56" s="734"/>
      <c r="D56" s="241"/>
      <c r="F56" s="324" t="s">
        <v>1286</v>
      </c>
      <c r="G56" s="797" t="s">
        <v>1287</v>
      </c>
      <c r="H56" s="797" t="s">
        <v>1288</v>
      </c>
      <c r="I56" s="797" t="s">
        <v>1289</v>
      </c>
      <c r="J56" s="797" t="s">
        <v>1290</v>
      </c>
      <c r="K56" s="797" t="s">
        <v>1291</v>
      </c>
    </row>
    <row r="57" spans="1:11" ht="15">
      <c r="A57" s="241"/>
      <c r="B57" s="241"/>
      <c r="C57" s="694"/>
      <c r="D57" s="694"/>
      <c r="E57" s="241"/>
      <c r="F57">
        <v>1</v>
      </c>
      <c r="G57" s="708">
        <v>528244498712</v>
      </c>
      <c r="H57" s="708">
        <v>394844310741</v>
      </c>
      <c r="I57" s="708">
        <v>133400187971</v>
      </c>
      <c r="J57" s="708">
        <v>0</v>
      </c>
      <c r="K57" s="708">
        <v>133400187971</v>
      </c>
    </row>
    <row r="58" spans="3:11" ht="15">
      <c r="C58" s="457"/>
      <c r="D58" s="457"/>
      <c r="E58" s="241"/>
      <c r="F58">
        <v>2</v>
      </c>
      <c r="G58" s="708">
        <v>22859714027</v>
      </c>
      <c r="H58" s="708">
        <v>18209214364</v>
      </c>
      <c r="I58" s="708">
        <v>4650499663</v>
      </c>
      <c r="J58" s="708">
        <v>910458616</v>
      </c>
      <c r="K58" s="708">
        <v>5560958279</v>
      </c>
    </row>
    <row r="59" spans="3:11" ht="15">
      <c r="C59" s="457"/>
      <c r="D59" s="457"/>
      <c r="E59" s="241"/>
      <c r="F59">
        <v>3</v>
      </c>
      <c r="G59" s="708">
        <v>29401882261</v>
      </c>
      <c r="H59" s="708">
        <v>22696970912</v>
      </c>
      <c r="I59" s="708">
        <v>6704911349</v>
      </c>
      <c r="J59" s="708">
        <v>5674240516</v>
      </c>
      <c r="K59" s="708">
        <v>12379151865</v>
      </c>
    </row>
    <row r="60" spans="3:11" ht="15">
      <c r="C60" s="457"/>
      <c r="D60" s="695"/>
      <c r="E60" s="241"/>
      <c r="F60">
        <v>4</v>
      </c>
      <c r="G60" s="708">
        <v>11185114218</v>
      </c>
      <c r="H60" s="708">
        <v>8780201251</v>
      </c>
      <c r="I60" s="708">
        <v>2404912967</v>
      </c>
      <c r="J60" s="708">
        <v>4390100091</v>
      </c>
      <c r="K60" s="708">
        <v>6795013058</v>
      </c>
    </row>
    <row r="61" spans="3:11" ht="15">
      <c r="C61" s="695"/>
      <c r="D61" s="695"/>
      <c r="F61">
        <v>5</v>
      </c>
      <c r="G61" s="708">
        <v>25291780304</v>
      </c>
      <c r="H61" s="708">
        <v>19259945964</v>
      </c>
      <c r="I61" s="708">
        <v>6031834340</v>
      </c>
      <c r="J61" s="708">
        <v>14444957558</v>
      </c>
      <c r="K61" s="708">
        <v>20476791898</v>
      </c>
    </row>
    <row r="62" spans="3:11" ht="15">
      <c r="C62" s="695"/>
      <c r="D62" s="695"/>
      <c r="F62" s="704">
        <v>6</v>
      </c>
      <c r="G62" s="708">
        <v>10893048275</v>
      </c>
      <c r="H62" s="451">
        <v>8484743173</v>
      </c>
      <c r="I62" s="451">
        <v>2408305102</v>
      </c>
      <c r="J62" s="451">
        <v>8484743173</v>
      </c>
      <c r="K62" s="451">
        <v>10893048275</v>
      </c>
    </row>
    <row r="63" spans="6:11" ht="15">
      <c r="F63" s="97" t="s">
        <v>130</v>
      </c>
      <c r="G63" s="708">
        <v>627876037797</v>
      </c>
      <c r="H63" s="451">
        <v>472275386405</v>
      </c>
      <c r="I63" s="451">
        <v>155600651392</v>
      </c>
      <c r="J63" s="451">
        <v>33904499954</v>
      </c>
      <c r="K63" s="451">
        <v>189505151346</v>
      </c>
    </row>
    <row r="64" spans="6:11" ht="15">
      <c r="F64" s="24"/>
      <c r="G64" s="708">
        <v>1205327403</v>
      </c>
      <c r="H64" s="511"/>
      <c r="I64" s="511"/>
      <c r="J64" s="451"/>
      <c r="K64" s="451"/>
    </row>
    <row r="65" spans="6:11" ht="15">
      <c r="F65" s="792" t="s">
        <v>1292</v>
      </c>
      <c r="G65" s="798">
        <f>+G64+G63</f>
        <v>629081365200</v>
      </c>
      <c r="H65" s="511"/>
      <c r="I65" s="511"/>
      <c r="J65" s="451"/>
      <c r="K65" s="451" t="s">
        <v>1293</v>
      </c>
    </row>
    <row r="66" spans="6:11" ht="15">
      <c r="F66" s="24" t="s">
        <v>1294</v>
      </c>
      <c r="G66" s="511">
        <v>100836866488</v>
      </c>
      <c r="H66" s="511"/>
      <c r="I66" s="511"/>
      <c r="J66" s="451"/>
      <c r="K66" s="794"/>
    </row>
    <row r="67" spans="6:11" ht="15">
      <c r="F67" s="24" t="s">
        <v>1295</v>
      </c>
      <c r="G67" s="733">
        <v>0.1602922484533325</v>
      </c>
      <c r="H67" s="511"/>
      <c r="I67" s="511"/>
      <c r="J67" s="451"/>
      <c r="K67" s="451"/>
    </row>
    <row r="68" spans="6:11" ht="15">
      <c r="F68" s="147" t="s">
        <v>1296</v>
      </c>
      <c r="G68" s="733">
        <v>33904499954</v>
      </c>
      <c r="H68" s="511"/>
      <c r="I68" s="511"/>
      <c r="J68" s="451"/>
      <c r="K68" s="451"/>
    </row>
    <row r="69" spans="6:11" ht="15">
      <c r="F69" s="147" t="s">
        <v>1297</v>
      </c>
      <c r="G69" s="733">
        <v>148422542466</v>
      </c>
      <c r="H69" s="511"/>
      <c r="I69" s="511"/>
      <c r="J69" s="795"/>
      <c r="K69" s="451"/>
    </row>
    <row r="70" spans="6:11" ht="15">
      <c r="F70" s="147" t="s">
        <v>130</v>
      </c>
      <c r="G70" s="511">
        <v>182327042420</v>
      </c>
      <c r="H70" s="796"/>
      <c r="I70" s="511"/>
      <c r="J70" s="451"/>
      <c r="K70" s="451"/>
    </row>
    <row r="71" spans="6:11" ht="15.75" thickBot="1">
      <c r="F71" s="792" t="s">
        <v>1298</v>
      </c>
      <c r="G71" s="799">
        <v>30059427422</v>
      </c>
      <c r="H71" s="451"/>
      <c r="I71" s="451"/>
      <c r="J71" s="451"/>
      <c r="K71" s="451"/>
    </row>
    <row r="72" spans="6:11" ht="15.75" thickBot="1">
      <c r="F72" s="711" t="s">
        <v>1299</v>
      </c>
      <c r="G72" s="793">
        <v>178481969888</v>
      </c>
      <c r="H72" s="711"/>
      <c r="I72" s="712"/>
      <c r="J72" s="451"/>
      <c r="K72" s="451"/>
    </row>
    <row r="73" spans="6:11" ht="15">
      <c r="F73" s="713">
        <v>1</v>
      </c>
      <c r="G73" s="713" t="s">
        <v>1300</v>
      </c>
      <c r="H73" s="713" t="s">
        <v>1300</v>
      </c>
      <c r="I73" s="714" t="s">
        <v>1301</v>
      </c>
      <c r="J73" s="451"/>
      <c r="K73" s="451"/>
    </row>
    <row r="74" spans="6:11" ht="15">
      <c r="F74" s="713">
        <v>2</v>
      </c>
      <c r="G74" s="713" t="s">
        <v>1302</v>
      </c>
      <c r="H74" s="713" t="s">
        <v>1302</v>
      </c>
      <c r="I74" s="715">
        <v>0.05</v>
      </c>
      <c r="J74" s="451"/>
      <c r="K74" s="451"/>
    </row>
    <row r="75" spans="6:11" ht="15">
      <c r="F75" s="716">
        <v>3</v>
      </c>
      <c r="G75" s="716" t="s">
        <v>1303</v>
      </c>
      <c r="H75" s="716" t="s">
        <v>1304</v>
      </c>
      <c r="I75" s="717">
        <v>0.25</v>
      </c>
      <c r="J75" s="451"/>
      <c r="K75" s="451"/>
    </row>
    <row r="76" spans="6:11" ht="15">
      <c r="F76" s="716">
        <v>4</v>
      </c>
      <c r="G76" s="716" t="s">
        <v>1305</v>
      </c>
      <c r="H76" s="716" t="s">
        <v>1306</v>
      </c>
      <c r="I76" s="717">
        <v>0.5</v>
      </c>
      <c r="J76" s="451"/>
      <c r="K76" s="451"/>
    </row>
    <row r="77" spans="6:11" ht="15">
      <c r="F77" s="716">
        <v>5</v>
      </c>
      <c r="G77" s="716" t="s">
        <v>1307</v>
      </c>
      <c r="H77" s="716" t="s">
        <v>1305</v>
      </c>
      <c r="I77" s="717">
        <v>0.75</v>
      </c>
      <c r="J77" s="451"/>
      <c r="K77" s="451"/>
    </row>
    <row r="78" spans="6:11" ht="15.75" thickBot="1">
      <c r="F78" s="718">
        <v>6</v>
      </c>
      <c r="G78" s="718" t="s">
        <v>1308</v>
      </c>
      <c r="H78" s="718" t="s">
        <v>1309</v>
      </c>
      <c r="I78" s="719">
        <v>1</v>
      </c>
      <c r="J78" s="451"/>
      <c r="K78" s="451"/>
    </row>
    <row r="79" spans="6:11" ht="15">
      <c r="F79" s="704"/>
      <c r="G79" s="451"/>
      <c r="H79" s="451"/>
      <c r="I79" s="451"/>
      <c r="J79" s="451"/>
      <c r="K79" s="451"/>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1.xml><?xml version="1.0" encoding="utf-8"?>
<worksheet xmlns="http://schemas.openxmlformats.org/spreadsheetml/2006/main" xmlns:r="http://schemas.openxmlformats.org/officeDocument/2006/relationships">
  <dimension ref="A1:G70"/>
  <sheetViews>
    <sheetView showGridLines="0" zoomScalePageLayoutView="0" workbookViewId="0" topLeftCell="A73">
      <selection activeCell="B49" sqref="B49"/>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NEGOFIN S.A.E.C.A.</v>
      </c>
      <c r="D1" s="141" t="s">
        <v>132</v>
      </c>
    </row>
    <row r="2" ht="12.75">
      <c r="A2" s="3"/>
    </row>
    <row r="3" ht="12.75">
      <c r="A3" s="3"/>
    </row>
    <row r="4" spans="1:3" ht="12.75">
      <c r="A4" s="305" t="s">
        <v>293</v>
      </c>
      <c r="B4" s="305"/>
      <c r="C4" s="305"/>
    </row>
    <row r="5" spans="1:2" ht="12.75">
      <c r="A5" s="251" t="s">
        <v>313</v>
      </c>
      <c r="B5" s="251"/>
    </row>
    <row r="6" ht="12.75">
      <c r="A6" s="2" t="s">
        <v>15</v>
      </c>
    </row>
    <row r="8" spans="1:7" ht="12.75">
      <c r="A8" s="12" t="s">
        <v>65</v>
      </c>
      <c r="B8" s="10"/>
      <c r="C8" s="10"/>
      <c r="E8" s="12" t="s">
        <v>64</v>
      </c>
      <c r="F8" s="16"/>
      <c r="G8" s="10"/>
    </row>
    <row r="9" spans="1:7" ht="12.75">
      <c r="A9" s="10"/>
      <c r="E9" s="10"/>
      <c r="F9" s="290"/>
      <c r="G9" s="290"/>
    </row>
    <row r="10" spans="1:7" ht="12.75">
      <c r="A10" s="13" t="s">
        <v>5</v>
      </c>
      <c r="B10" s="388">
        <f>_xlfn.IFERROR(IF(Indice!B6="","2XX2",YEAR(Indice!B6)),"2XX2")</f>
        <v>2021</v>
      </c>
      <c r="C10" s="388">
        <f>_xlfn.IFERROR(YEAR(Indice!B6-365),"2XX1")</f>
        <v>2020</v>
      </c>
      <c r="E10" s="13" t="s">
        <v>5</v>
      </c>
      <c r="F10" s="388">
        <f>_xlfn.IFERROR(IF(Indice!B6="","2XX2",YEAR(Indice!B6)),"2XX2")</f>
        <v>2021</v>
      </c>
      <c r="G10" s="388">
        <f>_xlfn.IFERROR(YEAR(Indice!B6-365),"2XX1")</f>
        <v>2020</v>
      </c>
    </row>
    <row r="11" spans="1:7" ht="12.75">
      <c r="A11" s="10" t="s">
        <v>305</v>
      </c>
      <c r="B11" s="779">
        <v>38197.77</v>
      </c>
      <c r="C11" s="779">
        <v>38823.913</v>
      </c>
      <c r="E11" s="10" t="s">
        <v>16</v>
      </c>
      <c r="F11" s="459">
        <v>18604.7</v>
      </c>
      <c r="G11" s="459">
        <v>18604.7</v>
      </c>
    </row>
    <row r="12" spans="1:7" ht="12.75">
      <c r="A12" s="10" t="s">
        <v>101</v>
      </c>
      <c r="B12" s="779">
        <v>128665.809</v>
      </c>
      <c r="C12" s="779">
        <v>491696.748</v>
      </c>
      <c r="E12" s="10" t="s">
        <v>304</v>
      </c>
      <c r="F12" s="459">
        <v>6561244.123</v>
      </c>
      <c r="G12" s="459">
        <v>4650037.399</v>
      </c>
    </row>
    <row r="13" spans="1:7" ht="12.75">
      <c r="A13" s="10" t="s">
        <v>17</v>
      </c>
      <c r="B13" s="779">
        <v>6177374.13</v>
      </c>
      <c r="C13" s="779">
        <v>2285056.652</v>
      </c>
      <c r="E13" s="10" t="s">
        <v>306</v>
      </c>
      <c r="F13" s="461">
        <v>0</v>
      </c>
      <c r="G13" s="461">
        <v>0</v>
      </c>
    </row>
    <row r="14" spans="1:7" ht="12.75">
      <c r="A14" s="10" t="s">
        <v>59</v>
      </c>
      <c r="B14" s="457">
        <v>0</v>
      </c>
      <c r="C14" s="457">
        <v>0</v>
      </c>
      <c r="E14" s="10" t="s">
        <v>956</v>
      </c>
      <c r="F14" s="462">
        <v>22230.5</v>
      </c>
      <c r="G14" s="462">
        <v>22230.5</v>
      </c>
    </row>
    <row r="15" spans="1:7" ht="12.75">
      <c r="A15" s="10" t="s">
        <v>60</v>
      </c>
      <c r="B15" s="779">
        <v>5546.105</v>
      </c>
      <c r="C15" s="779">
        <v>4748.502</v>
      </c>
      <c r="E15" s="10" t="s">
        <v>957</v>
      </c>
      <c r="F15" s="462">
        <v>2068.1</v>
      </c>
      <c r="G15" s="462">
        <v>2068.1</v>
      </c>
    </row>
    <row r="16" spans="1:7" ht="13.5" thickBot="1">
      <c r="A16" s="458" t="s">
        <v>919</v>
      </c>
      <c r="B16" s="779">
        <v>312000</v>
      </c>
      <c r="C16" s="779">
        <v>312000</v>
      </c>
      <c r="E16" s="12" t="s">
        <v>3</v>
      </c>
      <c r="F16" s="460">
        <f>SUM(F11:F15)</f>
        <v>6604147.4229999995</v>
      </c>
      <c r="G16" s="460">
        <f>SUM(G11:G15)</f>
        <v>4692940.699</v>
      </c>
    </row>
    <row r="17" spans="1:7" ht="13.5" thickTop="1">
      <c r="A17" s="458" t="s">
        <v>920</v>
      </c>
      <c r="B17" s="779">
        <v>3098.809</v>
      </c>
      <c r="C17" s="779">
        <v>2956.055</v>
      </c>
      <c r="E17" s="12"/>
      <c r="F17" s="113"/>
      <c r="G17" s="113"/>
    </row>
    <row r="18" spans="1:7" ht="12.75">
      <c r="A18" s="458" t="s">
        <v>1318</v>
      </c>
      <c r="B18" s="457">
        <v>0</v>
      </c>
      <c r="C18" s="457">
        <v>0</v>
      </c>
      <c r="E18" s="12"/>
      <c r="F18" s="113"/>
      <c r="G18" s="113"/>
    </row>
    <row r="19" spans="1:7" ht="12.75">
      <c r="A19" s="458" t="s">
        <v>921</v>
      </c>
      <c r="B19" s="457">
        <v>0</v>
      </c>
      <c r="C19" s="457">
        <v>0</v>
      </c>
      <c r="E19" s="12"/>
      <c r="F19" s="113"/>
      <c r="G19" s="113"/>
    </row>
    <row r="20" spans="1:7" ht="12.75">
      <c r="A20" s="458" t="s">
        <v>922</v>
      </c>
      <c r="B20" s="457">
        <v>0</v>
      </c>
      <c r="C20" s="457">
        <v>0</v>
      </c>
      <c r="E20" s="12"/>
      <c r="F20" s="113"/>
      <c r="G20" s="113"/>
    </row>
    <row r="21" spans="1:7" ht="12.75">
      <c r="A21" s="458" t="s">
        <v>923</v>
      </c>
      <c r="B21" s="779">
        <v>1090239.05</v>
      </c>
      <c r="C21" s="779">
        <v>1333201.034</v>
      </c>
      <c r="E21" s="12"/>
      <c r="F21" s="113"/>
      <c r="G21" s="113"/>
    </row>
    <row r="22" spans="1:7" ht="12.75">
      <c r="A22" s="458" t="s">
        <v>945</v>
      </c>
      <c r="B22" s="779">
        <v>21822.011</v>
      </c>
      <c r="C22" s="457">
        <v>0</v>
      </c>
      <c r="E22" s="12"/>
      <c r="F22" s="113"/>
      <c r="G22" s="113"/>
    </row>
    <row r="23" spans="1:7" ht="12.75">
      <c r="A23" s="458" t="s">
        <v>924</v>
      </c>
      <c r="B23" s="457">
        <v>0</v>
      </c>
      <c r="C23" s="457">
        <v>0</v>
      </c>
      <c r="E23" s="12"/>
      <c r="F23" s="113"/>
      <c r="G23" s="113"/>
    </row>
    <row r="24" spans="1:7" ht="12.75">
      <c r="A24" s="458" t="s">
        <v>925</v>
      </c>
      <c r="B24" s="457">
        <v>0</v>
      </c>
      <c r="C24" s="457">
        <v>0</v>
      </c>
      <c r="E24" s="12"/>
      <c r="F24" s="113"/>
      <c r="G24" s="113"/>
    </row>
    <row r="25" spans="1:7" ht="12.75">
      <c r="A25" s="458" t="s">
        <v>926</v>
      </c>
      <c r="B25" s="457">
        <v>0</v>
      </c>
      <c r="C25" s="457">
        <v>0</v>
      </c>
      <c r="E25" s="12"/>
      <c r="F25" s="113"/>
      <c r="G25" s="113"/>
    </row>
    <row r="26" spans="1:7" ht="12.75">
      <c r="A26" s="458" t="s">
        <v>927</v>
      </c>
      <c r="B26" s="779">
        <v>2064.189</v>
      </c>
      <c r="C26" s="457">
        <v>0</v>
      </c>
      <c r="E26" s="12"/>
      <c r="F26" s="113"/>
      <c r="G26" s="113"/>
    </row>
    <row r="27" spans="1:7" ht="12.75">
      <c r="A27" s="458" t="s">
        <v>928</v>
      </c>
      <c r="B27" s="779">
        <v>4027.383</v>
      </c>
      <c r="C27" s="779">
        <v>19352.919</v>
      </c>
      <c r="E27" s="12"/>
      <c r="F27" s="113"/>
      <c r="G27" s="113"/>
    </row>
    <row r="28" spans="1:7" ht="12.75">
      <c r="A28" s="458" t="s">
        <v>929</v>
      </c>
      <c r="B28" s="779">
        <v>4379.202</v>
      </c>
      <c r="C28" s="779">
        <v>15721.128</v>
      </c>
      <c r="E28" s="12"/>
      <c r="F28" s="113"/>
      <c r="G28" s="113"/>
    </row>
    <row r="29" spans="1:7" ht="12.75">
      <c r="A29" s="458" t="s">
        <v>930</v>
      </c>
      <c r="B29" s="763">
        <v>0</v>
      </c>
      <c r="C29" s="779">
        <v>1666.891</v>
      </c>
      <c r="E29" s="12"/>
      <c r="F29" s="113"/>
      <c r="G29" s="113"/>
    </row>
    <row r="30" spans="1:7" ht="12.75">
      <c r="A30" s="458" t="s">
        <v>931</v>
      </c>
      <c r="B30" s="779">
        <v>7027.876</v>
      </c>
      <c r="C30" s="779">
        <v>706.645</v>
      </c>
      <c r="E30" s="12"/>
      <c r="F30" s="113"/>
      <c r="G30" s="113"/>
    </row>
    <row r="31" spans="1:7" ht="12.75">
      <c r="A31" s="458" t="s">
        <v>932</v>
      </c>
      <c r="B31" s="779">
        <v>174.296</v>
      </c>
      <c r="C31" s="779">
        <v>4107.411</v>
      </c>
      <c r="E31" s="12"/>
      <c r="F31" s="113"/>
      <c r="G31" s="113"/>
    </row>
    <row r="32" spans="1:7" ht="12.75">
      <c r="A32" s="458" t="s">
        <v>933</v>
      </c>
      <c r="B32" s="779">
        <v>1848.829</v>
      </c>
      <c r="C32" s="779">
        <v>2864.465</v>
      </c>
      <c r="E32" s="698"/>
      <c r="F32" s="113"/>
      <c r="G32" s="113"/>
    </row>
    <row r="33" spans="1:7" ht="12.75">
      <c r="A33" s="1" t="s">
        <v>934</v>
      </c>
      <c r="B33" s="779">
        <v>2690.468</v>
      </c>
      <c r="C33" s="779">
        <v>2523.27</v>
      </c>
      <c r="E33" s="12"/>
      <c r="F33" s="113"/>
      <c r="G33" s="113"/>
    </row>
    <row r="34" spans="1:7" ht="12.75">
      <c r="A34" s="1" t="s">
        <v>935</v>
      </c>
      <c r="B34" s="779">
        <v>6170.695</v>
      </c>
      <c r="C34" s="779">
        <v>1513.96</v>
      </c>
      <c r="E34" s="698"/>
      <c r="F34" s="113"/>
      <c r="G34" s="113"/>
    </row>
    <row r="35" spans="1:7" ht="12.75">
      <c r="A35" s="458" t="s">
        <v>936</v>
      </c>
      <c r="B35" s="779">
        <v>4330.062</v>
      </c>
      <c r="C35" s="779">
        <v>331.3</v>
      </c>
      <c r="E35" s="12"/>
      <c r="F35" s="113"/>
      <c r="G35" s="113"/>
    </row>
    <row r="36" spans="1:7" ht="12.75">
      <c r="A36" s="1" t="s">
        <v>937</v>
      </c>
      <c r="B36" s="779">
        <v>1418.641</v>
      </c>
      <c r="C36" s="457">
        <v>0</v>
      </c>
      <c r="E36" s="779"/>
      <c r="F36" s="113"/>
      <c r="G36" s="113"/>
    </row>
    <row r="37" spans="1:7" ht="12.75">
      <c r="A37" s="458" t="s">
        <v>946</v>
      </c>
      <c r="B37" s="779">
        <v>23746.497</v>
      </c>
      <c r="C37" s="779">
        <v>148581.723</v>
      </c>
      <c r="E37" s="12"/>
      <c r="F37" s="113"/>
      <c r="G37" s="113"/>
    </row>
    <row r="38" spans="1:7" ht="12.75">
      <c r="A38" s="1" t="s">
        <v>938</v>
      </c>
      <c r="B38" s="457">
        <v>0</v>
      </c>
      <c r="C38" s="779">
        <v>0</v>
      </c>
      <c r="E38" s="12"/>
      <c r="F38" s="113"/>
      <c r="G38" s="113"/>
    </row>
    <row r="39" spans="1:7" ht="12.75">
      <c r="A39" s="458" t="s">
        <v>939</v>
      </c>
      <c r="B39" s="457">
        <v>0</v>
      </c>
      <c r="C39" s="779">
        <v>0</v>
      </c>
      <c r="E39" s="12"/>
      <c r="F39" s="113"/>
      <c r="G39" s="113"/>
    </row>
    <row r="40" spans="1:7" ht="12.75">
      <c r="A40" s="458" t="s">
        <v>921</v>
      </c>
      <c r="B40" s="457">
        <v>0</v>
      </c>
      <c r="C40" s="779">
        <v>0</v>
      </c>
      <c r="E40" s="12"/>
      <c r="F40" s="113"/>
      <c r="G40" s="113"/>
    </row>
    <row r="41" spans="1:7" ht="12.75">
      <c r="A41" s="458" t="s">
        <v>940</v>
      </c>
      <c r="B41" s="457">
        <v>0</v>
      </c>
      <c r="C41" s="779">
        <v>0</v>
      </c>
      <c r="E41" s="12"/>
      <c r="F41" s="113"/>
      <c r="G41" s="113"/>
    </row>
    <row r="42" spans="1:7" ht="12.75">
      <c r="A42" s="458" t="s">
        <v>941</v>
      </c>
      <c r="B42" s="457">
        <v>0</v>
      </c>
      <c r="C42" s="779">
        <v>0</v>
      </c>
      <c r="E42" s="12"/>
      <c r="F42" s="113"/>
      <c r="G42" s="113"/>
    </row>
    <row r="43" spans="1:7" ht="12.75">
      <c r="A43" s="1" t="s">
        <v>942</v>
      </c>
      <c r="B43" s="457">
        <v>0</v>
      </c>
      <c r="C43" s="779">
        <v>0</v>
      </c>
      <c r="E43" s="12"/>
      <c r="F43" s="113"/>
      <c r="G43" s="113"/>
    </row>
    <row r="44" spans="1:7" ht="12.75">
      <c r="A44" s="458" t="s">
        <v>943</v>
      </c>
      <c r="B44" s="457">
        <v>0</v>
      </c>
      <c r="C44" s="779">
        <v>0</v>
      </c>
      <c r="E44" s="12"/>
      <c r="F44" s="113"/>
      <c r="G44" s="113"/>
    </row>
    <row r="45" spans="1:7" ht="12.75">
      <c r="A45" s="458" t="s">
        <v>944</v>
      </c>
      <c r="B45" s="779">
        <v>3915.933</v>
      </c>
      <c r="C45" s="779">
        <v>4038.332</v>
      </c>
      <c r="E45" s="12"/>
      <c r="F45" s="113"/>
      <c r="G45" s="113"/>
    </row>
    <row r="46" spans="1:7" ht="12.75">
      <c r="A46" s="458" t="s">
        <v>1319</v>
      </c>
      <c r="B46" s="779">
        <v>216.699</v>
      </c>
      <c r="C46" s="457">
        <v>0</v>
      </c>
      <c r="E46" s="12"/>
      <c r="F46" s="113"/>
      <c r="G46" s="113"/>
    </row>
    <row r="47" spans="1:7" ht="12.75">
      <c r="A47" s="10" t="s">
        <v>947</v>
      </c>
      <c r="B47" s="779">
        <v>69136.363</v>
      </c>
      <c r="C47" s="457">
        <v>0</v>
      </c>
      <c r="E47" s="698"/>
      <c r="F47" s="113"/>
      <c r="G47" s="113"/>
    </row>
    <row r="48" spans="1:7" ht="12.75">
      <c r="A48" s="10" t="s">
        <v>948</v>
      </c>
      <c r="B48" s="779">
        <v>0</v>
      </c>
      <c r="C48" s="457">
        <v>0</v>
      </c>
      <c r="E48" s="779"/>
      <c r="F48" s="113"/>
      <c r="G48" s="113"/>
    </row>
    <row r="49" spans="1:7" ht="12.75">
      <c r="A49" s="10" t="s">
        <v>949</v>
      </c>
      <c r="B49" s="779">
        <v>4959.613</v>
      </c>
      <c r="C49" s="779">
        <v>1393.748</v>
      </c>
      <c r="E49" s="12"/>
      <c r="G49" s="113"/>
    </row>
    <row r="50" spans="1:7" ht="12.75">
      <c r="A50" s="10" t="s">
        <v>950</v>
      </c>
      <c r="B50" s="779">
        <v>5650.568</v>
      </c>
      <c r="C50" s="779">
        <v>5939.383</v>
      </c>
      <c r="E50" s="12"/>
      <c r="F50" s="113"/>
      <c r="G50" s="113"/>
    </row>
    <row r="51" spans="1:7" ht="12.75">
      <c r="A51" s="10" t="s">
        <v>951</v>
      </c>
      <c r="B51" s="457">
        <v>0</v>
      </c>
      <c r="C51" s="779">
        <v>0</v>
      </c>
      <c r="E51" s="12"/>
      <c r="F51" s="113"/>
      <c r="G51" s="113"/>
    </row>
    <row r="52" spans="1:7" ht="12.75">
      <c r="A52" s="10" t="s">
        <v>952</v>
      </c>
      <c r="B52" s="779">
        <v>397166.048</v>
      </c>
      <c r="C52" s="779">
        <v>0</v>
      </c>
      <c r="E52" s="12"/>
      <c r="F52" s="113"/>
      <c r="G52" s="113"/>
    </row>
    <row r="53" spans="1:7" ht="12.75">
      <c r="A53" s="10" t="s">
        <v>954</v>
      </c>
      <c r="B53" s="779">
        <v>165924.822</v>
      </c>
      <c r="C53" s="779">
        <v>20231.485</v>
      </c>
      <c r="E53" s="12"/>
      <c r="F53" s="113"/>
      <c r="G53" s="113"/>
    </row>
    <row r="54" spans="1:7" ht="12.75">
      <c r="A54" s="10" t="s">
        <v>1273</v>
      </c>
      <c r="B54" s="779">
        <v>16250</v>
      </c>
      <c r="C54" s="457">
        <v>0</v>
      </c>
      <c r="E54" s="12"/>
      <c r="F54" s="113"/>
      <c r="G54" s="113"/>
    </row>
    <row r="55" spans="1:7" ht="12.75">
      <c r="A55" s="10" t="s">
        <v>953</v>
      </c>
      <c r="B55" s="457">
        <v>0</v>
      </c>
      <c r="C55" s="457">
        <v>0</v>
      </c>
      <c r="E55" s="12"/>
      <c r="F55" s="113"/>
      <c r="G55" s="113"/>
    </row>
    <row r="56" spans="1:7" ht="12.75">
      <c r="A56" s="10" t="s">
        <v>955</v>
      </c>
      <c r="B56" s="457">
        <v>33713.064</v>
      </c>
      <c r="C56" s="779">
        <v>57152.785</v>
      </c>
      <c r="E56" s="12"/>
      <c r="F56" s="113"/>
      <c r="G56" s="113"/>
    </row>
    <row r="57" spans="1:7" ht="12.75">
      <c r="A57" s="10" t="s">
        <v>958</v>
      </c>
      <c r="B57" s="457">
        <v>643454.577</v>
      </c>
      <c r="C57" s="457">
        <v>28904.404</v>
      </c>
      <c r="E57" s="12"/>
      <c r="F57" s="113"/>
      <c r="G57" s="113"/>
    </row>
    <row r="58" spans="1:7" ht="12.75">
      <c r="A58" s="10" t="s">
        <v>959</v>
      </c>
      <c r="B58" s="457">
        <v>32051.139</v>
      </c>
      <c r="C58" s="457">
        <v>30495.134</v>
      </c>
      <c r="E58" s="12"/>
      <c r="F58" s="113"/>
      <c r="G58" s="113"/>
    </row>
    <row r="59" spans="1:7" ht="12.75">
      <c r="A59" s="10" t="s">
        <v>960</v>
      </c>
      <c r="B59" s="463">
        <v>17508.735</v>
      </c>
      <c r="C59" s="463">
        <v>21924.43</v>
      </c>
      <c r="F59" s="30"/>
      <c r="G59" s="30"/>
    </row>
    <row r="60" spans="1:3" ht="13.5" thickBot="1">
      <c r="A60" s="12" t="s">
        <v>3</v>
      </c>
      <c r="B60" s="724">
        <f>SUM($B$11:B59)</f>
        <v>9224769.383000001</v>
      </c>
      <c r="C60" s="460">
        <f>SUM($C$11:C59)</f>
        <v>4835932.316999999</v>
      </c>
    </row>
    <row r="61" spans="2:3" ht="13.5" thickTop="1">
      <c r="B61" s="464"/>
      <c r="C61" s="464"/>
    </row>
    <row r="62" spans="2:3" ht="12.75">
      <c r="B62" s="697"/>
      <c r="C62" s="697"/>
    </row>
    <row r="63" spans="2:3" ht="12.75">
      <c r="B63" s="697"/>
      <c r="C63" s="697"/>
    </row>
    <row r="64" spans="2:3" ht="12.75">
      <c r="B64" s="697"/>
      <c r="C64" s="697"/>
    </row>
    <row r="65" spans="2:3" ht="12.75">
      <c r="B65" s="697"/>
      <c r="C65" s="697"/>
    </row>
    <row r="66" spans="2:3" ht="12.75">
      <c r="B66" s="697"/>
      <c r="C66" s="697"/>
    </row>
    <row r="67" spans="2:3" ht="12.75">
      <c r="B67" s="697"/>
      <c r="C67" s="697"/>
    </row>
    <row r="68" spans="2:3" ht="12.75">
      <c r="B68" s="697"/>
      <c r="C68" s="697"/>
    </row>
    <row r="69" spans="2:3" ht="12.75">
      <c r="B69" s="697"/>
      <c r="C69" s="697"/>
    </row>
    <row r="70" spans="2:3" ht="12.75">
      <c r="B70" s="697"/>
      <c r="C70" s="697"/>
    </row>
    <row r="71" ht="15"/>
    <row r="72" ht="15"/>
    <row r="73" ht="15"/>
    <row r="74" ht="15"/>
    <row r="75"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E18" sqref="E18"/>
    </sheetView>
  </sheetViews>
  <sheetFormatPr defaultColWidth="11.421875" defaultRowHeight="15"/>
  <cols>
    <col min="1" max="1" width="50.140625" style="0" customWidth="1"/>
    <col min="2" max="2" width="19.00390625" style="0" customWidth="1"/>
    <col min="3" max="3" width="16.57421875" style="0" customWidth="1"/>
  </cols>
  <sheetData>
    <row r="1" spans="1:4" ht="15">
      <c r="A1" t="str">
        <f>Indice!C1</f>
        <v>NEGOFIN S.A.E.C.A.</v>
      </c>
      <c r="D1" s="141" t="s">
        <v>132</v>
      </c>
    </row>
    <row r="4" spans="1:3" ht="15">
      <c r="A4" s="894" t="s">
        <v>307</v>
      </c>
      <c r="B4" s="894"/>
      <c r="C4" s="894"/>
    </row>
    <row r="6" spans="1:7" ht="15">
      <c r="A6" s="893" t="s">
        <v>19</v>
      </c>
      <c r="B6" s="893"/>
      <c r="C6" s="893"/>
      <c r="D6" s="893"/>
      <c r="E6" s="893"/>
      <c r="F6" s="893"/>
      <c r="G6" s="893"/>
    </row>
    <row r="7" spans="2:3" ht="15" customHeight="1">
      <c r="B7" s="890" t="s">
        <v>313</v>
      </c>
      <c r="C7" s="890"/>
    </row>
    <row r="8" spans="1:3" ht="15">
      <c r="A8" s="13" t="s">
        <v>5</v>
      </c>
      <c r="B8" s="388">
        <f>_xlfn.IFERROR(IF(Indice!B6="","2XX2",YEAR(Indice!B6)),"2XX2")</f>
        <v>2021</v>
      </c>
      <c r="C8" s="388">
        <f>_xlfn.IFERROR(YEAR(Indice!B6-365),"2XX1")</f>
        <v>2020</v>
      </c>
    </row>
    <row r="9" spans="1:3" ht="15">
      <c r="A9" s="18" t="s">
        <v>97</v>
      </c>
      <c r="B9" s="751">
        <v>0</v>
      </c>
      <c r="C9" s="752">
        <v>0</v>
      </c>
    </row>
    <row r="10" spans="1:3" ht="15">
      <c r="A10" s="18" t="s">
        <v>98</v>
      </c>
      <c r="B10" s="751">
        <v>0</v>
      </c>
      <c r="C10" s="752">
        <v>0</v>
      </c>
    </row>
    <row r="11" spans="1:3" ht="15">
      <c r="A11" s="18" t="s">
        <v>99</v>
      </c>
      <c r="B11" s="751">
        <v>0</v>
      </c>
      <c r="C11" s="752">
        <v>0</v>
      </c>
    </row>
    <row r="12" spans="1:3" ht="15">
      <c r="A12" s="18" t="s">
        <v>100</v>
      </c>
      <c r="B12" s="751">
        <v>0</v>
      </c>
      <c r="C12" s="752">
        <v>0</v>
      </c>
    </row>
    <row r="13" spans="1:3" ht="15">
      <c r="A13" s="18" t="s">
        <v>66</v>
      </c>
      <c r="B13" s="751">
        <v>0</v>
      </c>
      <c r="C13" s="752">
        <v>0</v>
      </c>
    </row>
    <row r="14" spans="1:3" ht="15" customHeight="1">
      <c r="A14" s="246" t="s">
        <v>308</v>
      </c>
      <c r="B14" s="751">
        <v>0</v>
      </c>
      <c r="C14" s="752">
        <v>0</v>
      </c>
    </row>
    <row r="15" spans="1:4" ht="15.75" thickBot="1">
      <c r="A15" s="12" t="s">
        <v>18</v>
      </c>
      <c r="B15" s="753">
        <f>SUM(B9:B12)</f>
        <v>0</v>
      </c>
      <c r="C15" s="753">
        <f>SUM(C9:C12)</f>
        <v>0</v>
      </c>
      <c r="D15" s="751"/>
    </row>
    <row r="16"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20"/>
  <sheetViews>
    <sheetView zoomScalePageLayoutView="0" workbookViewId="0" topLeftCell="J1">
      <selection activeCell="L20" sqref="L20"/>
    </sheetView>
  </sheetViews>
  <sheetFormatPr defaultColWidth="11.421875" defaultRowHeight="15"/>
  <cols>
    <col min="1" max="1" width="41.8515625" style="121" customWidth="1"/>
    <col min="2" max="2" width="22.8515625" style="121" customWidth="1"/>
    <col min="3" max="3" width="29.28125" style="121" bestFit="1" customWidth="1"/>
    <col min="4" max="4" width="25.8515625" style="121" customWidth="1"/>
    <col min="5" max="5" width="26.140625" style="121" customWidth="1"/>
    <col min="6" max="6" width="3.421875" style="121" customWidth="1"/>
    <col min="7" max="7" width="29.28125" style="121" bestFit="1" customWidth="1"/>
    <col min="8" max="8" width="33.00390625" style="121" bestFit="1" customWidth="1"/>
    <col min="9" max="9" width="33.00390625" style="121" customWidth="1"/>
    <col min="10" max="10" width="39.28125" style="121" bestFit="1" customWidth="1"/>
    <col min="11" max="11" width="37.421875" style="121" bestFit="1" customWidth="1"/>
    <col min="12" max="12" width="35.7109375" style="121" bestFit="1" customWidth="1"/>
    <col min="13" max="30" width="11.421875" style="121" customWidth="1"/>
  </cols>
  <sheetData>
    <row r="1" spans="1:4" ht="15">
      <c r="A1" s="121" t="str">
        <f>Indice!C1</f>
        <v>NEGOFIN S.A.E.C.A.</v>
      </c>
      <c r="B1" s="142"/>
      <c r="D1" s="142" t="s">
        <v>132</v>
      </c>
    </row>
    <row r="4" spans="1:6" ht="15">
      <c r="A4" s="894" t="s">
        <v>310</v>
      </c>
      <c r="B4" s="894"/>
      <c r="C4" s="894"/>
      <c r="D4" s="894"/>
      <c r="E4" s="894"/>
      <c r="F4" s="894"/>
    </row>
    <row r="5" spans="1:6" s="24" customFormat="1" ht="15">
      <c r="A5" s="394" t="s">
        <v>243</v>
      </c>
      <c r="B5" s="395"/>
      <c r="C5" s="143"/>
      <c r="D5" s="143"/>
      <c r="E5" s="143"/>
      <c r="F5" s="143"/>
    </row>
    <row r="6" ht="15">
      <c r="A6" s="121" t="s">
        <v>311</v>
      </c>
    </row>
    <row r="7" spans="1:30" s="239" customFormat="1" ht="15">
      <c r="A7" s="121" t="s">
        <v>470</v>
      </c>
      <c r="B7" s="392">
        <f>_xlfn.IFERROR(IF(Indice!B6="","2XX2",YEAR(Indice!B6)),"2XX2")</f>
        <v>2021</v>
      </c>
      <c r="C7" s="391">
        <f>_xlfn.IFERROR(YEAR(Indice!B6-365),"2XX1")</f>
        <v>2020</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1:30" s="289" customFormat="1" ht="15">
      <c r="A8" s="121" t="s">
        <v>473</v>
      </c>
      <c r="B8" s="456">
        <v>750125</v>
      </c>
      <c r="C8" s="456">
        <v>750125</v>
      </c>
      <c r="D8" s="302" t="s">
        <v>477</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row>
    <row r="9" spans="1:30" s="289" customFormat="1" ht="1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row>
    <row r="10" spans="1:30" s="239" customFormat="1" ht="15">
      <c r="A10" s="121" t="s">
        <v>314</v>
      </c>
      <c r="B10" s="121"/>
      <c r="C10" s="121"/>
      <c r="F10" s="121"/>
      <c r="G10" s="121" t="s">
        <v>471</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4:5" ht="15">
      <c r="D11" s="396">
        <f>_xlfn.IFERROR(IF(Indice!B6="","2XX2",YEAR(Indice!B6)),"2XX2")</f>
        <v>2021</v>
      </c>
      <c r="E11" s="393"/>
    </row>
    <row r="12" spans="1:12" ht="15" customHeight="1">
      <c r="A12" s="301" t="s">
        <v>455</v>
      </c>
      <c r="B12" s="291" t="s">
        <v>456</v>
      </c>
      <c r="C12" s="300" t="s">
        <v>472</v>
      </c>
      <c r="D12" s="301" t="s">
        <v>469</v>
      </c>
      <c r="E12" s="301" t="s">
        <v>312</v>
      </c>
      <c r="G12" s="300" t="s">
        <v>472</v>
      </c>
      <c r="H12" s="300" t="s">
        <v>474</v>
      </c>
      <c r="I12" s="300" t="s">
        <v>476</v>
      </c>
      <c r="J12" s="754" t="s">
        <v>1280</v>
      </c>
      <c r="K12" s="300" t="s">
        <v>315</v>
      </c>
      <c r="L12" s="300" t="s">
        <v>475</v>
      </c>
    </row>
    <row r="13" spans="1:12" ht="15.75">
      <c r="A13" s="465" t="s">
        <v>1267</v>
      </c>
      <c r="B13" s="687" t="s">
        <v>1268</v>
      </c>
      <c r="C13" s="687">
        <v>97</v>
      </c>
      <c r="D13" s="687">
        <v>508326.4</v>
      </c>
      <c r="E13" s="687">
        <v>111280</v>
      </c>
      <c r="F13" s="687"/>
      <c r="G13" s="687">
        <v>97</v>
      </c>
      <c r="H13" s="687">
        <v>97</v>
      </c>
      <c r="I13" s="687">
        <v>97000</v>
      </c>
      <c r="J13" s="688">
        <f>I13/100000</f>
        <v>0.97</v>
      </c>
      <c r="K13" s="687">
        <f>J13*D13</f>
        <v>493076.608</v>
      </c>
      <c r="L13" s="755">
        <f>J13*E13</f>
        <v>107941.59999999999</v>
      </c>
    </row>
    <row r="14" spans="1:12" ht="15.75">
      <c r="A14" s="806" t="s">
        <v>961</v>
      </c>
      <c r="B14" s="755" t="s">
        <v>1270</v>
      </c>
      <c r="C14" s="755">
        <v>28</v>
      </c>
      <c r="D14" s="755">
        <v>88168.887</v>
      </c>
      <c r="E14" s="755">
        <v>-24400.2</v>
      </c>
      <c r="F14" s="755"/>
      <c r="G14" s="755">
        <v>28</v>
      </c>
      <c r="H14" s="755">
        <v>14</v>
      </c>
      <c r="I14" s="755">
        <v>471125</v>
      </c>
      <c r="J14" s="807">
        <v>0.28</v>
      </c>
      <c r="K14" s="755">
        <f>J14*D14</f>
        <v>24687.288360000002</v>
      </c>
      <c r="L14" s="755">
        <f>J14*E14</f>
        <v>-6832.0560000000005</v>
      </c>
    </row>
    <row r="15" spans="1:12" ht="15.75">
      <c r="A15" s="465" t="s">
        <v>1269</v>
      </c>
      <c r="B15" s="687"/>
      <c r="C15" s="687">
        <v>150</v>
      </c>
      <c r="D15" s="687">
        <v>4029037.3</v>
      </c>
      <c r="E15" s="687">
        <v>462632.4</v>
      </c>
      <c r="F15" s="687"/>
      <c r="G15" s="687">
        <v>182</v>
      </c>
      <c r="H15" s="687">
        <v>0.0446078431372549</v>
      </c>
      <c r="I15" s="687">
        <v>182000</v>
      </c>
      <c r="J15" s="688">
        <f>I15/D15</f>
        <v>0.04517208118177511</v>
      </c>
      <c r="K15" s="687">
        <f>J15*D15</f>
        <v>182000</v>
      </c>
      <c r="L15" s="755">
        <f>J15*E15</f>
        <v>20898.06833011946</v>
      </c>
    </row>
    <row r="16" spans="1:12" ht="15">
      <c r="A16" s="194"/>
      <c r="B16" s="194"/>
      <c r="C16" s="194"/>
      <c r="D16" s="194"/>
      <c r="E16" s="194"/>
      <c r="G16" s="194"/>
      <c r="H16" s="194"/>
      <c r="I16" s="194"/>
      <c r="J16" s="247"/>
      <c r="K16" s="687"/>
      <c r="L16" s="756"/>
    </row>
    <row r="17" spans="1:12" ht="15">
      <c r="A17" s="194"/>
      <c r="B17" s="194"/>
      <c r="C17" s="194"/>
      <c r="D17" s="194"/>
      <c r="E17" s="194"/>
      <c r="G17" s="194"/>
      <c r="H17" s="194"/>
      <c r="I17" s="194"/>
      <c r="J17" s="247"/>
      <c r="K17" s="303"/>
      <c r="L17" s="303"/>
    </row>
    <row r="18" spans="1:12" ht="15">
      <c r="A18" s="194"/>
      <c r="B18" s="194"/>
      <c r="C18" s="194"/>
      <c r="D18" s="194"/>
      <c r="E18" s="194"/>
      <c r="G18" s="194"/>
      <c r="H18" s="194"/>
      <c r="I18" s="194"/>
      <c r="J18" s="247"/>
      <c r="K18" s="303"/>
      <c r="L18" s="303"/>
    </row>
    <row r="20" ht="15">
      <c r="E20" s="121">
        <f>3085101.4-3196381.2</f>
        <v>-111279.80000000028</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28"/>
  <sheetViews>
    <sheetView workbookViewId="0" topLeftCell="E13">
      <selection activeCell="K27" sqref="K27:M29"/>
    </sheetView>
  </sheetViews>
  <sheetFormatPr defaultColWidth="11.421875" defaultRowHeight="15"/>
  <cols>
    <col min="1" max="1" width="27.00390625" style="121" customWidth="1"/>
    <col min="2" max="2" width="16.421875" style="121" customWidth="1"/>
    <col min="3" max="3" width="13.57421875" style="121" customWidth="1"/>
    <col min="4" max="5" width="11.421875" style="121" customWidth="1"/>
    <col min="6" max="6" width="13.8515625" style="121" customWidth="1"/>
    <col min="7" max="7" width="15.7109375" style="121" customWidth="1"/>
    <col min="8" max="8" width="16.00390625" style="121" customWidth="1"/>
    <col min="9" max="9" width="17.00390625" style="121" customWidth="1"/>
    <col min="10" max="10" width="14.28125" style="121" customWidth="1"/>
    <col min="11" max="11" width="16.8515625" style="121" customWidth="1"/>
    <col min="12" max="30" width="11.421875" style="121" customWidth="1"/>
  </cols>
  <sheetData>
    <row r="1" spans="1:12" ht="15">
      <c r="A1" s="121" t="str">
        <f>Indice!C1</f>
        <v>NEGOFIN S.A.E.C.A.</v>
      </c>
      <c r="L1" s="142" t="s">
        <v>132</v>
      </c>
    </row>
    <row r="5" ht="15">
      <c r="A5" s="126" t="s">
        <v>318</v>
      </c>
    </row>
    <row r="6" ht="15">
      <c r="A6" s="121" t="s">
        <v>319</v>
      </c>
    </row>
    <row r="7" ht="15">
      <c r="A7" s="121" t="s">
        <v>321</v>
      </c>
    </row>
    <row r="8" ht="15">
      <c r="A8" s="121" t="s">
        <v>322</v>
      </c>
    </row>
    <row r="9" ht="15">
      <c r="A9" s="121" t="s">
        <v>323</v>
      </c>
    </row>
    <row r="10" ht="15">
      <c r="A10" s="121" t="s">
        <v>320</v>
      </c>
    </row>
    <row r="12" spans="1:62" ht="24.75" customHeight="1">
      <c r="A12" s="895" t="s">
        <v>316</v>
      </c>
      <c r="B12" s="896"/>
      <c r="C12" s="896"/>
      <c r="D12" s="896"/>
      <c r="E12" s="896"/>
      <c r="F12" s="896"/>
      <c r="G12" s="896"/>
      <c r="H12" s="896"/>
      <c r="I12" s="896"/>
      <c r="J12" s="896"/>
      <c r="K12" s="896"/>
      <c r="L12" s="896"/>
      <c r="M12" s="897"/>
      <c r="N12" s="158"/>
      <c r="O12" s="158"/>
      <c r="P12" s="158"/>
      <c r="Q12" s="158"/>
      <c r="R12" s="158"/>
      <c r="S12" s="158"/>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row>
    <row r="13" spans="1:62" ht="15">
      <c r="A13" s="398" t="s">
        <v>243</v>
      </c>
      <c r="B13" s="158"/>
      <c r="C13" s="158"/>
      <c r="D13" s="158"/>
      <c r="E13" s="158"/>
      <c r="F13" s="158"/>
      <c r="G13" s="158"/>
      <c r="H13" s="158"/>
      <c r="I13" s="158"/>
      <c r="J13" s="159">
        <v>-1</v>
      </c>
      <c r="K13" s="158"/>
      <c r="L13" s="158"/>
      <c r="M13" s="158"/>
      <c r="N13" s="158"/>
      <c r="O13" s="158"/>
      <c r="P13" s="158"/>
      <c r="Q13" s="158"/>
      <c r="R13" s="158"/>
      <c r="S13" s="158"/>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row>
    <row r="14" spans="2:19" s="24" customFormat="1" ht="15">
      <c r="B14" s="397"/>
      <c r="C14" s="397"/>
      <c r="D14" s="397"/>
      <c r="E14" s="397"/>
      <c r="F14" s="397"/>
      <c r="G14" s="397"/>
      <c r="H14" s="397"/>
      <c r="I14" s="397"/>
      <c r="J14" s="397"/>
      <c r="K14" s="397"/>
      <c r="L14" s="397"/>
      <c r="M14" s="397"/>
      <c r="N14" s="157"/>
      <c r="O14" s="157"/>
      <c r="P14" s="157"/>
      <c r="Q14" s="157"/>
      <c r="R14" s="157"/>
      <c r="S14" s="157"/>
    </row>
    <row r="15" spans="1:102" s="156" customFormat="1" ht="55.5" customHeight="1">
      <c r="A15" s="401"/>
      <c r="B15" s="399" t="s">
        <v>228</v>
      </c>
      <c r="C15" s="399" t="s">
        <v>229</v>
      </c>
      <c r="D15" s="399" t="s">
        <v>61</v>
      </c>
      <c r="E15" s="399" t="s">
        <v>230</v>
      </c>
      <c r="F15" s="399" t="s">
        <v>231</v>
      </c>
      <c r="G15" s="399" t="s">
        <v>232</v>
      </c>
      <c r="H15" s="399" t="s">
        <v>233</v>
      </c>
      <c r="I15" s="399" t="s">
        <v>234</v>
      </c>
      <c r="J15" s="399" t="s">
        <v>235</v>
      </c>
      <c r="K15" s="399" t="s">
        <v>236</v>
      </c>
      <c r="L15" s="400" t="s">
        <v>478</v>
      </c>
      <c r="M15" s="404"/>
      <c r="N15" s="157"/>
      <c r="O15" s="157"/>
      <c r="P15" s="157"/>
      <c r="Q15" s="157"/>
      <c r="R15" s="157"/>
      <c r="S15" s="157"/>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row>
    <row r="16" spans="1:102" s="156" customFormat="1" ht="15">
      <c r="A16" s="402"/>
      <c r="B16" s="403"/>
      <c r="C16" s="403"/>
      <c r="D16" s="403"/>
      <c r="E16" s="403"/>
      <c r="F16" s="403"/>
      <c r="G16" s="403"/>
      <c r="H16" s="403"/>
      <c r="I16" s="403"/>
      <c r="J16" s="403"/>
      <c r="K16" s="403"/>
      <c r="L16" s="405">
        <f>_xlfn.IFERROR(IF(Indice!B6="","2XX2",YEAR(Indice!B6)),"2XX2")</f>
        <v>2021</v>
      </c>
      <c r="M16" s="406">
        <f>_xlfn.IFERROR(YEAR(Indice!B6-365),"2XX1")</f>
        <v>2020</v>
      </c>
      <c r="N16" s="157"/>
      <c r="O16" s="157"/>
      <c r="P16" s="157"/>
      <c r="Q16" s="157"/>
      <c r="R16" s="157"/>
      <c r="S16" s="157"/>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row>
    <row r="17" spans="1:62" ht="15">
      <c r="A17" s="160" t="s">
        <v>237</v>
      </c>
      <c r="B17" s="772">
        <v>435207.039</v>
      </c>
      <c r="C17" s="773">
        <v>0</v>
      </c>
      <c r="D17" s="774">
        <v>0</v>
      </c>
      <c r="E17" s="775">
        <v>0</v>
      </c>
      <c r="F17" s="776">
        <f aca="true" t="shared" si="0" ref="F17:F24">+B17+C17-D17+E17</f>
        <v>435207.039</v>
      </c>
      <c r="G17" s="776">
        <v>360032.219</v>
      </c>
      <c r="H17" s="776">
        <v>10152.684</v>
      </c>
      <c r="I17" s="490">
        <v>0</v>
      </c>
      <c r="J17" s="490">
        <v>0</v>
      </c>
      <c r="K17" s="487">
        <f>+G17+H17</f>
        <v>370184.903</v>
      </c>
      <c r="L17" s="778">
        <f>+F17-K17</f>
        <v>65022.136</v>
      </c>
      <c r="M17" s="161">
        <v>75174.8</v>
      </c>
      <c r="N17" s="162"/>
      <c r="O17" s="158"/>
      <c r="P17" s="158"/>
      <c r="Q17" s="158"/>
      <c r="R17" s="158"/>
      <c r="S17" s="158"/>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row>
    <row r="18" spans="1:62" ht="15">
      <c r="A18" s="160" t="s">
        <v>238</v>
      </c>
      <c r="B18" s="486">
        <v>68580.921</v>
      </c>
      <c r="C18" s="487">
        <v>116961.448</v>
      </c>
      <c r="D18" s="491">
        <v>68580.921</v>
      </c>
      <c r="E18" s="490">
        <v>0</v>
      </c>
      <c r="F18" s="488">
        <f t="shared" si="0"/>
        <v>116961.448</v>
      </c>
      <c r="G18" s="488">
        <v>0</v>
      </c>
      <c r="H18" s="488">
        <v>0</v>
      </c>
      <c r="I18" s="490">
        <v>0</v>
      </c>
      <c r="J18" s="490">
        <v>0</v>
      </c>
      <c r="K18" s="487">
        <f aca="true" t="shared" si="1" ref="K18:K24">+G18+H18</f>
        <v>0</v>
      </c>
      <c r="L18" s="778">
        <f aca="true" t="shared" si="2" ref="L18:L24">+F18-K18</f>
        <v>116961.448</v>
      </c>
      <c r="M18" s="161">
        <v>30341.469</v>
      </c>
      <c r="N18" s="158"/>
      <c r="O18" s="158"/>
      <c r="P18" s="158"/>
      <c r="Q18" s="158"/>
      <c r="R18" s="158"/>
      <c r="S18" s="158"/>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row>
    <row r="19" spans="1:62" ht="15">
      <c r="A19" s="160" t="s">
        <v>239</v>
      </c>
      <c r="B19" s="486">
        <v>2409836.703</v>
      </c>
      <c r="C19" s="487">
        <v>593633.954</v>
      </c>
      <c r="D19" s="491">
        <v>0</v>
      </c>
      <c r="E19" s="490">
        <v>0</v>
      </c>
      <c r="F19" s="488">
        <f t="shared" si="0"/>
        <v>3003470.657</v>
      </c>
      <c r="G19" s="488">
        <v>1551257.305</v>
      </c>
      <c r="H19" s="488">
        <v>303016.63</v>
      </c>
      <c r="I19" s="490">
        <v>0</v>
      </c>
      <c r="J19" s="490">
        <v>0</v>
      </c>
      <c r="K19" s="487">
        <f t="shared" si="1"/>
        <v>1854273.935</v>
      </c>
      <c r="L19" s="778">
        <f>+F19-K19</f>
        <v>1149196.722</v>
      </c>
      <c r="M19" s="161">
        <v>858579.398</v>
      </c>
      <c r="N19" s="158"/>
      <c r="O19" s="158"/>
      <c r="P19" s="158"/>
      <c r="Q19" s="158"/>
      <c r="R19" s="158"/>
      <c r="S19" s="158"/>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row>
    <row r="20" spans="1:62" ht="15">
      <c r="A20" s="160" t="s">
        <v>240</v>
      </c>
      <c r="B20" s="486">
        <v>1463146.557</v>
      </c>
      <c r="C20" s="489">
        <v>202780.025</v>
      </c>
      <c r="D20" s="491">
        <v>0</v>
      </c>
      <c r="E20" s="490">
        <v>0</v>
      </c>
      <c r="F20" s="488">
        <f t="shared" si="0"/>
        <v>1665926.582</v>
      </c>
      <c r="G20" s="488">
        <v>649843.036</v>
      </c>
      <c r="H20" s="488">
        <v>101786.94</v>
      </c>
      <c r="I20" s="490">
        <v>0</v>
      </c>
      <c r="J20" s="490">
        <v>0</v>
      </c>
      <c r="K20" s="487">
        <f>+G20+H20</f>
        <v>751629.976</v>
      </c>
      <c r="L20" s="778">
        <f>+F20-K20</f>
        <v>914296.6059999999</v>
      </c>
      <c r="M20" s="161">
        <v>813303.521</v>
      </c>
      <c r="N20" s="158"/>
      <c r="O20" s="158"/>
      <c r="P20" s="158"/>
      <c r="Q20" s="158"/>
      <c r="R20" s="158"/>
      <c r="S20" s="158"/>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row>
    <row r="21" spans="1:62" ht="15">
      <c r="A21" s="160" t="s">
        <v>241</v>
      </c>
      <c r="B21" s="486">
        <v>0</v>
      </c>
      <c r="C21" s="487">
        <v>0</v>
      </c>
      <c r="D21" s="491">
        <v>0</v>
      </c>
      <c r="E21" s="490">
        <v>0</v>
      </c>
      <c r="F21" s="488">
        <f t="shared" si="0"/>
        <v>0</v>
      </c>
      <c r="G21" s="488">
        <v>0</v>
      </c>
      <c r="H21" s="488">
        <v>0</v>
      </c>
      <c r="I21" s="490">
        <v>0</v>
      </c>
      <c r="J21" s="490">
        <v>0</v>
      </c>
      <c r="K21" s="487">
        <f t="shared" si="1"/>
        <v>0</v>
      </c>
      <c r="L21" s="778">
        <f t="shared" si="2"/>
        <v>0</v>
      </c>
      <c r="M21" s="161"/>
      <c r="N21" s="158"/>
      <c r="O21" s="158"/>
      <c r="P21" s="158"/>
      <c r="Q21" s="158"/>
      <c r="R21" s="158"/>
      <c r="S21" s="158"/>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row>
    <row r="22" spans="1:62" ht="15">
      <c r="A22" s="160" t="s">
        <v>1013</v>
      </c>
      <c r="B22" s="486">
        <v>337755.063</v>
      </c>
      <c r="C22" s="487">
        <v>2909.682</v>
      </c>
      <c r="D22" s="491">
        <v>0</v>
      </c>
      <c r="E22" s="490">
        <v>0</v>
      </c>
      <c r="F22" s="488">
        <f t="shared" si="0"/>
        <v>340664.745</v>
      </c>
      <c r="G22" s="488">
        <v>210030.47</v>
      </c>
      <c r="H22" s="488">
        <v>15770.475</v>
      </c>
      <c r="I22" s="490">
        <v>0</v>
      </c>
      <c r="J22" s="490">
        <v>0</v>
      </c>
      <c r="K22" s="487">
        <f t="shared" si="1"/>
        <v>225800.945</v>
      </c>
      <c r="L22" s="778">
        <f t="shared" si="2"/>
        <v>114863.79999999999</v>
      </c>
      <c r="M22" s="161">
        <v>127724.593</v>
      </c>
      <c r="N22" s="158"/>
      <c r="O22" s="158"/>
      <c r="P22" s="158"/>
      <c r="Q22" s="158"/>
      <c r="R22" s="158"/>
      <c r="S22" s="158"/>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row>
    <row r="23" spans="1:62" ht="15">
      <c r="A23" s="160" t="s">
        <v>242</v>
      </c>
      <c r="B23" s="486">
        <v>0</v>
      </c>
      <c r="C23" s="487">
        <v>0</v>
      </c>
      <c r="D23" s="491">
        <v>0</v>
      </c>
      <c r="E23" s="490">
        <v>0</v>
      </c>
      <c r="F23" s="488">
        <f t="shared" si="0"/>
        <v>0</v>
      </c>
      <c r="G23" s="488">
        <v>0</v>
      </c>
      <c r="H23" s="488">
        <v>0</v>
      </c>
      <c r="I23" s="490">
        <v>0</v>
      </c>
      <c r="J23" s="490">
        <v>0</v>
      </c>
      <c r="K23" s="487">
        <f t="shared" si="1"/>
        <v>0</v>
      </c>
      <c r="L23" s="778">
        <f t="shared" si="2"/>
        <v>0</v>
      </c>
      <c r="M23" s="161">
        <v>0</v>
      </c>
      <c r="N23" s="158"/>
      <c r="O23" s="158"/>
      <c r="P23" s="158"/>
      <c r="Q23" s="158"/>
      <c r="R23" s="158"/>
      <c r="S23" s="158"/>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row>
    <row r="24" spans="1:62" ht="15">
      <c r="A24" s="160" t="s">
        <v>1012</v>
      </c>
      <c r="B24" s="772">
        <v>5835123.764</v>
      </c>
      <c r="C24" s="773">
        <v>20772.728</v>
      </c>
      <c r="D24" s="777">
        <v>0</v>
      </c>
      <c r="E24" s="775">
        <v>0</v>
      </c>
      <c r="F24" s="776">
        <f t="shared" si="0"/>
        <v>5855896.492000001</v>
      </c>
      <c r="G24" s="776">
        <v>5758011.285</v>
      </c>
      <c r="H24" s="776">
        <v>22245.192</v>
      </c>
      <c r="I24" s="490">
        <v>0</v>
      </c>
      <c r="J24" s="490">
        <v>0</v>
      </c>
      <c r="K24" s="487">
        <f t="shared" si="1"/>
        <v>5780256.477</v>
      </c>
      <c r="L24" s="778">
        <f t="shared" si="2"/>
        <v>75640.0150000006</v>
      </c>
      <c r="M24" s="161">
        <v>77112.479</v>
      </c>
      <c r="N24" s="158"/>
      <c r="O24" s="158"/>
      <c r="P24" s="158"/>
      <c r="Q24" s="158"/>
      <c r="R24" s="158"/>
      <c r="S24" s="158"/>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row>
    <row r="25" spans="1:62" ht="15">
      <c r="A25" s="108" t="s">
        <v>317</v>
      </c>
      <c r="B25" s="770">
        <f>SUM(B17:B24)</f>
        <v>10549650.047000002</v>
      </c>
      <c r="C25" s="109"/>
      <c r="D25" s="109"/>
      <c r="E25" s="110"/>
      <c r="F25" s="771">
        <f>SUM(F17:F24)</f>
        <v>11418126.963</v>
      </c>
      <c r="G25" s="771">
        <f>SUM(G17:G24)</f>
        <v>8529174.315000001</v>
      </c>
      <c r="H25" s="771">
        <f>SUM(H17:H24)</f>
        <v>452971.921</v>
      </c>
      <c r="I25" s="109"/>
      <c r="J25" s="109"/>
      <c r="K25" s="110">
        <f>SUM(K17:K24)</f>
        <v>8982146.236</v>
      </c>
      <c r="L25" s="109">
        <f>SUM(L17:L24)</f>
        <v>2435980.7270000004</v>
      </c>
      <c r="M25" s="109">
        <f>SUM(M17:M24)</f>
        <v>1982236.26</v>
      </c>
      <c r="N25" s="158"/>
      <c r="O25" s="158"/>
      <c r="P25" s="158"/>
      <c r="Q25" s="158"/>
      <c r="R25" s="158"/>
      <c r="S25" s="158"/>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row>
    <row r="27" spans="11:12" ht="15">
      <c r="K27" s="469"/>
      <c r="L27" s="469"/>
    </row>
    <row r="28" spans="11:12" ht="15">
      <c r="K28" s="469"/>
      <c r="L28" s="469"/>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4">
      <selection activeCell="H28" sqref="H28"/>
    </sheetView>
  </sheetViews>
  <sheetFormatPr defaultColWidth="11.421875" defaultRowHeight="15"/>
  <cols>
    <col min="1" max="1" width="34.140625" style="0" customWidth="1"/>
    <col min="2" max="3" width="22.7109375" style="0" customWidth="1"/>
  </cols>
  <sheetData>
    <row r="1" spans="1:3" ht="15">
      <c r="A1" t="str">
        <f>Indice!C1</f>
        <v>NEGOFIN S.A.E.C.A.</v>
      </c>
      <c r="C1" s="141" t="s">
        <v>132</v>
      </c>
    </row>
    <row r="4" spans="1:256" ht="15">
      <c r="A4" s="305" t="s">
        <v>324</v>
      </c>
      <c r="B4" s="305"/>
      <c r="C4" s="305"/>
      <c r="D4" s="305"/>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c r="CL4" s="898"/>
      <c r="CM4" s="898"/>
      <c r="CN4" s="898"/>
      <c r="CO4" s="898"/>
      <c r="CP4" s="898"/>
      <c r="CQ4" s="898"/>
      <c r="CR4" s="898"/>
      <c r="CS4" s="898"/>
      <c r="CT4" s="898"/>
      <c r="CU4" s="898"/>
      <c r="CV4" s="898"/>
      <c r="CW4" s="898"/>
      <c r="CX4" s="898"/>
      <c r="CY4" s="898"/>
      <c r="CZ4" s="898"/>
      <c r="DA4" s="898"/>
      <c r="DB4" s="898"/>
      <c r="DC4" s="898"/>
      <c r="DD4" s="898"/>
      <c r="DE4" s="898"/>
      <c r="DF4" s="898"/>
      <c r="DG4" s="898"/>
      <c r="DH4" s="898"/>
      <c r="DI4" s="898"/>
      <c r="DJ4" s="898"/>
      <c r="DK4" s="898"/>
      <c r="DL4" s="898"/>
      <c r="DM4" s="898"/>
      <c r="DN4" s="898"/>
      <c r="DO4" s="898"/>
      <c r="DP4" s="898"/>
      <c r="DQ4" s="898"/>
      <c r="DR4" s="898"/>
      <c r="DS4" s="898"/>
      <c r="DT4" s="898"/>
      <c r="DU4" s="898"/>
      <c r="DV4" s="898"/>
      <c r="DW4" s="898"/>
      <c r="DX4" s="898"/>
      <c r="DY4" s="898"/>
      <c r="DZ4" s="898"/>
      <c r="EA4" s="898"/>
      <c r="EB4" s="898"/>
      <c r="EC4" s="898"/>
      <c r="ED4" s="898"/>
      <c r="EE4" s="898"/>
      <c r="EF4" s="898"/>
      <c r="EG4" s="898"/>
      <c r="EH4" s="898"/>
      <c r="EI4" s="898"/>
      <c r="EJ4" s="898"/>
      <c r="EK4" s="898"/>
      <c r="EL4" s="898"/>
      <c r="EM4" s="898"/>
      <c r="EN4" s="898"/>
      <c r="EO4" s="898"/>
      <c r="EP4" s="898"/>
      <c r="EQ4" s="898"/>
      <c r="ER4" s="898"/>
      <c r="ES4" s="898"/>
      <c r="ET4" s="898"/>
      <c r="EU4" s="898"/>
      <c r="EV4" s="898"/>
      <c r="EW4" s="898"/>
      <c r="EX4" s="898"/>
      <c r="EY4" s="898"/>
      <c r="EZ4" s="898"/>
      <c r="FA4" s="898"/>
      <c r="FB4" s="898"/>
      <c r="FC4" s="898"/>
      <c r="FD4" s="898"/>
      <c r="FE4" s="898"/>
      <c r="FF4" s="898"/>
      <c r="FG4" s="898"/>
      <c r="FH4" s="898"/>
      <c r="FI4" s="898"/>
      <c r="FJ4" s="898"/>
      <c r="FK4" s="898"/>
      <c r="FL4" s="898"/>
      <c r="FM4" s="898"/>
      <c r="FN4" s="898"/>
      <c r="FO4" s="898"/>
      <c r="FP4" s="898"/>
      <c r="FQ4" s="898"/>
      <c r="FR4" s="898"/>
      <c r="FS4" s="898"/>
      <c r="FT4" s="898"/>
      <c r="FU4" s="898"/>
      <c r="FV4" s="898"/>
      <c r="FW4" s="898"/>
      <c r="FX4" s="898"/>
      <c r="FY4" s="898"/>
      <c r="FZ4" s="898"/>
      <c r="GA4" s="898"/>
      <c r="GB4" s="898"/>
      <c r="GC4" s="898"/>
      <c r="GD4" s="898"/>
      <c r="GE4" s="898"/>
      <c r="GF4" s="898"/>
      <c r="GG4" s="898"/>
      <c r="GH4" s="898"/>
      <c r="GI4" s="898"/>
      <c r="GJ4" s="898"/>
      <c r="GK4" s="898"/>
      <c r="GL4" s="898"/>
      <c r="GM4" s="898"/>
      <c r="GN4" s="898"/>
      <c r="GO4" s="898"/>
      <c r="GP4" s="898"/>
      <c r="GQ4" s="898"/>
      <c r="GR4" s="898"/>
      <c r="GS4" s="898"/>
      <c r="GT4" s="898"/>
      <c r="GU4" s="898"/>
      <c r="GV4" s="898"/>
      <c r="GW4" s="898"/>
      <c r="GX4" s="898"/>
      <c r="GY4" s="898"/>
      <c r="GZ4" s="898"/>
      <c r="HA4" s="898"/>
      <c r="HB4" s="898"/>
      <c r="HC4" s="898"/>
      <c r="HD4" s="898"/>
      <c r="HE4" s="898"/>
      <c r="HF4" s="898"/>
      <c r="HG4" s="898"/>
      <c r="HH4" s="898"/>
      <c r="HI4" s="898"/>
      <c r="HJ4" s="898"/>
      <c r="HK4" s="898"/>
      <c r="HL4" s="898"/>
      <c r="HM4" s="898"/>
      <c r="HN4" s="898"/>
      <c r="HO4" s="898"/>
      <c r="HP4" s="898"/>
      <c r="HQ4" s="898"/>
      <c r="HR4" s="898"/>
      <c r="HS4" s="898"/>
      <c r="HT4" s="898"/>
      <c r="HU4" s="898"/>
      <c r="HV4" s="898"/>
      <c r="HW4" s="898"/>
      <c r="HX4" s="898"/>
      <c r="HY4" s="898"/>
      <c r="HZ4" s="898"/>
      <c r="IA4" s="898"/>
      <c r="IB4" s="898"/>
      <c r="IC4" s="898"/>
      <c r="ID4" s="898"/>
      <c r="IE4" s="898"/>
      <c r="IF4" s="898"/>
      <c r="IG4" s="898"/>
      <c r="IH4" s="898"/>
      <c r="II4" s="898"/>
      <c r="IJ4" s="898"/>
      <c r="IK4" s="898"/>
      <c r="IL4" s="898"/>
      <c r="IM4" s="898"/>
      <c r="IN4" s="898"/>
      <c r="IO4" s="898"/>
      <c r="IP4" s="898"/>
      <c r="IQ4" s="898"/>
      <c r="IR4" s="898"/>
      <c r="IS4" s="898"/>
      <c r="IT4" s="898"/>
      <c r="IU4" s="898"/>
      <c r="IV4" s="898"/>
    </row>
    <row r="5" spans="2:3" ht="15">
      <c r="B5" s="890" t="s">
        <v>313</v>
      </c>
      <c r="C5" s="890"/>
    </row>
    <row r="6" spans="1:4" ht="15.75" customHeight="1">
      <c r="A6" s="131"/>
      <c r="B6" s="392">
        <f>_xlfn.IFERROR(IF(Indice!B6="","2XX2",YEAR(Indice!B6)),"2XX2")</f>
        <v>2021</v>
      </c>
      <c r="C6" s="392">
        <f>_xlfn.IFERROR(YEAR(Indice!B6-365),"2XX1")</f>
        <v>2020</v>
      </c>
      <c r="D6" s="131"/>
    </row>
    <row r="7" spans="1:4" ht="15" customHeight="1">
      <c r="A7" s="133" t="s">
        <v>124</v>
      </c>
      <c r="B7" s="11"/>
      <c r="C7" s="11"/>
      <c r="D7" s="11"/>
    </row>
    <row r="8" spans="1:256" ht="15" customHeight="1">
      <c r="A8" s="41" t="s">
        <v>127</v>
      </c>
      <c r="B8" s="41"/>
      <c r="C8" s="41"/>
      <c r="D8" s="41"/>
      <c r="E8" s="860"/>
      <c r="F8" s="860"/>
      <c r="G8" s="860"/>
      <c r="H8" s="860"/>
      <c r="I8" s="860"/>
      <c r="J8" s="860"/>
      <c r="K8" s="860"/>
      <c r="L8" s="860"/>
      <c r="M8" s="860"/>
      <c r="N8" s="860"/>
      <c r="O8" s="860"/>
      <c r="P8" s="860"/>
      <c r="Q8" s="860"/>
      <c r="R8" s="860"/>
      <c r="S8" s="860"/>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0"/>
      <c r="AT8" s="860"/>
      <c r="AU8" s="860"/>
      <c r="AV8" s="860"/>
      <c r="AW8" s="860"/>
      <c r="AX8" s="860"/>
      <c r="AY8" s="860"/>
      <c r="AZ8" s="860"/>
      <c r="BA8" s="860"/>
      <c r="BB8" s="860"/>
      <c r="BC8" s="860"/>
      <c r="BD8" s="860"/>
      <c r="BE8" s="860"/>
      <c r="BF8" s="860"/>
      <c r="BG8" s="860"/>
      <c r="BH8" s="860"/>
      <c r="BI8" s="860"/>
      <c r="BJ8" s="860"/>
      <c r="BK8" s="860"/>
      <c r="BL8" s="860"/>
      <c r="BM8" s="860"/>
      <c r="BN8" s="860"/>
      <c r="BO8" s="860"/>
      <c r="BP8" s="860"/>
      <c r="BQ8" s="860"/>
      <c r="BR8" s="860"/>
      <c r="BS8" s="860"/>
      <c r="BT8" s="860"/>
      <c r="BU8" s="860"/>
      <c r="BV8" s="860"/>
      <c r="BW8" s="860"/>
      <c r="BX8" s="860"/>
      <c r="BY8" s="860"/>
      <c r="BZ8" s="860"/>
      <c r="CA8" s="860"/>
      <c r="CB8" s="860"/>
      <c r="CC8" s="860"/>
      <c r="CD8" s="860"/>
      <c r="CE8" s="860"/>
      <c r="CF8" s="860"/>
      <c r="CG8" s="860"/>
      <c r="CH8" s="860"/>
      <c r="CI8" s="860"/>
      <c r="CJ8" s="860"/>
      <c r="CK8" s="860"/>
      <c r="CL8" s="860"/>
      <c r="CM8" s="860"/>
      <c r="CN8" s="860"/>
      <c r="CO8" s="860"/>
      <c r="CP8" s="860"/>
      <c r="CQ8" s="860"/>
      <c r="CR8" s="860"/>
      <c r="CS8" s="860"/>
      <c r="CT8" s="860"/>
      <c r="CU8" s="860"/>
      <c r="CV8" s="860"/>
      <c r="CW8" s="860"/>
      <c r="CX8" s="860"/>
      <c r="CY8" s="860"/>
      <c r="CZ8" s="860"/>
      <c r="DA8" s="860"/>
      <c r="DB8" s="860"/>
      <c r="DC8" s="860"/>
      <c r="DD8" s="860"/>
      <c r="DE8" s="860"/>
      <c r="DF8" s="860"/>
      <c r="DG8" s="860"/>
      <c r="DH8" s="860"/>
      <c r="DI8" s="860"/>
      <c r="DJ8" s="860"/>
      <c r="DK8" s="860"/>
      <c r="DL8" s="860"/>
      <c r="DM8" s="860"/>
      <c r="DN8" s="860"/>
      <c r="DO8" s="860"/>
      <c r="DP8" s="860"/>
      <c r="DQ8" s="860"/>
      <c r="DR8" s="860"/>
      <c r="DS8" s="860"/>
      <c r="DT8" s="860"/>
      <c r="DU8" s="860"/>
      <c r="DV8" s="860"/>
      <c r="DW8" s="860"/>
      <c r="DX8" s="860"/>
      <c r="DY8" s="860"/>
      <c r="DZ8" s="860"/>
      <c r="EA8" s="860"/>
      <c r="EB8" s="860"/>
      <c r="EC8" s="860"/>
      <c r="ED8" s="860"/>
      <c r="EE8" s="860"/>
      <c r="EF8" s="860"/>
      <c r="EG8" s="860"/>
      <c r="EH8" s="860"/>
      <c r="EI8" s="860"/>
      <c r="EJ8" s="860"/>
      <c r="EK8" s="860"/>
      <c r="EL8" s="860"/>
      <c r="EM8" s="860"/>
      <c r="EN8" s="860"/>
      <c r="EO8" s="860"/>
      <c r="EP8" s="860"/>
      <c r="EQ8" s="860"/>
      <c r="ER8" s="860"/>
      <c r="ES8" s="860"/>
      <c r="ET8" s="860"/>
      <c r="EU8" s="860"/>
      <c r="EV8" s="860"/>
      <c r="EW8" s="860"/>
      <c r="EX8" s="860"/>
      <c r="EY8" s="860"/>
      <c r="EZ8" s="860"/>
      <c r="FA8" s="860"/>
      <c r="FB8" s="860"/>
      <c r="FC8" s="860"/>
      <c r="FD8" s="860"/>
      <c r="FE8" s="860"/>
      <c r="FF8" s="860"/>
      <c r="FG8" s="860"/>
      <c r="FH8" s="860"/>
      <c r="FI8" s="860"/>
      <c r="FJ8" s="860"/>
      <c r="FK8" s="860"/>
      <c r="FL8" s="860"/>
      <c r="FM8" s="860"/>
      <c r="FN8" s="860"/>
      <c r="FO8" s="860"/>
      <c r="FP8" s="860"/>
      <c r="FQ8" s="860"/>
      <c r="FR8" s="860"/>
      <c r="FS8" s="860"/>
      <c r="FT8" s="860"/>
      <c r="FU8" s="860"/>
      <c r="FV8" s="860"/>
      <c r="FW8" s="860"/>
      <c r="FX8" s="860"/>
      <c r="FY8" s="860"/>
      <c r="FZ8" s="860"/>
      <c r="GA8" s="860"/>
      <c r="GB8" s="860"/>
      <c r="GC8" s="860"/>
      <c r="GD8" s="860"/>
      <c r="GE8" s="860"/>
      <c r="GF8" s="860"/>
      <c r="GG8" s="860"/>
      <c r="GH8" s="860"/>
      <c r="GI8" s="860"/>
      <c r="GJ8" s="860"/>
      <c r="GK8" s="860"/>
      <c r="GL8" s="860"/>
      <c r="GM8" s="860"/>
      <c r="GN8" s="860"/>
      <c r="GO8" s="860"/>
      <c r="GP8" s="860"/>
      <c r="GQ8" s="860"/>
      <c r="GR8" s="860"/>
      <c r="GS8" s="860"/>
      <c r="GT8" s="860"/>
      <c r="GU8" s="860"/>
      <c r="GV8" s="860"/>
      <c r="GW8" s="860"/>
      <c r="GX8" s="860"/>
      <c r="GY8" s="860"/>
      <c r="GZ8" s="860"/>
      <c r="HA8" s="860"/>
      <c r="HB8" s="860"/>
      <c r="HC8" s="860"/>
      <c r="HD8" s="860"/>
      <c r="HE8" s="860"/>
      <c r="HF8" s="860"/>
      <c r="HG8" s="860"/>
      <c r="HH8" s="860"/>
      <c r="HI8" s="860"/>
      <c r="HJ8" s="860"/>
      <c r="HK8" s="860"/>
      <c r="HL8" s="860"/>
      <c r="HM8" s="860"/>
      <c r="HN8" s="860"/>
      <c r="HO8" s="860"/>
      <c r="HP8" s="860"/>
      <c r="HQ8" s="860"/>
      <c r="HR8" s="860"/>
      <c r="HS8" s="860"/>
      <c r="HT8" s="860"/>
      <c r="HU8" s="860"/>
      <c r="HV8" s="860"/>
      <c r="HW8" s="860"/>
      <c r="HX8" s="860"/>
      <c r="HY8" s="860"/>
      <c r="HZ8" s="860"/>
      <c r="IA8" s="860"/>
      <c r="IB8" s="860"/>
      <c r="IC8" s="860"/>
      <c r="ID8" s="860"/>
      <c r="IE8" s="860"/>
      <c r="IF8" s="860"/>
      <c r="IG8" s="860"/>
      <c r="IH8" s="860"/>
      <c r="II8" s="860"/>
      <c r="IJ8" s="860"/>
      <c r="IK8" s="860"/>
      <c r="IL8" s="860"/>
      <c r="IM8" s="860"/>
      <c r="IN8" s="860"/>
      <c r="IO8" s="860"/>
      <c r="IP8" s="860"/>
      <c r="IQ8" s="860"/>
      <c r="IR8" s="860"/>
      <c r="IS8" s="860"/>
      <c r="IT8" s="860"/>
      <c r="IU8" s="860"/>
      <c r="IV8" s="860"/>
    </row>
    <row r="9" spans="1:256" ht="15" customHeight="1">
      <c r="A9" s="134" t="s">
        <v>3</v>
      </c>
      <c r="B9" s="252">
        <f>B8</f>
        <v>0</v>
      </c>
      <c r="C9" s="252">
        <f>C8</f>
        <v>0</v>
      </c>
      <c r="D9" s="41"/>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row>
    <row r="10" spans="1:256" ht="15" customHeight="1">
      <c r="A10" s="41"/>
      <c r="B10" s="41"/>
      <c r="C10" s="41"/>
      <c r="D10" s="41"/>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0"/>
      <c r="AZ10" s="860"/>
      <c r="BA10" s="860"/>
      <c r="BB10" s="860"/>
      <c r="BC10" s="860"/>
      <c r="BD10" s="860"/>
      <c r="BE10" s="860"/>
      <c r="BF10" s="860"/>
      <c r="BG10" s="860"/>
      <c r="BH10" s="860"/>
      <c r="BI10" s="860"/>
      <c r="BJ10" s="860"/>
      <c r="BK10" s="860"/>
      <c r="BL10" s="860"/>
      <c r="BM10" s="860"/>
      <c r="BN10" s="860"/>
      <c r="BO10" s="860"/>
      <c r="BP10" s="860"/>
      <c r="BQ10" s="860"/>
      <c r="BR10" s="860"/>
      <c r="BS10" s="860"/>
      <c r="BT10" s="860"/>
      <c r="BU10" s="860"/>
      <c r="BV10" s="860"/>
      <c r="BW10" s="860"/>
      <c r="BX10" s="860"/>
      <c r="BY10" s="860"/>
      <c r="BZ10" s="860"/>
      <c r="CA10" s="860"/>
      <c r="CB10" s="860"/>
      <c r="CC10" s="860"/>
      <c r="CD10" s="860"/>
      <c r="CE10" s="860"/>
      <c r="CF10" s="860"/>
      <c r="CG10" s="860"/>
      <c r="CH10" s="860"/>
      <c r="CI10" s="860"/>
      <c r="CJ10" s="860"/>
      <c r="CK10" s="860"/>
      <c r="CL10" s="860"/>
      <c r="CM10" s="860"/>
      <c r="CN10" s="860"/>
      <c r="CO10" s="860"/>
      <c r="CP10" s="860"/>
      <c r="CQ10" s="860"/>
      <c r="CR10" s="860"/>
      <c r="CS10" s="860"/>
      <c r="CT10" s="860"/>
      <c r="CU10" s="860"/>
      <c r="CV10" s="860"/>
      <c r="CW10" s="860"/>
      <c r="CX10" s="860"/>
      <c r="CY10" s="860"/>
      <c r="CZ10" s="860"/>
      <c r="DA10" s="860"/>
      <c r="DB10" s="860"/>
      <c r="DC10" s="860"/>
      <c r="DD10" s="860"/>
      <c r="DE10" s="860"/>
      <c r="DF10" s="860"/>
      <c r="DG10" s="860"/>
      <c r="DH10" s="860"/>
      <c r="DI10" s="860"/>
      <c r="DJ10" s="860"/>
      <c r="DK10" s="860"/>
      <c r="DL10" s="860"/>
      <c r="DM10" s="860"/>
      <c r="DN10" s="860"/>
      <c r="DO10" s="860"/>
      <c r="DP10" s="860"/>
      <c r="DQ10" s="860"/>
      <c r="DR10" s="860"/>
      <c r="DS10" s="860"/>
      <c r="DT10" s="860"/>
      <c r="DU10" s="860"/>
      <c r="DV10" s="860"/>
      <c r="DW10" s="860"/>
      <c r="DX10" s="860"/>
      <c r="DY10" s="860"/>
      <c r="DZ10" s="860"/>
      <c r="EA10" s="860"/>
      <c r="EB10" s="860"/>
      <c r="EC10" s="860"/>
      <c r="ED10" s="860"/>
      <c r="EE10" s="860"/>
      <c r="EF10" s="860"/>
      <c r="EG10" s="860"/>
      <c r="EH10" s="860"/>
      <c r="EI10" s="860"/>
      <c r="EJ10" s="860"/>
      <c r="EK10" s="860"/>
      <c r="EL10" s="860"/>
      <c r="EM10" s="860"/>
      <c r="EN10" s="860"/>
      <c r="EO10" s="860"/>
      <c r="EP10" s="860"/>
      <c r="EQ10" s="860"/>
      <c r="ER10" s="860"/>
      <c r="ES10" s="860"/>
      <c r="ET10" s="860"/>
      <c r="EU10" s="860"/>
      <c r="EV10" s="860"/>
      <c r="EW10" s="860"/>
      <c r="EX10" s="860"/>
      <c r="EY10" s="860"/>
      <c r="EZ10" s="860"/>
      <c r="FA10" s="860"/>
      <c r="FB10" s="860"/>
      <c r="FC10" s="860"/>
      <c r="FD10" s="860"/>
      <c r="FE10" s="860"/>
      <c r="FF10" s="860"/>
      <c r="FG10" s="860"/>
      <c r="FH10" s="860"/>
      <c r="FI10" s="860"/>
      <c r="FJ10" s="860"/>
      <c r="FK10" s="860"/>
      <c r="FL10" s="860"/>
      <c r="FM10" s="860"/>
      <c r="FN10" s="860"/>
      <c r="FO10" s="860"/>
      <c r="FP10" s="860"/>
      <c r="FQ10" s="860"/>
      <c r="FR10" s="860"/>
      <c r="FS10" s="860"/>
      <c r="FT10" s="860"/>
      <c r="FU10" s="860"/>
      <c r="FV10" s="860"/>
      <c r="FW10" s="860"/>
      <c r="FX10" s="860"/>
      <c r="FY10" s="860"/>
      <c r="FZ10" s="860"/>
      <c r="GA10" s="860"/>
      <c r="GB10" s="860"/>
      <c r="GC10" s="860"/>
      <c r="GD10" s="860"/>
      <c r="GE10" s="860"/>
      <c r="GF10" s="860"/>
      <c r="GG10" s="860"/>
      <c r="GH10" s="860"/>
      <c r="GI10" s="860"/>
      <c r="GJ10" s="860"/>
      <c r="GK10" s="860"/>
      <c r="GL10" s="860"/>
      <c r="GM10" s="860"/>
      <c r="GN10" s="860"/>
      <c r="GO10" s="860"/>
      <c r="GP10" s="860"/>
      <c r="GQ10" s="860"/>
      <c r="GR10" s="860"/>
      <c r="GS10" s="860"/>
      <c r="GT10" s="860"/>
      <c r="GU10" s="860"/>
      <c r="GV10" s="860"/>
      <c r="GW10" s="860"/>
      <c r="GX10" s="860"/>
      <c r="GY10" s="860"/>
      <c r="GZ10" s="860"/>
      <c r="HA10" s="860"/>
      <c r="HB10" s="860"/>
      <c r="HC10" s="860"/>
      <c r="HD10" s="860"/>
      <c r="HE10" s="860"/>
      <c r="HF10" s="860"/>
      <c r="HG10" s="860"/>
      <c r="HH10" s="860"/>
      <c r="HI10" s="860"/>
      <c r="HJ10" s="860"/>
      <c r="HK10" s="860"/>
      <c r="HL10" s="860"/>
      <c r="HM10" s="860"/>
      <c r="HN10" s="860"/>
      <c r="HO10" s="860"/>
      <c r="HP10" s="860"/>
      <c r="HQ10" s="860"/>
      <c r="HR10" s="860"/>
      <c r="HS10" s="860"/>
      <c r="HT10" s="860"/>
      <c r="HU10" s="860"/>
      <c r="HV10" s="860"/>
      <c r="HW10" s="860"/>
      <c r="HX10" s="860"/>
      <c r="HY10" s="860"/>
      <c r="HZ10" s="860"/>
      <c r="IA10" s="860"/>
      <c r="IB10" s="860"/>
      <c r="IC10" s="860"/>
      <c r="ID10" s="860"/>
      <c r="IE10" s="860"/>
      <c r="IF10" s="860"/>
      <c r="IG10" s="860"/>
      <c r="IH10" s="860"/>
      <c r="II10" s="860"/>
      <c r="IJ10" s="860"/>
      <c r="IK10" s="860"/>
      <c r="IL10" s="860"/>
      <c r="IM10" s="860"/>
      <c r="IN10" s="860"/>
      <c r="IO10" s="860"/>
      <c r="IP10" s="860"/>
      <c r="IQ10" s="860"/>
      <c r="IR10" s="860"/>
      <c r="IS10" s="860"/>
      <c r="IT10" s="860"/>
      <c r="IU10" s="860"/>
      <c r="IV10" s="860"/>
    </row>
    <row r="11" spans="1:256" ht="15" customHeight="1">
      <c r="A11" s="134" t="s">
        <v>125</v>
      </c>
      <c r="B11" s="41"/>
      <c r="C11" s="41"/>
      <c r="D11" s="41"/>
      <c r="E11" s="860"/>
      <c r="F11" s="860"/>
      <c r="G11" s="860"/>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0"/>
      <c r="AY11" s="860"/>
      <c r="AZ11" s="860"/>
      <c r="BA11" s="860"/>
      <c r="BB11" s="860"/>
      <c r="BC11" s="860"/>
      <c r="BD11" s="860"/>
      <c r="BE11" s="860"/>
      <c r="BF11" s="860"/>
      <c r="BG11" s="860"/>
      <c r="BH11" s="860"/>
      <c r="BI11" s="860"/>
      <c r="BJ11" s="860"/>
      <c r="BK11" s="860"/>
      <c r="BL11" s="860"/>
      <c r="BM11" s="860"/>
      <c r="BN11" s="860"/>
      <c r="BO11" s="860"/>
      <c r="BP11" s="860"/>
      <c r="BQ11" s="860"/>
      <c r="BR11" s="860"/>
      <c r="BS11" s="860"/>
      <c r="BT11" s="860"/>
      <c r="BU11" s="860"/>
      <c r="BV11" s="860"/>
      <c r="BW11" s="860"/>
      <c r="BX11" s="860"/>
      <c r="BY11" s="860"/>
      <c r="BZ11" s="860"/>
      <c r="CA11" s="860"/>
      <c r="CB11" s="860"/>
      <c r="CC11" s="860"/>
      <c r="CD11" s="860"/>
      <c r="CE11" s="860"/>
      <c r="CF11" s="860"/>
      <c r="CG11" s="860"/>
      <c r="CH11" s="860"/>
      <c r="CI11" s="860"/>
      <c r="CJ11" s="860"/>
      <c r="CK11" s="860"/>
      <c r="CL11" s="860"/>
      <c r="CM11" s="860"/>
      <c r="CN11" s="860"/>
      <c r="CO11" s="860"/>
      <c r="CP11" s="860"/>
      <c r="CQ11" s="860"/>
      <c r="CR11" s="860"/>
      <c r="CS11" s="860"/>
      <c r="CT11" s="860"/>
      <c r="CU11" s="860"/>
      <c r="CV11" s="860"/>
      <c r="CW11" s="860"/>
      <c r="CX11" s="860"/>
      <c r="CY11" s="860"/>
      <c r="CZ11" s="860"/>
      <c r="DA11" s="860"/>
      <c r="DB11" s="860"/>
      <c r="DC11" s="860"/>
      <c r="DD11" s="860"/>
      <c r="DE11" s="860"/>
      <c r="DF11" s="860"/>
      <c r="DG11" s="860"/>
      <c r="DH11" s="860"/>
      <c r="DI11" s="860"/>
      <c r="DJ11" s="860"/>
      <c r="DK11" s="860"/>
      <c r="DL11" s="860"/>
      <c r="DM11" s="860"/>
      <c r="DN11" s="860"/>
      <c r="DO11" s="860"/>
      <c r="DP11" s="860"/>
      <c r="DQ11" s="860"/>
      <c r="DR11" s="860"/>
      <c r="DS11" s="860"/>
      <c r="DT11" s="860"/>
      <c r="DU11" s="860"/>
      <c r="DV11" s="860"/>
      <c r="DW11" s="860"/>
      <c r="DX11" s="860"/>
      <c r="DY11" s="860"/>
      <c r="DZ11" s="860"/>
      <c r="EA11" s="860"/>
      <c r="EB11" s="860"/>
      <c r="EC11" s="860"/>
      <c r="ED11" s="860"/>
      <c r="EE11" s="860"/>
      <c r="EF11" s="860"/>
      <c r="EG11" s="860"/>
      <c r="EH11" s="860"/>
      <c r="EI11" s="860"/>
      <c r="EJ11" s="860"/>
      <c r="EK11" s="860"/>
      <c r="EL11" s="860"/>
      <c r="EM11" s="860"/>
      <c r="EN11" s="860"/>
      <c r="EO11" s="860"/>
      <c r="EP11" s="860"/>
      <c r="EQ11" s="860"/>
      <c r="ER11" s="860"/>
      <c r="ES11" s="860"/>
      <c r="ET11" s="860"/>
      <c r="EU11" s="860"/>
      <c r="EV11" s="860"/>
      <c r="EW11" s="860"/>
      <c r="EX11" s="860"/>
      <c r="EY11" s="860"/>
      <c r="EZ11" s="860"/>
      <c r="FA11" s="860"/>
      <c r="FB11" s="860"/>
      <c r="FC11" s="860"/>
      <c r="FD11" s="860"/>
      <c r="FE11" s="860"/>
      <c r="FF11" s="860"/>
      <c r="FG11" s="860"/>
      <c r="FH11" s="860"/>
      <c r="FI11" s="860"/>
      <c r="FJ11" s="860"/>
      <c r="FK11" s="860"/>
      <c r="FL11" s="860"/>
      <c r="FM11" s="860"/>
      <c r="FN11" s="860"/>
      <c r="FO11" s="860"/>
      <c r="FP11" s="860"/>
      <c r="FQ11" s="860"/>
      <c r="FR11" s="860"/>
      <c r="FS11" s="860"/>
      <c r="FT11" s="860"/>
      <c r="FU11" s="860"/>
      <c r="FV11" s="860"/>
      <c r="FW11" s="860"/>
      <c r="FX11" s="860"/>
      <c r="FY11" s="860"/>
      <c r="FZ11" s="860"/>
      <c r="GA11" s="860"/>
      <c r="GB11" s="860"/>
      <c r="GC11" s="860"/>
      <c r="GD11" s="860"/>
      <c r="GE11" s="860"/>
      <c r="GF11" s="860"/>
      <c r="GG11" s="860"/>
      <c r="GH11" s="860"/>
      <c r="GI11" s="860"/>
      <c r="GJ11" s="860"/>
      <c r="GK11" s="860"/>
      <c r="GL11" s="860"/>
      <c r="GM11" s="860"/>
      <c r="GN11" s="860"/>
      <c r="GO11" s="860"/>
      <c r="GP11" s="860"/>
      <c r="GQ11" s="860"/>
      <c r="GR11" s="860"/>
      <c r="GS11" s="860"/>
      <c r="GT11" s="860"/>
      <c r="GU11" s="860"/>
      <c r="GV11" s="860"/>
      <c r="GW11" s="860"/>
      <c r="GX11" s="860"/>
      <c r="GY11" s="860"/>
      <c r="GZ11" s="860"/>
      <c r="HA11" s="860"/>
      <c r="HB11" s="860"/>
      <c r="HC11" s="860"/>
      <c r="HD11" s="860"/>
      <c r="HE11" s="860"/>
      <c r="HF11" s="860"/>
      <c r="HG11" s="860"/>
      <c r="HH11" s="860"/>
      <c r="HI11" s="860"/>
      <c r="HJ11" s="860"/>
      <c r="HK11" s="860"/>
      <c r="HL11" s="860"/>
      <c r="HM11" s="860"/>
      <c r="HN11" s="860"/>
      <c r="HO11" s="860"/>
      <c r="HP11" s="860"/>
      <c r="HQ11" s="860"/>
      <c r="HR11" s="860"/>
      <c r="HS11" s="860"/>
      <c r="HT11" s="860"/>
      <c r="HU11" s="860"/>
      <c r="HV11" s="860"/>
      <c r="HW11" s="860"/>
      <c r="HX11" s="860"/>
      <c r="HY11" s="860"/>
      <c r="HZ11" s="860"/>
      <c r="IA11" s="860"/>
      <c r="IB11" s="860"/>
      <c r="IC11" s="860"/>
      <c r="ID11" s="860"/>
      <c r="IE11" s="860"/>
      <c r="IF11" s="860"/>
      <c r="IG11" s="860"/>
      <c r="IH11" s="860"/>
      <c r="II11" s="860"/>
      <c r="IJ11" s="860"/>
      <c r="IK11" s="860"/>
      <c r="IL11" s="860"/>
      <c r="IM11" s="860"/>
      <c r="IN11" s="860"/>
      <c r="IO11" s="860"/>
      <c r="IP11" s="860"/>
      <c r="IQ11" s="860"/>
      <c r="IR11" s="860"/>
      <c r="IS11" s="860"/>
      <c r="IT11" s="860"/>
      <c r="IU11" s="860"/>
      <c r="IV11" s="860"/>
    </row>
    <row r="12" spans="1:256" ht="15" customHeight="1">
      <c r="A12" s="41" t="s">
        <v>128</v>
      </c>
      <c r="B12" s="41"/>
      <c r="C12" s="41"/>
      <c r="D12" s="41"/>
      <c r="E12" s="860"/>
      <c r="F12" s="860"/>
      <c r="G12" s="860"/>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0"/>
      <c r="AJ12" s="860"/>
      <c r="AK12" s="860"/>
      <c r="AL12" s="860"/>
      <c r="AM12" s="860"/>
      <c r="AN12" s="860"/>
      <c r="AO12" s="860"/>
      <c r="AP12" s="860"/>
      <c r="AQ12" s="860"/>
      <c r="AR12" s="860"/>
      <c r="AS12" s="860"/>
      <c r="AT12" s="860"/>
      <c r="AU12" s="860"/>
      <c r="AV12" s="860"/>
      <c r="AW12" s="860"/>
      <c r="AX12" s="860"/>
      <c r="AY12" s="860"/>
      <c r="AZ12" s="860"/>
      <c r="BA12" s="860"/>
      <c r="BB12" s="860"/>
      <c r="BC12" s="860"/>
      <c r="BD12" s="860"/>
      <c r="BE12" s="860"/>
      <c r="BF12" s="860"/>
      <c r="BG12" s="860"/>
      <c r="BH12" s="860"/>
      <c r="BI12" s="860"/>
      <c r="BJ12" s="860"/>
      <c r="BK12" s="860"/>
      <c r="BL12" s="860"/>
      <c r="BM12" s="860"/>
      <c r="BN12" s="860"/>
      <c r="BO12" s="860"/>
      <c r="BP12" s="860"/>
      <c r="BQ12" s="860"/>
      <c r="BR12" s="860"/>
      <c r="BS12" s="860"/>
      <c r="BT12" s="860"/>
      <c r="BU12" s="860"/>
      <c r="BV12" s="860"/>
      <c r="BW12" s="860"/>
      <c r="BX12" s="860"/>
      <c r="BY12" s="860"/>
      <c r="BZ12" s="860"/>
      <c r="CA12" s="860"/>
      <c r="CB12" s="860"/>
      <c r="CC12" s="860"/>
      <c r="CD12" s="860"/>
      <c r="CE12" s="860"/>
      <c r="CF12" s="860"/>
      <c r="CG12" s="860"/>
      <c r="CH12" s="860"/>
      <c r="CI12" s="860"/>
      <c r="CJ12" s="860"/>
      <c r="CK12" s="860"/>
      <c r="CL12" s="860"/>
      <c r="CM12" s="860"/>
      <c r="CN12" s="860"/>
      <c r="CO12" s="860"/>
      <c r="CP12" s="860"/>
      <c r="CQ12" s="860"/>
      <c r="CR12" s="860"/>
      <c r="CS12" s="860"/>
      <c r="CT12" s="860"/>
      <c r="CU12" s="860"/>
      <c r="CV12" s="860"/>
      <c r="CW12" s="860"/>
      <c r="CX12" s="860"/>
      <c r="CY12" s="860"/>
      <c r="CZ12" s="860"/>
      <c r="DA12" s="860"/>
      <c r="DB12" s="860"/>
      <c r="DC12" s="860"/>
      <c r="DD12" s="860"/>
      <c r="DE12" s="860"/>
      <c r="DF12" s="860"/>
      <c r="DG12" s="860"/>
      <c r="DH12" s="860"/>
      <c r="DI12" s="860"/>
      <c r="DJ12" s="860"/>
      <c r="DK12" s="860"/>
      <c r="DL12" s="860"/>
      <c r="DM12" s="860"/>
      <c r="DN12" s="860"/>
      <c r="DO12" s="860"/>
      <c r="DP12" s="860"/>
      <c r="DQ12" s="860"/>
      <c r="DR12" s="860"/>
      <c r="DS12" s="860"/>
      <c r="DT12" s="860"/>
      <c r="DU12" s="860"/>
      <c r="DV12" s="860"/>
      <c r="DW12" s="860"/>
      <c r="DX12" s="860"/>
      <c r="DY12" s="860"/>
      <c r="DZ12" s="860"/>
      <c r="EA12" s="860"/>
      <c r="EB12" s="860"/>
      <c r="EC12" s="860"/>
      <c r="ED12" s="860"/>
      <c r="EE12" s="860"/>
      <c r="EF12" s="860"/>
      <c r="EG12" s="860"/>
      <c r="EH12" s="860"/>
      <c r="EI12" s="860"/>
      <c r="EJ12" s="860"/>
      <c r="EK12" s="860"/>
      <c r="EL12" s="860"/>
      <c r="EM12" s="860"/>
      <c r="EN12" s="860"/>
      <c r="EO12" s="860"/>
      <c r="EP12" s="860"/>
      <c r="EQ12" s="860"/>
      <c r="ER12" s="860"/>
      <c r="ES12" s="860"/>
      <c r="ET12" s="860"/>
      <c r="EU12" s="860"/>
      <c r="EV12" s="860"/>
      <c r="EW12" s="860"/>
      <c r="EX12" s="860"/>
      <c r="EY12" s="860"/>
      <c r="EZ12" s="860"/>
      <c r="FA12" s="860"/>
      <c r="FB12" s="860"/>
      <c r="FC12" s="860"/>
      <c r="FD12" s="860"/>
      <c r="FE12" s="860"/>
      <c r="FF12" s="860"/>
      <c r="FG12" s="860"/>
      <c r="FH12" s="860"/>
      <c r="FI12" s="860"/>
      <c r="FJ12" s="860"/>
      <c r="FK12" s="860"/>
      <c r="FL12" s="860"/>
      <c r="FM12" s="860"/>
      <c r="FN12" s="860"/>
      <c r="FO12" s="860"/>
      <c r="FP12" s="860"/>
      <c r="FQ12" s="860"/>
      <c r="FR12" s="860"/>
      <c r="FS12" s="860"/>
      <c r="FT12" s="860"/>
      <c r="FU12" s="860"/>
      <c r="FV12" s="860"/>
      <c r="FW12" s="860"/>
      <c r="FX12" s="860"/>
      <c r="FY12" s="860"/>
      <c r="FZ12" s="860"/>
      <c r="GA12" s="860"/>
      <c r="GB12" s="860"/>
      <c r="GC12" s="860"/>
      <c r="GD12" s="860"/>
      <c r="GE12" s="860"/>
      <c r="GF12" s="860"/>
      <c r="GG12" s="860"/>
      <c r="GH12" s="860"/>
      <c r="GI12" s="860"/>
      <c r="GJ12" s="860"/>
      <c r="GK12" s="860"/>
      <c r="GL12" s="860"/>
      <c r="GM12" s="860"/>
      <c r="GN12" s="860"/>
      <c r="GO12" s="860"/>
      <c r="GP12" s="860"/>
      <c r="GQ12" s="860"/>
      <c r="GR12" s="860"/>
      <c r="GS12" s="860"/>
      <c r="GT12" s="860"/>
      <c r="GU12" s="860"/>
      <c r="GV12" s="860"/>
      <c r="GW12" s="860"/>
      <c r="GX12" s="860"/>
      <c r="GY12" s="860"/>
      <c r="GZ12" s="860"/>
      <c r="HA12" s="860"/>
      <c r="HB12" s="860"/>
      <c r="HC12" s="860"/>
      <c r="HD12" s="860"/>
      <c r="HE12" s="860"/>
      <c r="HF12" s="860"/>
      <c r="HG12" s="860"/>
      <c r="HH12" s="860"/>
      <c r="HI12" s="860"/>
      <c r="HJ12" s="860"/>
      <c r="HK12" s="860"/>
      <c r="HL12" s="860"/>
      <c r="HM12" s="860"/>
      <c r="HN12" s="860"/>
      <c r="HO12" s="860"/>
      <c r="HP12" s="860"/>
      <c r="HQ12" s="860"/>
      <c r="HR12" s="860"/>
      <c r="HS12" s="860"/>
      <c r="HT12" s="860"/>
      <c r="HU12" s="860"/>
      <c r="HV12" s="860"/>
      <c r="HW12" s="860"/>
      <c r="HX12" s="860"/>
      <c r="HY12" s="860"/>
      <c r="HZ12" s="860"/>
      <c r="IA12" s="860"/>
      <c r="IB12" s="860"/>
      <c r="IC12" s="860"/>
      <c r="ID12" s="860"/>
      <c r="IE12" s="860"/>
      <c r="IF12" s="860"/>
      <c r="IG12" s="860"/>
      <c r="IH12" s="860"/>
      <c r="II12" s="860"/>
      <c r="IJ12" s="860"/>
      <c r="IK12" s="860"/>
      <c r="IL12" s="860"/>
      <c r="IM12" s="860"/>
      <c r="IN12" s="860"/>
      <c r="IO12" s="860"/>
      <c r="IP12" s="860"/>
      <c r="IQ12" s="860"/>
      <c r="IR12" s="860"/>
      <c r="IS12" s="860"/>
      <c r="IT12" s="860"/>
      <c r="IU12" s="860"/>
      <c r="IV12" s="860"/>
    </row>
    <row r="13" spans="1:256" ht="15" customHeight="1">
      <c r="A13" s="134" t="s">
        <v>3</v>
      </c>
      <c r="B13" s="252">
        <f>B12</f>
        <v>0</v>
      </c>
      <c r="C13" s="252">
        <f>C12</f>
        <v>0</v>
      </c>
      <c r="D13" s="41"/>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row>
    <row r="14" ht="15" customHeight="1"/>
    <row r="15" ht="15" customHeight="1">
      <c r="A15" s="97" t="s">
        <v>126</v>
      </c>
    </row>
    <row r="16" spans="1:4" s="49" customFormat="1" ht="15" customHeight="1">
      <c r="A16" s="132" t="s">
        <v>129</v>
      </c>
      <c r="B16" s="132"/>
      <c r="C16" s="132"/>
      <c r="D16" s="132"/>
    </row>
    <row r="17" spans="1:3" ht="15" customHeight="1">
      <c r="A17" s="134" t="s">
        <v>3</v>
      </c>
      <c r="B17" s="253">
        <f>B16</f>
        <v>0</v>
      </c>
      <c r="C17" s="253">
        <f>C16</f>
        <v>0</v>
      </c>
    </row>
    <row r="18" ht="15" customHeight="1"/>
    <row r="19" spans="1:3" ht="15" customHeight="1">
      <c r="A19" s="97" t="s">
        <v>130</v>
      </c>
      <c r="B19" s="253">
        <f>B9+B13+B17</f>
        <v>0</v>
      </c>
      <c r="C19" s="253">
        <f>C9+C13+C17</f>
        <v>0</v>
      </c>
    </row>
    <row r="20" ht="15" customHeight="1"/>
    <row r="21" ht="15" customHeight="1"/>
  </sheetData>
  <sheetProtection/>
  <mergeCells count="211">
    <mergeCell ref="B5:C5"/>
    <mergeCell ref="IK12:IP12"/>
    <mergeCell ref="ES12:EX12"/>
    <mergeCell ref="EY12:FD12"/>
    <mergeCell ref="FE12:FJ12"/>
    <mergeCell ref="FK12:FP12"/>
    <mergeCell ref="DI12:DN12"/>
    <mergeCell ref="DO12:DT12"/>
    <mergeCell ref="DU12:DZ12"/>
    <mergeCell ref="EA12:EF12"/>
    <mergeCell ref="IQ12:IV12"/>
    <mergeCell ref="HG12:HL12"/>
    <mergeCell ref="HM12:HR12"/>
    <mergeCell ref="HS12:HX12"/>
    <mergeCell ref="HY12:ID12"/>
    <mergeCell ref="IE12:IJ12"/>
    <mergeCell ref="E12:J12"/>
    <mergeCell ref="K12:P12"/>
    <mergeCell ref="Q12:V12"/>
    <mergeCell ref="W12:AB12"/>
    <mergeCell ref="AC12:AH12"/>
    <mergeCell ref="AI12:AN12"/>
    <mergeCell ref="EY11:FD11"/>
    <mergeCell ref="FE11:FJ11"/>
    <mergeCell ref="FK11:FP11"/>
    <mergeCell ref="BG12:BL12"/>
    <mergeCell ref="BM12:BR12"/>
    <mergeCell ref="BS12:BX12"/>
    <mergeCell ref="BY12:CD12"/>
    <mergeCell ref="FQ12:FV12"/>
    <mergeCell ref="FW12:GB12"/>
    <mergeCell ref="GC12:GH12"/>
    <mergeCell ref="GI12:GN12"/>
    <mergeCell ref="AO12:AT12"/>
    <mergeCell ref="AU12:AZ12"/>
    <mergeCell ref="BA12:BF12"/>
    <mergeCell ref="CE12:CJ12"/>
    <mergeCell ref="CK12:CP12"/>
    <mergeCell ref="CQ12:CV12"/>
    <mergeCell ref="HG11:HL11"/>
    <mergeCell ref="HM11:HR11"/>
    <mergeCell ref="FW11:GB11"/>
    <mergeCell ref="GC11:GH11"/>
    <mergeCell ref="DO11:DT11"/>
    <mergeCell ref="DU11:DZ11"/>
    <mergeCell ref="CW11:DB11"/>
    <mergeCell ref="DC11:DH11"/>
    <mergeCell ref="DI11:DN11"/>
    <mergeCell ref="CW12:DB12"/>
    <mergeCell ref="DC12:DH12"/>
    <mergeCell ref="HA11:HF11"/>
    <mergeCell ref="GO12:GT12"/>
    <mergeCell ref="GU12:GZ12"/>
    <mergeCell ref="EG12:EL12"/>
    <mergeCell ref="EM12:ER12"/>
    <mergeCell ref="ES11:EX11"/>
    <mergeCell ref="EM11:ER11"/>
    <mergeCell ref="HA12:HF12"/>
    <mergeCell ref="E11:J11"/>
    <mergeCell ref="K11:P11"/>
    <mergeCell ref="Q11:V11"/>
    <mergeCell ref="W11:AB11"/>
    <mergeCell ref="AC11:AH11"/>
    <mergeCell ref="AI11:AN11"/>
    <mergeCell ref="CE11:CJ11"/>
    <mergeCell ref="CK11:CP11"/>
    <mergeCell ref="CQ11:CV11"/>
    <mergeCell ref="AU11:AZ11"/>
    <mergeCell ref="BA11:BF11"/>
    <mergeCell ref="BG11:BL11"/>
    <mergeCell ref="GI10:GN10"/>
    <mergeCell ref="EG10:EL10"/>
    <mergeCell ref="EM10:ER10"/>
    <mergeCell ref="ES10:EX10"/>
    <mergeCell ref="EY10:FD10"/>
    <mergeCell ref="BM11:BR11"/>
    <mergeCell ref="BS11:BX11"/>
    <mergeCell ref="BY11:CD11"/>
    <mergeCell ref="EA11:EF11"/>
    <mergeCell ref="EG11:EL11"/>
    <mergeCell ref="AO11:AT11"/>
    <mergeCell ref="IQ10:IV10"/>
    <mergeCell ref="HA10:HF10"/>
    <mergeCell ref="HG10:HL10"/>
    <mergeCell ref="HM10:HR10"/>
    <mergeCell ref="HS10:HX10"/>
    <mergeCell ref="HY10:ID10"/>
    <mergeCell ref="IE10:IJ10"/>
    <mergeCell ref="FQ10:FV10"/>
    <mergeCell ref="FW10:GB10"/>
    <mergeCell ref="IE11:IJ11"/>
    <mergeCell ref="IK11:IP11"/>
    <mergeCell ref="FQ11:FV11"/>
    <mergeCell ref="HS11:HX11"/>
    <mergeCell ref="IQ11:IV11"/>
    <mergeCell ref="GI11:GN11"/>
    <mergeCell ref="GO11:GT11"/>
    <mergeCell ref="GU11:GZ11"/>
    <mergeCell ref="HY11:ID11"/>
    <mergeCell ref="CK10:CP10"/>
    <mergeCell ref="CQ10:CV10"/>
    <mergeCell ref="CW10:DB10"/>
    <mergeCell ref="DC10:DH10"/>
    <mergeCell ref="DI10:DN10"/>
    <mergeCell ref="EA10:EF10"/>
    <mergeCell ref="GC10:GH10"/>
    <mergeCell ref="E10:J10"/>
    <mergeCell ref="K10:P10"/>
    <mergeCell ref="Q10:V10"/>
    <mergeCell ref="W10:AB10"/>
    <mergeCell ref="AC10:AH10"/>
    <mergeCell ref="AI10:AN10"/>
    <mergeCell ref="AO10:AT10"/>
    <mergeCell ref="IK10:IP10"/>
    <mergeCell ref="HS8:HX8"/>
    <mergeCell ref="HY8:ID8"/>
    <mergeCell ref="IE8:IJ8"/>
    <mergeCell ref="IK8:IP8"/>
    <mergeCell ref="EY8:FD8"/>
    <mergeCell ref="GO10:GT10"/>
    <mergeCell ref="GU10:GZ10"/>
    <mergeCell ref="FE10:FJ10"/>
    <mergeCell ref="FK10:FP10"/>
    <mergeCell ref="AU10:AZ10"/>
    <mergeCell ref="BA10:BF10"/>
    <mergeCell ref="BG10:BL10"/>
    <mergeCell ref="BM10:BR10"/>
    <mergeCell ref="BS10:BX10"/>
    <mergeCell ref="BY10:CD10"/>
    <mergeCell ref="CE10:CJ10"/>
    <mergeCell ref="DO10:DT10"/>
    <mergeCell ref="DU10:DZ10"/>
    <mergeCell ref="IQ8:IV8"/>
    <mergeCell ref="GI8:GN8"/>
    <mergeCell ref="GO8:GT8"/>
    <mergeCell ref="GU8:GZ8"/>
    <mergeCell ref="HA8:HF8"/>
    <mergeCell ref="HG8:HL8"/>
    <mergeCell ref="HM8:HR8"/>
    <mergeCell ref="ES8:EX8"/>
    <mergeCell ref="CE8:CJ8"/>
    <mergeCell ref="FK8:FP8"/>
    <mergeCell ref="CK8:CP8"/>
    <mergeCell ref="CQ8:CV8"/>
    <mergeCell ref="CW8:DB8"/>
    <mergeCell ref="DC8:DH8"/>
    <mergeCell ref="DI8:DN8"/>
    <mergeCell ref="DO8:DT8"/>
    <mergeCell ref="FW8:GB8"/>
    <mergeCell ref="GC8:GH8"/>
    <mergeCell ref="E8:J8"/>
    <mergeCell ref="K8:P8"/>
    <mergeCell ref="Q8:V8"/>
    <mergeCell ref="W8:AB8"/>
    <mergeCell ref="AC8:AH8"/>
    <mergeCell ref="BS8:BX8"/>
    <mergeCell ref="BY8:CD8"/>
    <mergeCell ref="DU8:DZ8"/>
    <mergeCell ref="BA8:BF8"/>
    <mergeCell ref="BG8:BL8"/>
    <mergeCell ref="BM8:BR8"/>
    <mergeCell ref="AI8:AN8"/>
    <mergeCell ref="AO8:AT8"/>
    <mergeCell ref="FQ8:FV8"/>
    <mergeCell ref="EA8:EF8"/>
    <mergeCell ref="EG8:EL8"/>
    <mergeCell ref="EM8:ER8"/>
    <mergeCell ref="FE8:FJ8"/>
    <mergeCell ref="E4:J4"/>
    <mergeCell ref="K4:P4"/>
    <mergeCell ref="Q4:V4"/>
    <mergeCell ref="W4:AB4"/>
    <mergeCell ref="AC4:AH4"/>
    <mergeCell ref="AU8:AZ8"/>
    <mergeCell ref="EG4:EL4"/>
    <mergeCell ref="CK4:CP4"/>
    <mergeCell ref="CQ4:CV4"/>
    <mergeCell ref="IQ4:IV4"/>
    <mergeCell ref="HG4:HL4"/>
    <mergeCell ref="HM4:HR4"/>
    <mergeCell ref="HS4:HX4"/>
    <mergeCell ref="HY4:ID4"/>
    <mergeCell ref="IE4:IJ4"/>
    <mergeCell ref="IK4:IP4"/>
    <mergeCell ref="CW4:DB4"/>
    <mergeCell ref="AI4:AN4"/>
    <mergeCell ref="AO4:AT4"/>
    <mergeCell ref="AU4:AZ4"/>
    <mergeCell ref="BA4:BF4"/>
    <mergeCell ref="BG4:BL4"/>
    <mergeCell ref="BM4:BR4"/>
    <mergeCell ref="CE4:CJ4"/>
    <mergeCell ref="BS4:BX4"/>
    <mergeCell ref="BY4:CD4"/>
    <mergeCell ref="FK4:FP4"/>
    <mergeCell ref="FQ4:FV4"/>
    <mergeCell ref="FW4:GB4"/>
    <mergeCell ref="ES4:EX4"/>
    <mergeCell ref="EY4:FD4"/>
    <mergeCell ref="GI4:GN4"/>
    <mergeCell ref="GC4:GH4"/>
    <mergeCell ref="GO4:GT4"/>
    <mergeCell ref="GU4:GZ4"/>
    <mergeCell ref="HA4:HF4"/>
    <mergeCell ref="DC4:DH4"/>
    <mergeCell ref="DI4:DN4"/>
    <mergeCell ref="DO4:DT4"/>
    <mergeCell ref="DU4:DZ4"/>
    <mergeCell ref="EA4:EF4"/>
    <mergeCell ref="EM4:ER4"/>
    <mergeCell ref="FE4:FJ4"/>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D10" sqref="D10"/>
    </sheetView>
  </sheetViews>
  <sheetFormatPr defaultColWidth="11.421875" defaultRowHeight="15"/>
  <cols>
    <col min="1" max="1" width="26.7109375" style="121" customWidth="1"/>
    <col min="2" max="3" width="22.7109375" style="121" customWidth="1"/>
    <col min="4" max="19" width="11.421875" style="121" customWidth="1"/>
  </cols>
  <sheetData>
    <row r="1" spans="1:6" ht="15">
      <c r="A1" s="121" t="str">
        <f>Indice!C1</f>
        <v>NEGOFIN S.A.E.C.A.</v>
      </c>
      <c r="F1" s="142" t="s">
        <v>132</v>
      </c>
    </row>
    <row r="4" spans="1:4" ht="15">
      <c r="A4" s="894" t="s">
        <v>325</v>
      </c>
      <c r="B4" s="894"/>
      <c r="C4" s="894"/>
      <c r="D4" s="894"/>
    </row>
    <row r="5" spans="2:3" ht="15">
      <c r="B5" s="890" t="s">
        <v>313</v>
      </c>
      <c r="C5" s="890"/>
    </row>
    <row r="6" spans="1:5" ht="15">
      <c r="A6" s="139" t="s">
        <v>125</v>
      </c>
      <c r="B6" s="392">
        <f>_xlfn.IFERROR(IF(Indice!B6="","2XX2",YEAR(Indice!B6)),"2XX2")</f>
        <v>2021</v>
      </c>
      <c r="C6" s="392">
        <f>_xlfn.IFERROR(YEAR(Indice!B6-365),"2XX1")</f>
        <v>2020</v>
      </c>
      <c r="D6" s="135"/>
      <c r="E6" s="466"/>
    </row>
    <row r="7" spans="1:19" s="448" customFormat="1" ht="15">
      <c r="A7" s="136" t="s">
        <v>962</v>
      </c>
      <c r="B7" s="466">
        <v>2171705.434</v>
      </c>
      <c r="C7" s="466">
        <v>2171705.434</v>
      </c>
      <c r="D7" s="136"/>
      <c r="E7" s="466"/>
      <c r="F7" s="121"/>
      <c r="G7" s="121"/>
      <c r="H7" s="121"/>
      <c r="I7" s="121"/>
      <c r="J7" s="121"/>
      <c r="K7" s="121"/>
      <c r="L7" s="121"/>
      <c r="M7" s="121"/>
      <c r="N7" s="121"/>
      <c r="O7" s="121"/>
      <c r="P7" s="121"/>
      <c r="Q7" s="121"/>
      <c r="R7" s="121"/>
      <c r="S7" s="121"/>
    </row>
    <row r="8" spans="1:19" s="448" customFormat="1" ht="15">
      <c r="A8" s="136" t="s">
        <v>963</v>
      </c>
      <c r="B8" s="466">
        <v>683987.213</v>
      </c>
      <c r="C8" s="466">
        <v>854081.88</v>
      </c>
      <c r="D8" s="136"/>
      <c r="E8" s="466"/>
      <c r="F8" s="121"/>
      <c r="G8" s="121"/>
      <c r="H8" s="121"/>
      <c r="I8" s="121"/>
      <c r="J8" s="121"/>
      <c r="K8" s="121"/>
      <c r="L8" s="121"/>
      <c r="M8" s="121"/>
      <c r="N8" s="121"/>
      <c r="O8" s="121"/>
      <c r="P8" s="121"/>
      <c r="Q8" s="121"/>
      <c r="R8" s="121"/>
      <c r="S8" s="121"/>
    </row>
    <row r="9" spans="1:19" s="448" customFormat="1" ht="15">
      <c r="A9" s="136" t="s">
        <v>964</v>
      </c>
      <c r="B9" s="466">
        <v>16003.182</v>
      </c>
      <c r="C9" s="466">
        <v>16003.182</v>
      </c>
      <c r="D9" s="136"/>
      <c r="E9" s="467"/>
      <c r="F9" s="121"/>
      <c r="G9" s="121"/>
      <c r="H9" s="121"/>
      <c r="I9" s="121"/>
      <c r="J9" s="121"/>
      <c r="K9" s="121"/>
      <c r="L9" s="121"/>
      <c r="M9" s="121"/>
      <c r="N9" s="121"/>
      <c r="O9" s="121"/>
      <c r="P9" s="121"/>
      <c r="Q9" s="121"/>
      <c r="R9" s="121"/>
      <c r="S9" s="121"/>
    </row>
    <row r="10" spans="1:4" ht="25.5">
      <c r="A10" s="137" t="s">
        <v>164</v>
      </c>
      <c r="B10" s="467">
        <v>-2811976.887</v>
      </c>
      <c r="C10" s="467">
        <v>-2826260.641</v>
      </c>
      <c r="D10" s="786"/>
    </row>
    <row r="11" spans="1:6" ht="15">
      <c r="A11" s="138"/>
      <c r="B11" s="467"/>
      <c r="C11" s="467"/>
      <c r="D11" s="137"/>
      <c r="E11" s="136"/>
      <c r="F11" s="136"/>
    </row>
    <row r="12" spans="1:3" ht="15">
      <c r="A12" s="126" t="s">
        <v>130</v>
      </c>
      <c r="B12" s="468">
        <f>SUM(B7:B11)</f>
        <v>59718.941999999806</v>
      </c>
      <c r="C12" s="468">
        <f>SUM(C7:C11)</f>
        <v>215529.85499999998</v>
      </c>
    </row>
    <row r="13" spans="1:4" ht="15">
      <c r="A13" s="138"/>
      <c r="D13" s="137"/>
    </row>
    <row r="14" spans="1:4" ht="15">
      <c r="A14" s="137"/>
      <c r="D14" s="137"/>
    </row>
    <row r="15" spans="1:6" ht="15">
      <c r="A15" s="138"/>
      <c r="D15" s="137"/>
      <c r="E15" s="136"/>
      <c r="F15" s="136"/>
    </row>
    <row r="17" ht="15">
      <c r="A17" s="126"/>
    </row>
    <row r="18" spans="1:4" ht="15">
      <c r="A18" s="135"/>
      <c r="D18" s="135"/>
    </row>
    <row r="19" ht="15">
      <c r="A19" s="138"/>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1">
      <selection activeCell="G8" sqref="G8"/>
    </sheetView>
  </sheetViews>
  <sheetFormatPr defaultColWidth="11.421875" defaultRowHeight="15"/>
  <cols>
    <col min="1" max="1" width="24.7109375" style="121" customWidth="1"/>
    <col min="2" max="2" width="17.140625" style="121" customWidth="1"/>
    <col min="3" max="3" width="17.28125" style="121" customWidth="1"/>
    <col min="4" max="13" width="11.421875" style="121" customWidth="1"/>
  </cols>
  <sheetData>
    <row r="1" spans="1:5" ht="15">
      <c r="A1" s="121" t="str">
        <f>Indice!C1</f>
        <v>NEGOFIN S.A.E.C.A.</v>
      </c>
      <c r="E1" s="142" t="s">
        <v>132</v>
      </c>
    </row>
    <row r="5" spans="1:4" ht="15">
      <c r="A5" s="305" t="s">
        <v>326</v>
      </c>
      <c r="B5" s="305"/>
      <c r="C5" s="305"/>
      <c r="D5" s="305"/>
    </row>
    <row r="6" spans="2:3" ht="15">
      <c r="B6" s="890" t="s">
        <v>313</v>
      </c>
      <c r="C6" s="890"/>
    </row>
    <row r="7" spans="1:4" ht="15">
      <c r="A7" s="140" t="s">
        <v>131</v>
      </c>
      <c r="B7" s="392">
        <f>_xlfn.IFERROR(IF(Indice!B6="","2XX2",YEAR(Indice!B6)),"2XX2")</f>
        <v>2021</v>
      </c>
      <c r="C7" s="392">
        <f>_xlfn.IFERROR(YEAR(Indice!B6-365),"2XX1")</f>
        <v>2020</v>
      </c>
      <c r="D7" s="135"/>
    </row>
    <row r="8" spans="1:4" ht="15">
      <c r="A8" s="136"/>
      <c r="B8" s="136"/>
      <c r="C8" s="136"/>
      <c r="D8" s="136"/>
    </row>
    <row r="9" spans="1:4" ht="15">
      <c r="A9" s="137"/>
      <c r="D9" s="137"/>
    </row>
    <row r="10" spans="1:4" ht="15">
      <c r="A10" s="138"/>
      <c r="D10" s="137"/>
    </row>
    <row r="11" spans="1:3" ht="15">
      <c r="A11" s="126" t="s">
        <v>130</v>
      </c>
      <c r="B11" s="250">
        <f>SUM(B8:B10)</f>
        <v>0</v>
      </c>
      <c r="C11" s="250">
        <f>SUM(C8:C10)</f>
        <v>0</v>
      </c>
    </row>
    <row r="12" spans="1:4" ht="15">
      <c r="A12" s="138"/>
      <c r="D12" s="137"/>
    </row>
    <row r="13" spans="1:4" ht="15">
      <c r="A13" s="137"/>
      <c r="D13" s="137"/>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7">
      <selection activeCell="C26" sqref="C26"/>
    </sheetView>
  </sheetViews>
  <sheetFormatPr defaultColWidth="11.421875" defaultRowHeight="15"/>
  <cols>
    <col min="1" max="1" width="38.57421875" style="289" customWidth="1"/>
    <col min="2" max="2" width="34.140625" style="289" customWidth="1"/>
    <col min="3" max="3" width="34.421875" style="289" bestFit="1" customWidth="1"/>
    <col min="4" max="4" width="18.421875" style="289" customWidth="1"/>
    <col min="5" max="5" width="18.7109375" style="289" customWidth="1"/>
    <col min="6" max="16384" width="11.421875" style="289" customWidth="1"/>
  </cols>
  <sheetData>
    <row r="1" spans="1:3" ht="15">
      <c r="A1" s="289" t="str">
        <f>Indice!C1</f>
        <v>NEGOFIN S.A.E.C.A.</v>
      </c>
      <c r="B1" s="141"/>
      <c r="C1" s="425" t="s">
        <v>132</v>
      </c>
    </row>
    <row r="4" spans="1:5" ht="15">
      <c r="A4" s="305" t="s">
        <v>328</v>
      </c>
      <c r="B4" s="305"/>
      <c r="C4" s="305"/>
      <c r="D4" s="305"/>
      <c r="E4" s="305"/>
    </row>
    <row r="5" ht="15">
      <c r="A5" s="390" t="s">
        <v>313</v>
      </c>
    </row>
    <row r="6" spans="1:4" ht="15">
      <c r="A6" s="306" t="s">
        <v>839</v>
      </c>
      <c r="B6" s="306"/>
      <c r="C6" s="306"/>
      <c r="D6" s="306"/>
    </row>
    <row r="7" ht="15">
      <c r="E7" s="251"/>
    </row>
    <row r="8" spans="1:5" ht="15">
      <c r="A8" s="97" t="s">
        <v>65</v>
      </c>
      <c r="B8" s="407" t="s">
        <v>181</v>
      </c>
      <c r="C8" s="407" t="s">
        <v>480</v>
      </c>
      <c r="D8" s="408">
        <f>_xlfn.IFERROR(IF(Indice!B6="","2XX2",YEAR(Indice!B6)),"2XX2")</f>
        <v>2021</v>
      </c>
      <c r="E8" s="408">
        <f>_xlfn.IFERROR(YEAR(Indice!B6-365),"2XX1")</f>
        <v>2020</v>
      </c>
    </row>
    <row r="9" spans="1:5" ht="15">
      <c r="A9" s="289" t="s">
        <v>479</v>
      </c>
      <c r="B9" s="304"/>
      <c r="C9" s="309">
        <f>_xlfn.IFERROR(VLOOKUP(B9,'Base de Monedas'!A:B,2,0),"")</f>
      </c>
      <c r="D9" s="506">
        <v>0</v>
      </c>
      <c r="E9" s="456">
        <v>0</v>
      </c>
    </row>
    <row r="10" spans="1:5" ht="15">
      <c r="A10" s="292" t="s">
        <v>113</v>
      </c>
      <c r="B10" s="304"/>
      <c r="C10" s="309">
        <f>_xlfn.IFERROR(VLOOKUP(B10,'Base de Monedas'!A:B,2,0),"")</f>
      </c>
      <c r="D10" s="470">
        <v>0</v>
      </c>
      <c r="E10" s="456">
        <v>0</v>
      </c>
    </row>
    <row r="11" spans="1:5" ht="15">
      <c r="A11" s="292" t="s">
        <v>114</v>
      </c>
      <c r="B11" s="304"/>
      <c r="C11" s="309">
        <f>_xlfn.IFERROR(VLOOKUP(B11,'Base de Monedas'!A:B,2,0),"")</f>
      </c>
      <c r="D11" s="463">
        <v>1069437.032</v>
      </c>
      <c r="E11" s="463">
        <v>265985.59</v>
      </c>
    </row>
    <row r="12" spans="1:5" ht="15">
      <c r="A12" s="308" t="s">
        <v>66</v>
      </c>
      <c r="B12" s="304"/>
      <c r="C12" s="309">
        <f>_xlfn.IFERROR(VLOOKUP(B12,'Base de Monedas'!A:B,2,0),"")</f>
      </c>
      <c r="D12" s="463"/>
      <c r="E12" s="507"/>
    </row>
    <row r="13" spans="1:5" ht="15.75" thickBot="1">
      <c r="A13" s="12" t="s">
        <v>115</v>
      </c>
      <c r="B13" s="10"/>
      <c r="C13" s="14"/>
      <c r="D13" s="508">
        <f>SUM($D$9:D11)</f>
        <v>1069437.032</v>
      </c>
      <c r="E13" s="508">
        <f>SUM($E$9:E11)</f>
        <v>265985.59</v>
      </c>
    </row>
    <row r="14" spans="1:5" ht="15.75" thickTop="1">
      <c r="A14" s="12"/>
      <c r="B14" s="10"/>
      <c r="C14" s="14"/>
      <c r="D14" s="298"/>
      <c r="E14" s="298"/>
    </row>
    <row r="16" ht="15">
      <c r="D16" s="251"/>
    </row>
    <row r="17" spans="1:5" ht="15">
      <c r="A17" s="97" t="s">
        <v>838</v>
      </c>
      <c r="B17" s="407" t="s">
        <v>181</v>
      </c>
      <c r="C17" s="407" t="s">
        <v>480</v>
      </c>
      <c r="D17" s="408">
        <f>_xlfn.IFERROR(YEAR(Indice!B6),"2XX2")</f>
        <v>2021</v>
      </c>
      <c r="E17" s="408">
        <f>_xlfn.IFERROR(YEAR(Indice!B6-365),"2XX1")</f>
        <v>2020</v>
      </c>
    </row>
    <row r="18" spans="1:5" ht="15">
      <c r="A18" s="289" t="s">
        <v>479</v>
      </c>
      <c r="B18" s="304"/>
      <c r="C18" s="309">
        <f>_xlfn.IFERROR(VLOOKUP(B18,'Base de Monedas'!A:B,2,0),"")</f>
      </c>
      <c r="D18" s="506">
        <v>0</v>
      </c>
      <c r="E18" s="456">
        <v>0</v>
      </c>
    </row>
    <row r="19" spans="1:5" ht="15">
      <c r="A19" s="292" t="s">
        <v>113</v>
      </c>
      <c r="B19" s="304"/>
      <c r="C19" s="309">
        <f>_xlfn.IFERROR(VLOOKUP(B19,'Base de Monedas'!A:B,2,0),"")</f>
      </c>
      <c r="D19" s="470">
        <v>0</v>
      </c>
      <c r="E19" s="456">
        <v>0</v>
      </c>
    </row>
    <row r="20" spans="1:5" ht="15">
      <c r="A20" s="292" t="s">
        <v>114</v>
      </c>
      <c r="B20" s="304"/>
      <c r="C20" s="309">
        <f>_xlfn.IFERROR(VLOOKUP(B20,'Base de Monedas'!A:B,2,0),"")</f>
      </c>
      <c r="D20" s="463">
        <v>0</v>
      </c>
      <c r="E20" s="507">
        <v>0</v>
      </c>
    </row>
    <row r="21" spans="1:5" ht="15">
      <c r="A21" s="308" t="s">
        <v>66</v>
      </c>
      <c r="B21" s="304"/>
      <c r="C21" s="309">
        <f>_xlfn.IFERROR(VLOOKUP(B21,'Base de Monedas'!A:B,2,0),"")</f>
      </c>
      <c r="D21" s="463">
        <v>0</v>
      </c>
      <c r="E21" s="507">
        <v>0</v>
      </c>
    </row>
    <row r="22" spans="1:5" ht="15.75" thickBot="1">
      <c r="A22" s="12" t="s">
        <v>115</v>
      </c>
      <c r="B22" s="10"/>
      <c r="C22" s="14"/>
      <c r="D22" s="508">
        <f>SUM($D$18:D20)</f>
        <v>0</v>
      </c>
      <c r="E22" s="508">
        <f>SUM($E$18:E21)</f>
        <v>0</v>
      </c>
    </row>
    <row r="23"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62"/>
  <sheetViews>
    <sheetView showGridLines="0" zoomScale="84" zoomScaleNormal="84" zoomScalePageLayoutView="0" workbookViewId="0" topLeftCell="A91">
      <selection activeCell="A106" sqref="A106"/>
    </sheetView>
  </sheetViews>
  <sheetFormatPr defaultColWidth="11.421875" defaultRowHeight="15"/>
  <cols>
    <col min="1" max="1" width="45.140625" style="0" customWidth="1"/>
    <col min="2" max="2" width="16.00390625" style="0" customWidth="1"/>
    <col min="3" max="3" width="22.140625" style="0" customWidth="1"/>
    <col min="4" max="4" width="16.421875" style="304" customWidth="1"/>
    <col min="5" max="5" width="20.421875" style="304" bestFit="1" customWidth="1"/>
    <col min="6" max="6" width="18.57421875" style="0" customWidth="1"/>
    <col min="7" max="7" width="3.28125" style="0" customWidth="1"/>
    <col min="8" max="8" width="29.421875" style="448" bestFit="1" customWidth="1"/>
    <col min="9" max="9" width="11.421875" style="304" customWidth="1"/>
    <col min="10" max="10" width="23.28125" style="292" customWidth="1"/>
    <col min="11" max="11" width="18.140625" style="292" customWidth="1"/>
    <col min="12" max="12" width="20.421875" style="0" bestFit="1" customWidth="1"/>
    <col min="13" max="13" width="17.7109375" style="0" customWidth="1"/>
    <col min="14" max="14" width="12.7109375" style="496" bestFit="1" customWidth="1"/>
    <col min="15" max="15" width="13.7109375" style="502" bestFit="1" customWidth="1"/>
    <col min="17" max="17" width="13.7109375" style="0" bestFit="1" customWidth="1"/>
  </cols>
  <sheetData>
    <row r="1" spans="1:13" ht="15" customHeight="1">
      <c r="A1" t="str">
        <f>Indice!C1</f>
        <v>NEGOFIN S.A.E.C.A.</v>
      </c>
      <c r="E1" s="214" t="s">
        <v>132</v>
      </c>
      <c r="M1" s="141" t="s">
        <v>132</v>
      </c>
    </row>
    <row r="2" ht="15" customHeight="1"/>
    <row r="3" ht="15" customHeight="1"/>
    <row r="4" spans="1:13" ht="15" customHeight="1">
      <c r="A4" s="323" t="s">
        <v>329</v>
      </c>
      <c r="B4" s="323"/>
      <c r="C4" s="323"/>
      <c r="D4" s="478"/>
      <c r="E4" s="478"/>
      <c r="F4" s="323"/>
      <c r="G4" s="323"/>
      <c r="H4" s="323"/>
      <c r="I4" s="478"/>
      <c r="J4" s="323"/>
      <c r="K4" s="323"/>
      <c r="L4" s="323"/>
      <c r="M4" s="323"/>
    </row>
    <row r="5" ht="15" customHeight="1"/>
    <row r="6" ht="15" customHeight="1">
      <c r="A6" t="s">
        <v>859</v>
      </c>
    </row>
    <row r="7" ht="15" customHeight="1">
      <c r="A7" t="s">
        <v>333</v>
      </c>
    </row>
    <row r="8" spans="4:15" s="292" customFormat="1" ht="15" customHeight="1">
      <c r="D8" s="304"/>
      <c r="E8" s="304"/>
      <c r="H8" s="448"/>
      <c r="I8" s="304"/>
      <c r="N8" s="496"/>
      <c r="O8" s="502"/>
    </row>
    <row r="9" spans="1:13" ht="15" customHeight="1">
      <c r="A9" s="97" t="s">
        <v>65</v>
      </c>
      <c r="B9" s="239"/>
      <c r="C9" s="251"/>
      <c r="D9" s="446"/>
      <c r="E9" s="446"/>
      <c r="F9" s="239"/>
      <c r="J9" s="251"/>
      <c r="K9" s="251"/>
      <c r="L9" s="251"/>
      <c r="M9" s="251"/>
    </row>
    <row r="10" spans="1:13" ht="15" customHeight="1">
      <c r="A10" s="19"/>
      <c r="B10" s="409"/>
      <c r="C10" s="409"/>
      <c r="D10" s="392">
        <f>_xlfn.IFERROR(IF(Indice!B6="","2XX2",YEAR(Indice!B6)),"2XX2")</f>
        <v>2021</v>
      </c>
      <c r="E10" s="391"/>
      <c r="F10" s="409"/>
      <c r="I10" s="391"/>
      <c r="J10" s="409"/>
      <c r="K10" s="392">
        <f>_xlfn.IFERROR(YEAR(Indice!B6-365),"2XX1")</f>
        <v>2020</v>
      </c>
      <c r="L10" s="409"/>
      <c r="M10" s="409"/>
    </row>
    <row r="11" spans="1:13" ht="15" customHeight="1">
      <c r="A11" s="127" t="s">
        <v>845</v>
      </c>
      <c r="B11" s="128" t="s">
        <v>117</v>
      </c>
      <c r="C11" s="307" t="s">
        <v>842</v>
      </c>
      <c r="D11" s="307" t="s">
        <v>330</v>
      </c>
      <c r="E11" s="127" t="s">
        <v>849</v>
      </c>
      <c r="F11" s="128" t="s">
        <v>119</v>
      </c>
      <c r="H11" s="127" t="s">
        <v>845</v>
      </c>
      <c r="I11" s="128" t="s">
        <v>117</v>
      </c>
      <c r="J11" s="307" t="s">
        <v>842</v>
      </c>
      <c r="K11" s="307" t="s">
        <v>330</v>
      </c>
      <c r="L11" s="127" t="s">
        <v>849</v>
      </c>
      <c r="M11" s="128" t="s">
        <v>119</v>
      </c>
    </row>
    <row r="12" spans="1:13" ht="15" customHeight="1">
      <c r="A12" t="s">
        <v>968</v>
      </c>
      <c r="B12" s="475">
        <v>44554</v>
      </c>
      <c r="C12" s="304" t="s">
        <v>434</v>
      </c>
      <c r="D12" s="304" t="str">
        <f>_xlfn.IFERROR(VLOOKUP(C12,'Base de Monedas'!A:B,2,0),"")</f>
        <v>Guaraní</v>
      </c>
      <c r="E12" s="480">
        <v>1500000</v>
      </c>
      <c r="F12" s="304" t="s">
        <v>978</v>
      </c>
      <c r="H12" s="448" t="s">
        <v>968</v>
      </c>
      <c r="I12" s="475">
        <v>44554</v>
      </c>
      <c r="J12" s="304" t="s">
        <v>434</v>
      </c>
      <c r="K12" s="304" t="str">
        <f>_xlfn.IFERROR(VLOOKUP(J12,'Base de Monedas'!A:B,2,0),"")</f>
        <v>Guaraní</v>
      </c>
      <c r="L12" s="501">
        <v>6000000</v>
      </c>
      <c r="M12" s="304" t="s">
        <v>978</v>
      </c>
    </row>
    <row r="13" spans="1:13" ht="15" customHeight="1">
      <c r="A13" s="292" t="s">
        <v>968</v>
      </c>
      <c r="B13" s="475">
        <v>44645</v>
      </c>
      <c r="C13" s="304" t="s">
        <v>434</v>
      </c>
      <c r="D13" s="304" t="str">
        <f>_xlfn.IFERROR(VLOOKUP(C13,'Base de Monedas'!A:B,2,0),"")</f>
        <v>Guaraní</v>
      </c>
      <c r="E13" s="480">
        <v>2874999.998</v>
      </c>
      <c r="F13" s="304" t="s">
        <v>978</v>
      </c>
      <c r="H13" s="448" t="s">
        <v>968</v>
      </c>
      <c r="I13" s="475">
        <v>44221</v>
      </c>
      <c r="J13" s="304" t="s">
        <v>434</v>
      </c>
      <c r="K13" s="304" t="str">
        <f>_xlfn.IFERROR(VLOOKUP(J13,'Base de Monedas'!A:B,2,0),"")</f>
        <v>Guaraní</v>
      </c>
      <c r="L13" s="696">
        <v>458333.337</v>
      </c>
      <c r="M13" s="304" t="s">
        <v>978</v>
      </c>
    </row>
    <row r="14" spans="1:15" s="448" customFormat="1" ht="15" customHeight="1">
      <c r="A14" s="448" t="s">
        <v>968</v>
      </c>
      <c r="B14" s="482">
        <v>44430</v>
      </c>
      <c r="C14" s="304" t="s">
        <v>434</v>
      </c>
      <c r="D14" s="304" t="str">
        <f>_xlfn.IFERROR(VLOOKUP(C14,'Base de Monedas'!A:B,2,0),"")</f>
        <v>Guaraní</v>
      </c>
      <c r="E14" s="480">
        <v>8983333.333</v>
      </c>
      <c r="F14" s="304" t="s">
        <v>978</v>
      </c>
      <c r="H14" s="448" t="s">
        <v>968</v>
      </c>
      <c r="I14" s="475">
        <v>44466</v>
      </c>
      <c r="J14" s="304" t="s">
        <v>434</v>
      </c>
      <c r="K14" s="304" t="str">
        <f>_xlfn.IFERROR(VLOOKUP(J14,'Base de Monedas'!A:B,2,0),"")</f>
        <v>Guaraní</v>
      </c>
      <c r="L14" s="696">
        <v>9900000</v>
      </c>
      <c r="M14" s="304" t="s">
        <v>978</v>
      </c>
      <c r="N14" s="496"/>
      <c r="O14" s="502"/>
    </row>
    <row r="15" spans="1:15" s="448" customFormat="1" ht="15" customHeight="1">
      <c r="A15" s="448" t="s">
        <v>968</v>
      </c>
      <c r="B15" s="475" t="s">
        <v>979</v>
      </c>
      <c r="C15" s="304"/>
      <c r="D15" s="304"/>
      <c r="E15" s="480" t="s">
        <v>979</v>
      </c>
      <c r="F15" s="304" t="s">
        <v>979</v>
      </c>
      <c r="H15" s="448" t="s">
        <v>968</v>
      </c>
      <c r="I15" s="475">
        <v>44277</v>
      </c>
      <c r="J15" s="304" t="s">
        <v>434</v>
      </c>
      <c r="K15" s="304" t="str">
        <f>_xlfn.IFERROR(VLOOKUP(J15,'Base de Monedas'!A:B,2,0),"")</f>
        <v>Guaraní</v>
      </c>
      <c r="L15" s="696">
        <v>499999.997</v>
      </c>
      <c r="M15" s="304" t="s">
        <v>978</v>
      </c>
      <c r="N15" s="496"/>
      <c r="O15" s="502"/>
    </row>
    <row r="16" spans="1:15" s="448" customFormat="1" ht="15" customHeight="1">
      <c r="A16" s="448" t="s">
        <v>968</v>
      </c>
      <c r="B16" s="475" t="s">
        <v>979</v>
      </c>
      <c r="C16" s="304"/>
      <c r="D16" s="304"/>
      <c r="E16" s="480" t="s">
        <v>979</v>
      </c>
      <c r="F16" s="304" t="s">
        <v>979</v>
      </c>
      <c r="H16" s="448" t="s">
        <v>968</v>
      </c>
      <c r="I16" s="304" t="s">
        <v>979</v>
      </c>
      <c r="J16" s="304"/>
      <c r="K16" s="304" t="s">
        <v>979</v>
      </c>
      <c r="L16" s="304" t="s">
        <v>979</v>
      </c>
      <c r="M16" s="304" t="s">
        <v>979</v>
      </c>
      <c r="N16" s="496"/>
      <c r="O16" s="502"/>
    </row>
    <row r="17" spans="1:15" s="448" customFormat="1" ht="15" customHeight="1">
      <c r="A17" s="448" t="s">
        <v>968</v>
      </c>
      <c r="B17" s="475" t="s">
        <v>979</v>
      </c>
      <c r="C17" s="304"/>
      <c r="D17" s="304"/>
      <c r="E17" s="480" t="s">
        <v>979</v>
      </c>
      <c r="F17" s="304" t="s">
        <v>979</v>
      </c>
      <c r="H17" s="448" t="s">
        <v>968</v>
      </c>
      <c r="I17" s="304" t="s">
        <v>979</v>
      </c>
      <c r="J17" s="304"/>
      <c r="K17" s="304" t="s">
        <v>979</v>
      </c>
      <c r="L17" s="304" t="s">
        <v>979</v>
      </c>
      <c r="M17" s="304" t="s">
        <v>979</v>
      </c>
      <c r="N17" s="496"/>
      <c r="O17" s="502"/>
    </row>
    <row r="18" spans="1:15" s="448" customFormat="1" ht="15" customHeight="1">
      <c r="A18" s="448" t="s">
        <v>969</v>
      </c>
      <c r="B18" s="475">
        <v>44827</v>
      </c>
      <c r="C18" s="304" t="s">
        <v>434</v>
      </c>
      <c r="D18" s="304" t="str">
        <f>_xlfn.IFERROR(VLOOKUP(C18,'Base de Monedas'!A:B,2,0),"")</f>
        <v>Guaraní</v>
      </c>
      <c r="E18" s="480">
        <v>20000000</v>
      </c>
      <c r="F18" s="304" t="s">
        <v>978</v>
      </c>
      <c r="H18" s="448" t="s">
        <v>969</v>
      </c>
      <c r="I18" s="475">
        <v>44274</v>
      </c>
      <c r="J18" s="304" t="s">
        <v>434</v>
      </c>
      <c r="K18" s="304" t="str">
        <f>_xlfn.IFERROR(VLOOKUP(J18,'Base de Monedas'!A:B,2,0),"")</f>
        <v>Guaraní</v>
      </c>
      <c r="L18" s="696">
        <v>1249999.997</v>
      </c>
      <c r="M18" s="304" t="s">
        <v>978</v>
      </c>
      <c r="N18" s="496"/>
      <c r="O18" s="502"/>
    </row>
    <row r="19" spans="1:15" s="448" customFormat="1" ht="15" customHeight="1">
      <c r="A19" s="448" t="s">
        <v>969</v>
      </c>
      <c r="B19" s="475" t="s">
        <v>979</v>
      </c>
      <c r="C19" s="304"/>
      <c r="D19" s="304"/>
      <c r="E19" s="480" t="s">
        <v>979</v>
      </c>
      <c r="F19" s="304" t="s">
        <v>979</v>
      </c>
      <c r="H19" s="448" t="s">
        <v>969</v>
      </c>
      <c r="I19" s="475">
        <v>44340</v>
      </c>
      <c r="J19" s="304" t="s">
        <v>434</v>
      </c>
      <c r="K19" s="304" t="str">
        <f>_xlfn.IFERROR(VLOOKUP(J19,'Base de Monedas'!A:B,2,0),"")</f>
        <v>Guaraní</v>
      </c>
      <c r="L19" s="696">
        <v>1041666.669</v>
      </c>
      <c r="M19" s="304" t="s">
        <v>978</v>
      </c>
      <c r="N19" s="496"/>
      <c r="O19" s="502"/>
    </row>
    <row r="20" spans="1:15" s="448" customFormat="1" ht="15" customHeight="1">
      <c r="A20" s="448" t="s">
        <v>970</v>
      </c>
      <c r="B20" s="475">
        <v>44553</v>
      </c>
      <c r="C20" s="304" t="s">
        <v>434</v>
      </c>
      <c r="D20" s="304" t="str">
        <f>_xlfn.IFERROR(VLOOKUP(C20,'Base de Monedas'!A:B,2,0),"")</f>
        <v>Guaraní</v>
      </c>
      <c r="E20" s="480">
        <v>255865.307</v>
      </c>
      <c r="F20" s="304" t="s">
        <v>978</v>
      </c>
      <c r="H20" s="692" t="s">
        <v>969</v>
      </c>
      <c r="I20" s="475">
        <v>44340</v>
      </c>
      <c r="J20" s="304" t="s">
        <v>434</v>
      </c>
      <c r="K20" s="304" t="str">
        <f>_xlfn.IFERROR(VLOOKUP(J20,'Base de Monedas'!A:B,2,0),"")</f>
        <v>Guaraní</v>
      </c>
      <c r="L20" s="696">
        <v>3125000</v>
      </c>
      <c r="M20" s="304" t="s">
        <v>978</v>
      </c>
      <c r="N20" s="496"/>
      <c r="O20" s="502"/>
    </row>
    <row r="21" spans="1:15" s="448" customFormat="1" ht="15" customHeight="1">
      <c r="A21" s="448" t="s">
        <v>970</v>
      </c>
      <c r="B21" s="475">
        <v>44493</v>
      </c>
      <c r="C21" s="304" t="s">
        <v>434</v>
      </c>
      <c r="D21" s="304" t="str">
        <f>_xlfn.IFERROR(VLOOKUP(C21,'Base de Monedas'!A:B,2,0),"")</f>
        <v>Guaraní</v>
      </c>
      <c r="E21" s="480">
        <v>642569.176</v>
      </c>
      <c r="F21" s="304" t="s">
        <v>978</v>
      </c>
      <c r="H21" s="692" t="s">
        <v>969</v>
      </c>
      <c r="I21" s="304" t="s">
        <v>979</v>
      </c>
      <c r="J21" s="304"/>
      <c r="K21" s="304" t="s">
        <v>979</v>
      </c>
      <c r="L21" s="304" t="s">
        <v>979</v>
      </c>
      <c r="M21" s="304" t="s">
        <v>979</v>
      </c>
      <c r="N21" s="496"/>
      <c r="O21" s="502"/>
    </row>
    <row r="22" spans="1:15" s="448" customFormat="1" ht="15" customHeight="1">
      <c r="A22" s="762" t="s">
        <v>970</v>
      </c>
      <c r="B22" s="475">
        <v>44674</v>
      </c>
      <c r="C22" s="304" t="s">
        <v>434</v>
      </c>
      <c r="D22" s="304" t="str">
        <f>_xlfn.IFERROR(VLOOKUP(C22,'Base de Monedas'!A:B,2,0),"")</f>
        <v>Guaraní</v>
      </c>
      <c r="E22" s="480">
        <v>2479923.63</v>
      </c>
      <c r="F22" s="304" t="s">
        <v>978</v>
      </c>
      <c r="H22" s="448" t="s">
        <v>970</v>
      </c>
      <c r="I22" s="475">
        <v>44553</v>
      </c>
      <c r="J22" s="304" t="s">
        <v>434</v>
      </c>
      <c r="K22" s="304" t="str">
        <f>_xlfn.IFERROR(VLOOKUP(J22,'Base de Monedas'!A:B,2,0),"")</f>
        <v>Guaraní</v>
      </c>
      <c r="L22" s="696">
        <v>1000000</v>
      </c>
      <c r="M22" s="304" t="s">
        <v>978</v>
      </c>
      <c r="N22" s="496"/>
      <c r="O22" s="502"/>
    </row>
    <row r="23" spans="1:15" s="448" customFormat="1" ht="15" customHeight="1">
      <c r="A23" s="448" t="s">
        <v>970</v>
      </c>
      <c r="B23" s="475">
        <v>44823</v>
      </c>
      <c r="C23" s="304" t="s">
        <v>434</v>
      </c>
      <c r="D23" s="304" t="str">
        <f>_xlfn.IFERROR(VLOOKUP(C23,'Base de Monedas'!A:B,2,0),"")</f>
        <v>Guaraní</v>
      </c>
      <c r="E23" s="480">
        <v>5600000</v>
      </c>
      <c r="F23" s="304" t="s">
        <v>978</v>
      </c>
      <c r="H23" s="448" t="s">
        <v>970</v>
      </c>
      <c r="I23" s="475">
        <v>44493</v>
      </c>
      <c r="J23" s="304" t="s">
        <v>434</v>
      </c>
      <c r="K23" s="304" t="str">
        <f>_xlfn.IFERROR(VLOOKUP(J23,'Base de Monedas'!A:B,2,0),"")</f>
        <v>Guaraní</v>
      </c>
      <c r="L23" s="696">
        <v>6282449.093</v>
      </c>
      <c r="M23" s="304" t="s">
        <v>978</v>
      </c>
      <c r="N23" s="496"/>
      <c r="O23" s="502"/>
    </row>
    <row r="24" spans="1:15" s="448" customFormat="1" ht="15" customHeight="1">
      <c r="A24" s="448" t="s">
        <v>971</v>
      </c>
      <c r="B24" s="475">
        <v>44764</v>
      </c>
      <c r="C24" s="304" t="s">
        <v>434</v>
      </c>
      <c r="D24" s="304" t="str">
        <f>_xlfn.IFERROR(VLOOKUP(C24,'Base de Monedas'!A:B,2,0),"")</f>
        <v>Guaraní</v>
      </c>
      <c r="E24" s="480">
        <v>11083333.334</v>
      </c>
      <c r="F24" s="304" t="s">
        <v>978</v>
      </c>
      <c r="H24" s="448" t="s">
        <v>970</v>
      </c>
      <c r="I24" s="304" t="s">
        <v>979</v>
      </c>
      <c r="J24" s="304"/>
      <c r="K24" s="304" t="s">
        <v>979</v>
      </c>
      <c r="L24" s="304" t="s">
        <v>979</v>
      </c>
      <c r="M24" s="304" t="s">
        <v>979</v>
      </c>
      <c r="N24" s="496"/>
      <c r="O24" s="502"/>
    </row>
    <row r="25" spans="1:15" s="448" customFormat="1" ht="15" customHeight="1">
      <c r="A25" s="448" t="s">
        <v>973</v>
      </c>
      <c r="B25" s="476">
        <v>44559</v>
      </c>
      <c r="C25" s="304" t="s">
        <v>434</v>
      </c>
      <c r="D25" s="304" t="str">
        <f>_xlfn.IFERROR(VLOOKUP(C25,'Base de Monedas'!A:B,2,0),"")</f>
        <v>Guaraní</v>
      </c>
      <c r="E25" s="480">
        <v>1156489.774</v>
      </c>
      <c r="F25" s="304" t="s">
        <v>978</v>
      </c>
      <c r="H25" s="448" t="s">
        <v>971</v>
      </c>
      <c r="I25" s="475">
        <v>44310</v>
      </c>
      <c r="J25" s="304" t="s">
        <v>434</v>
      </c>
      <c r="K25" s="304" t="str">
        <f>_xlfn.IFERROR(VLOOKUP(J25,'Base de Monedas'!A:B,2,0),"")</f>
        <v>Guaraní</v>
      </c>
      <c r="L25" s="696">
        <v>3614814.814</v>
      </c>
      <c r="M25" s="304" t="s">
        <v>978</v>
      </c>
      <c r="N25" s="496"/>
      <c r="O25" s="502"/>
    </row>
    <row r="26" spans="1:15" s="448" customFormat="1" ht="15" customHeight="1">
      <c r="A26" s="448" t="s">
        <v>973</v>
      </c>
      <c r="B26" s="475" t="s">
        <v>979</v>
      </c>
      <c r="C26" s="304"/>
      <c r="D26" s="304"/>
      <c r="E26" s="480" t="s">
        <v>979</v>
      </c>
      <c r="F26" s="304" t="s">
        <v>979</v>
      </c>
      <c r="H26" s="448" t="s">
        <v>973</v>
      </c>
      <c r="I26" s="476">
        <v>44559</v>
      </c>
      <c r="J26" s="304" t="s">
        <v>434</v>
      </c>
      <c r="K26" s="304" t="str">
        <f>_xlfn.IFERROR(VLOOKUP(J26,'Base de Monedas'!A:B,2,0),"")</f>
        <v>Guaraní</v>
      </c>
      <c r="L26" s="696">
        <v>4500000</v>
      </c>
      <c r="M26" s="304" t="s">
        <v>978</v>
      </c>
      <c r="N26" s="496"/>
      <c r="O26" s="502"/>
    </row>
    <row r="27" spans="1:15" s="448" customFormat="1" ht="15" customHeight="1">
      <c r="A27" s="448" t="s">
        <v>973</v>
      </c>
      <c r="B27" s="475" t="s">
        <v>979</v>
      </c>
      <c r="C27" s="304"/>
      <c r="D27" s="304"/>
      <c r="E27" s="480" t="s">
        <v>979</v>
      </c>
      <c r="F27" s="304" t="s">
        <v>979</v>
      </c>
      <c r="H27" s="448" t="s">
        <v>973</v>
      </c>
      <c r="I27" s="498">
        <v>44279</v>
      </c>
      <c r="J27" s="304" t="s">
        <v>434</v>
      </c>
      <c r="K27" s="304" t="str">
        <f>_xlfn.IFERROR(VLOOKUP(J27,'Base de Monedas'!A:B,2,0),"")</f>
        <v>Guaraní</v>
      </c>
      <c r="L27" s="696">
        <v>516918.035</v>
      </c>
      <c r="M27" s="304" t="s">
        <v>978</v>
      </c>
      <c r="N27" s="496"/>
      <c r="O27" s="502"/>
    </row>
    <row r="28" spans="1:15" s="448" customFormat="1" ht="15" customHeight="1">
      <c r="A28" s="448" t="s">
        <v>975</v>
      </c>
      <c r="B28" s="475">
        <v>44799</v>
      </c>
      <c r="C28" s="304" t="s">
        <v>434</v>
      </c>
      <c r="D28" s="304" t="str">
        <f>_xlfn.IFERROR(VLOOKUP(C28,'Base de Monedas'!A:B,2,0),"")</f>
        <v>Guaraní</v>
      </c>
      <c r="E28" s="480">
        <v>6433738.211</v>
      </c>
      <c r="F28" s="304" t="s">
        <v>978</v>
      </c>
      <c r="G28" s="762"/>
      <c r="H28" s="448" t="s">
        <v>973</v>
      </c>
      <c r="I28" s="304" t="s">
        <v>979</v>
      </c>
      <c r="J28" s="304"/>
      <c r="K28" s="304" t="s">
        <v>979</v>
      </c>
      <c r="L28" s="304" t="s">
        <v>979</v>
      </c>
      <c r="M28" s="304" t="s">
        <v>979</v>
      </c>
      <c r="N28" s="496"/>
      <c r="O28" s="502"/>
    </row>
    <row r="29" spans="1:15" s="448" customFormat="1" ht="15" customHeight="1">
      <c r="A29" s="448" t="s">
        <v>975</v>
      </c>
      <c r="B29" s="476">
        <v>44530</v>
      </c>
      <c r="C29" s="304" t="s">
        <v>434</v>
      </c>
      <c r="D29" s="304" t="str">
        <f>_xlfn.IFERROR(VLOOKUP(C29,'Base de Monedas'!A:B,2,0),"")</f>
        <v>Guaraní</v>
      </c>
      <c r="E29" s="479">
        <v>1804720.228</v>
      </c>
      <c r="F29" s="304" t="s">
        <v>978</v>
      </c>
      <c r="H29" s="448" t="s">
        <v>975</v>
      </c>
      <c r="I29" s="475">
        <v>44339</v>
      </c>
      <c r="J29" s="304" t="s">
        <v>434</v>
      </c>
      <c r="K29" s="304" t="str">
        <f>_xlfn.IFERROR(VLOOKUP(J29,'Base de Monedas'!A:B,2,0),"")</f>
        <v>Guaraní</v>
      </c>
      <c r="L29" s="696">
        <v>3730562.106</v>
      </c>
      <c r="M29" s="304" t="s">
        <v>978</v>
      </c>
      <c r="N29" s="496"/>
      <c r="O29" s="502"/>
    </row>
    <row r="30" spans="1:15" s="448" customFormat="1" ht="15" customHeight="1">
      <c r="A30" s="448" t="s">
        <v>975</v>
      </c>
      <c r="B30" s="476">
        <v>44642</v>
      </c>
      <c r="C30" s="304" t="s">
        <v>434</v>
      </c>
      <c r="D30" s="304" t="str">
        <f>_xlfn.IFERROR(VLOOKUP(C30,'Base de Monedas'!A:B,2,0),"")</f>
        <v>Guaraní</v>
      </c>
      <c r="E30" s="479">
        <v>3250105.159</v>
      </c>
      <c r="F30" s="304" t="s">
        <v>978</v>
      </c>
      <c r="H30" s="448" t="s">
        <v>975</v>
      </c>
      <c r="I30" s="475">
        <v>44530</v>
      </c>
      <c r="J30" s="304" t="s">
        <v>434</v>
      </c>
      <c r="K30" s="304" t="str">
        <f>_xlfn.IFERROR(VLOOKUP(J30,'Base de Monedas'!A:B,2,0),"")</f>
        <v>Guaraní</v>
      </c>
      <c r="L30" s="501">
        <v>9653920.923</v>
      </c>
      <c r="M30" s="304" t="s">
        <v>978</v>
      </c>
      <c r="N30" s="496"/>
      <c r="O30" s="502"/>
    </row>
    <row r="31" spans="1:15" s="448" customFormat="1" ht="15" customHeight="1">
      <c r="A31" s="448" t="s">
        <v>980</v>
      </c>
      <c r="B31" s="475">
        <v>44675</v>
      </c>
      <c r="C31" s="304" t="s">
        <v>434</v>
      </c>
      <c r="D31" s="304" t="str">
        <f>_xlfn.IFERROR(VLOOKUP(C31,'Base de Monedas'!A:B,2,0),"")</f>
        <v>Guaraní</v>
      </c>
      <c r="E31" s="479">
        <v>7000000</v>
      </c>
      <c r="F31" s="304" t="s">
        <v>978</v>
      </c>
      <c r="H31" s="448" t="s">
        <v>975</v>
      </c>
      <c r="I31" s="304" t="s">
        <v>979</v>
      </c>
      <c r="J31" s="304"/>
      <c r="K31" s="304" t="s">
        <v>979</v>
      </c>
      <c r="L31" s="501" t="s">
        <v>979</v>
      </c>
      <c r="M31" s="304" t="s">
        <v>979</v>
      </c>
      <c r="N31" s="496"/>
      <c r="O31" s="502"/>
    </row>
    <row r="32" spans="1:15" s="448" customFormat="1" ht="15" customHeight="1">
      <c r="A32" s="448" t="s">
        <v>980</v>
      </c>
      <c r="B32" s="475" t="s">
        <v>979</v>
      </c>
      <c r="C32" s="304"/>
      <c r="D32" s="304"/>
      <c r="E32" s="480" t="s">
        <v>979</v>
      </c>
      <c r="F32" s="304" t="s">
        <v>979</v>
      </c>
      <c r="H32" s="448" t="s">
        <v>980</v>
      </c>
      <c r="I32" s="304" t="s">
        <v>979</v>
      </c>
      <c r="J32" s="304"/>
      <c r="K32" s="304" t="s">
        <v>979</v>
      </c>
      <c r="L32" s="501" t="s">
        <v>979</v>
      </c>
      <c r="M32" s="304" t="s">
        <v>979</v>
      </c>
      <c r="N32" s="496"/>
      <c r="O32" s="502"/>
    </row>
    <row r="33" spans="1:15" s="448" customFormat="1" ht="15" customHeight="1">
      <c r="A33" s="448" t="s">
        <v>981</v>
      </c>
      <c r="B33" s="475" t="s">
        <v>979</v>
      </c>
      <c r="C33" s="304"/>
      <c r="D33" s="304"/>
      <c r="E33" s="480" t="s">
        <v>979</v>
      </c>
      <c r="F33" s="304" t="s">
        <v>979</v>
      </c>
      <c r="H33" s="448" t="s">
        <v>980</v>
      </c>
      <c r="I33" s="304" t="s">
        <v>979</v>
      </c>
      <c r="J33" s="304"/>
      <c r="K33" s="304" t="s">
        <v>979</v>
      </c>
      <c r="L33" s="501" t="s">
        <v>979</v>
      </c>
      <c r="M33" s="304" t="s">
        <v>979</v>
      </c>
      <c r="N33" s="496"/>
      <c r="O33" s="502"/>
    </row>
    <row r="34" spans="1:15" s="448" customFormat="1" ht="15" customHeight="1">
      <c r="A34" s="448" t="s">
        <v>981</v>
      </c>
      <c r="B34" s="475" t="s">
        <v>979</v>
      </c>
      <c r="C34" s="304"/>
      <c r="D34" s="304"/>
      <c r="E34" s="480" t="s">
        <v>979</v>
      </c>
      <c r="F34" s="304" t="s">
        <v>979</v>
      </c>
      <c r="H34" s="448" t="s">
        <v>981</v>
      </c>
      <c r="I34" s="475">
        <v>44252</v>
      </c>
      <c r="J34" s="304" t="s">
        <v>434</v>
      </c>
      <c r="K34" s="304" t="str">
        <f>_xlfn.IFERROR(VLOOKUP(J34,'Base de Monedas'!A:B,2,0),"")</f>
        <v>Guaraní</v>
      </c>
      <c r="L34" s="501">
        <v>186184.431</v>
      </c>
      <c r="M34" s="304" t="s">
        <v>978</v>
      </c>
      <c r="N34" s="304"/>
      <c r="O34" s="502"/>
    </row>
    <row r="35" spans="1:15" s="448" customFormat="1" ht="15" customHeight="1">
      <c r="A35" s="448" t="s">
        <v>981</v>
      </c>
      <c r="B35" s="475" t="s">
        <v>979</v>
      </c>
      <c r="C35" s="304"/>
      <c r="D35" s="304"/>
      <c r="E35" s="480" t="s">
        <v>979</v>
      </c>
      <c r="F35" s="304" t="s">
        <v>979</v>
      </c>
      <c r="H35" s="448" t="s">
        <v>981</v>
      </c>
      <c r="I35" s="304" t="s">
        <v>979</v>
      </c>
      <c r="J35" s="304"/>
      <c r="K35" s="304" t="s">
        <v>979</v>
      </c>
      <c r="L35" s="501" t="s">
        <v>979</v>
      </c>
      <c r="M35" s="304" t="s">
        <v>979</v>
      </c>
      <c r="N35" s="496"/>
      <c r="O35" s="502"/>
    </row>
    <row r="36" spans="1:15" s="448" customFormat="1" ht="15" customHeight="1">
      <c r="A36" s="448" t="s">
        <v>981</v>
      </c>
      <c r="B36" s="475" t="s">
        <v>979</v>
      </c>
      <c r="C36" s="304"/>
      <c r="D36" s="304"/>
      <c r="E36" s="480" t="s">
        <v>979</v>
      </c>
      <c r="F36" s="304" t="s">
        <v>979</v>
      </c>
      <c r="H36" s="448" t="s">
        <v>981</v>
      </c>
      <c r="I36" s="304" t="s">
        <v>979</v>
      </c>
      <c r="J36" s="304"/>
      <c r="K36" s="304" t="s">
        <v>979</v>
      </c>
      <c r="L36" s="501" t="s">
        <v>979</v>
      </c>
      <c r="M36" s="304" t="s">
        <v>979</v>
      </c>
      <c r="N36" s="496"/>
      <c r="O36" s="502"/>
    </row>
    <row r="37" spans="1:15" s="448" customFormat="1" ht="15" customHeight="1">
      <c r="A37" s="448" t="s">
        <v>982</v>
      </c>
      <c r="B37" s="475" t="s">
        <v>979</v>
      </c>
      <c r="C37" s="304"/>
      <c r="D37" s="304"/>
      <c r="E37" s="480" t="s">
        <v>979</v>
      </c>
      <c r="F37" s="304" t="s">
        <v>979</v>
      </c>
      <c r="H37" s="692" t="s">
        <v>982</v>
      </c>
      <c r="I37" s="475">
        <v>44202</v>
      </c>
      <c r="J37" s="304" t="s">
        <v>434</v>
      </c>
      <c r="K37" s="304" t="str">
        <f>_xlfn.IFERROR(VLOOKUP(J37,'Base de Monedas'!A:B,2,0),"")</f>
        <v>Guaraní</v>
      </c>
      <c r="L37" s="501">
        <v>907230.785</v>
      </c>
      <c r="M37" s="304" t="s">
        <v>978</v>
      </c>
      <c r="N37" s="496"/>
      <c r="O37" s="502"/>
    </row>
    <row r="38" spans="1:15" s="448" customFormat="1" ht="15" customHeight="1">
      <c r="A38" s="448" t="s">
        <v>983</v>
      </c>
      <c r="B38" s="476">
        <v>44648</v>
      </c>
      <c r="C38" s="304" t="s">
        <v>434</v>
      </c>
      <c r="D38" s="304" t="str">
        <f>_xlfn.IFERROR(VLOOKUP(C38,'Base de Monedas'!A:B,2,0),"")</f>
        <v>Guaraní</v>
      </c>
      <c r="E38" s="479">
        <v>5095668.768</v>
      </c>
      <c r="F38" s="304" t="s">
        <v>978</v>
      </c>
      <c r="H38" s="448" t="s">
        <v>982</v>
      </c>
      <c r="I38" s="304" t="s">
        <v>979</v>
      </c>
      <c r="J38" s="304"/>
      <c r="K38" s="304" t="s">
        <v>979</v>
      </c>
      <c r="L38" s="501" t="s">
        <v>979</v>
      </c>
      <c r="M38" s="304" t="s">
        <v>979</v>
      </c>
      <c r="N38" s="496"/>
      <c r="O38" s="502"/>
    </row>
    <row r="39" spans="1:15" s="448" customFormat="1" ht="15" customHeight="1">
      <c r="A39" s="448" t="s">
        <v>983</v>
      </c>
      <c r="B39" s="475" t="s">
        <v>979</v>
      </c>
      <c r="C39" s="304"/>
      <c r="D39" s="304"/>
      <c r="E39" s="480" t="s">
        <v>979</v>
      </c>
      <c r="F39" s="304" t="s">
        <v>979</v>
      </c>
      <c r="H39" s="448" t="s">
        <v>1281</v>
      </c>
      <c r="I39" s="304" t="s">
        <v>979</v>
      </c>
      <c r="J39" s="304"/>
      <c r="K39" s="304" t="s">
        <v>979</v>
      </c>
      <c r="L39" s="501"/>
      <c r="M39" s="304" t="s">
        <v>979</v>
      </c>
      <c r="N39" s="496"/>
      <c r="O39" s="502"/>
    </row>
    <row r="40" spans="1:15" s="448" customFormat="1" ht="15" customHeight="1">
      <c r="A40" s="448" t="s">
        <v>974</v>
      </c>
      <c r="B40" s="476">
        <v>44530</v>
      </c>
      <c r="C40" s="304" t="s">
        <v>434</v>
      </c>
      <c r="D40" s="304" t="str">
        <f>_xlfn.IFERROR(VLOOKUP(C40,'Base de Monedas'!A:B,2,0),"")</f>
        <v>Guaraní</v>
      </c>
      <c r="E40" s="479">
        <v>1065086.459</v>
      </c>
      <c r="F40" s="304" t="s">
        <v>978</v>
      </c>
      <c r="H40" s="764" t="s">
        <v>974</v>
      </c>
      <c r="I40" s="475">
        <v>44282</v>
      </c>
      <c r="J40" s="304" t="s">
        <v>434</v>
      </c>
      <c r="K40" s="304" t="str">
        <f>_xlfn.IFERROR(VLOOKUP(J40,'Base de Monedas'!A:B,2,0),"")</f>
        <v>Guaraní</v>
      </c>
      <c r="L40" s="501">
        <v>785556.721</v>
      </c>
      <c r="M40" s="304" t="s">
        <v>978</v>
      </c>
      <c r="N40" s="496"/>
      <c r="O40" s="502"/>
    </row>
    <row r="41" spans="1:15" s="448" customFormat="1" ht="15" customHeight="1">
      <c r="A41" s="692" t="s">
        <v>974</v>
      </c>
      <c r="B41" s="477">
        <v>44741</v>
      </c>
      <c r="C41" s="304" t="s">
        <v>434</v>
      </c>
      <c r="D41" s="304" t="str">
        <f>_xlfn.IFERROR(VLOOKUP(C41,'Base de Monedas'!A:B,2,0),"")</f>
        <v>Guaraní</v>
      </c>
      <c r="E41" s="479">
        <v>4359431.747</v>
      </c>
      <c r="F41" s="304" t="s">
        <v>978</v>
      </c>
      <c r="H41" s="448" t="s">
        <v>974</v>
      </c>
      <c r="I41" s="475">
        <v>44530</v>
      </c>
      <c r="J41" s="304" t="s">
        <v>434</v>
      </c>
      <c r="K41" s="304" t="str">
        <f>_xlfn.IFERROR(VLOOKUP(J41,'Base de Monedas'!A:B,2,0),"")</f>
        <v>Guaraní</v>
      </c>
      <c r="L41" s="501">
        <v>5718412.672</v>
      </c>
      <c r="M41" s="304" t="s">
        <v>978</v>
      </c>
      <c r="N41" s="496"/>
      <c r="O41" s="502"/>
    </row>
    <row r="42" spans="1:13" ht="15" customHeight="1">
      <c r="A42" s="692" t="s">
        <v>984</v>
      </c>
      <c r="B42" s="477" t="s">
        <v>979</v>
      </c>
      <c r="C42" s="304"/>
      <c r="E42" s="477" t="s">
        <v>979</v>
      </c>
      <c r="F42" s="477" t="s">
        <v>979</v>
      </c>
      <c r="H42" s="448" t="s">
        <v>984</v>
      </c>
      <c r="I42" s="475">
        <v>44279</v>
      </c>
      <c r="J42" s="304" t="s">
        <v>434</v>
      </c>
      <c r="K42" s="304" t="str">
        <f>_xlfn.IFERROR(VLOOKUP(J42,'Base de Monedas'!A:B,2,0),"")</f>
        <v>Guaraní</v>
      </c>
      <c r="L42" s="501">
        <v>1685231.674</v>
      </c>
      <c r="M42" s="304" t="s">
        <v>978</v>
      </c>
    </row>
    <row r="43" spans="1:13" ht="15" customHeight="1">
      <c r="A43" s="692" t="s">
        <v>984</v>
      </c>
      <c r="B43" s="477" t="s">
        <v>979</v>
      </c>
      <c r="C43" s="304"/>
      <c r="E43" s="477" t="s">
        <v>979</v>
      </c>
      <c r="F43" s="477" t="s">
        <v>979</v>
      </c>
      <c r="H43" s="448" t="s">
        <v>984</v>
      </c>
      <c r="I43" s="304" t="s">
        <v>979</v>
      </c>
      <c r="J43" s="304"/>
      <c r="K43" s="304" t="s">
        <v>979</v>
      </c>
      <c r="L43" s="501" t="s">
        <v>979</v>
      </c>
      <c r="M43" s="304" t="s">
        <v>979</v>
      </c>
    </row>
    <row r="44" spans="1:13" ht="15" customHeight="1">
      <c r="A44" s="448" t="s">
        <v>984</v>
      </c>
      <c r="B44" s="477" t="s">
        <v>979</v>
      </c>
      <c r="C44" s="304"/>
      <c r="E44" s="477" t="s">
        <v>979</v>
      </c>
      <c r="F44" s="477" t="s">
        <v>979</v>
      </c>
      <c r="H44" s="499" t="s">
        <v>1014</v>
      </c>
      <c r="I44" s="304">
        <v>2021</v>
      </c>
      <c r="J44" s="304" t="s">
        <v>434</v>
      </c>
      <c r="K44" s="304" t="str">
        <f>_xlfn.IFERROR(VLOOKUP(J44,'Base de Monedas'!A:B,2,0),"")</f>
        <v>Guaraní</v>
      </c>
      <c r="L44" s="456">
        <v>48164641.077</v>
      </c>
      <c r="M44" s="304" t="s">
        <v>1015</v>
      </c>
    </row>
    <row r="45" spans="1:13" ht="15" customHeight="1">
      <c r="A45" s="499" t="s">
        <v>1014</v>
      </c>
      <c r="B45" s="304">
        <v>2021</v>
      </c>
      <c r="C45" s="304" t="s">
        <v>434</v>
      </c>
      <c r="D45" s="304" t="str">
        <f>_xlfn.IFERROR(VLOOKUP(C45,'Base de Monedas'!A:B,2,0),"")</f>
        <v>Guaraní</v>
      </c>
      <c r="E45" s="479">
        <v>72395480.038</v>
      </c>
      <c r="F45" s="304" t="s">
        <v>1015</v>
      </c>
      <c r="H45" s="499" t="s">
        <v>1037</v>
      </c>
      <c r="I45" s="304">
        <v>2022</v>
      </c>
      <c r="J45" s="304" t="s">
        <v>434</v>
      </c>
      <c r="K45" s="304" t="str">
        <f>_xlfn.IFERROR(VLOOKUP(J45,'[7]Base de Monedas'!A:B,2,0),"")</f>
        <v>Guaraní</v>
      </c>
      <c r="L45" s="456">
        <v>5574047.905</v>
      </c>
      <c r="M45" s="456" t="s">
        <v>1015</v>
      </c>
    </row>
    <row r="46" spans="1:11" ht="15" customHeight="1">
      <c r="A46" s="499" t="s">
        <v>1037</v>
      </c>
      <c r="B46" s="304">
        <v>2022</v>
      </c>
      <c r="C46" s="304" t="s">
        <v>434</v>
      </c>
      <c r="D46" s="304" t="str">
        <f>_xlfn.IFERROR(VLOOKUP(C46,'Base de Monedas'!A:B,2,0),"")</f>
        <v>Guaraní</v>
      </c>
      <c r="E46" s="456">
        <v>2070650.081</v>
      </c>
      <c r="F46" s="304" t="s">
        <v>1015</v>
      </c>
      <c r="J46" s="304"/>
      <c r="K46" s="292">
        <f>_xlfn.IFERROR(VLOOKUP(J46,'Base de Monedas'!A:B,2,0),"")</f>
      </c>
    </row>
    <row r="47" spans="1:11" ht="15" customHeight="1">
      <c r="A47" s="324" t="s">
        <v>123</v>
      </c>
      <c r="B47" s="304" t="s">
        <v>972</v>
      </c>
      <c r="C47" s="304"/>
      <c r="D47" s="304">
        <f>_xlfn.IFERROR(VLOOKUP(C47,'Base de Monedas'!A:B,2,0),"")</f>
      </c>
      <c r="H47" s="127" t="s">
        <v>843</v>
      </c>
      <c r="J47" s="304"/>
      <c r="K47" s="292">
        <f>_xlfn.IFERROR(VLOOKUP(J47,'Base de Monedas'!A:B,2,0),"")</f>
      </c>
    </row>
    <row r="48" spans="1:11" ht="15" customHeight="1">
      <c r="A48" s="127" t="s">
        <v>843</v>
      </c>
      <c r="B48" s="304"/>
      <c r="C48" s="304"/>
      <c r="D48" s="304">
        <f>_xlfn.IFERROR(VLOOKUP(C48,'Base de Monedas'!A:B,2,0),"")</f>
      </c>
      <c r="H48" s="448" t="s">
        <v>841</v>
      </c>
      <c r="I48" s="304" t="s">
        <v>972</v>
      </c>
      <c r="J48" s="304"/>
      <c r="K48" s="292">
        <f>_xlfn.IFERROR(VLOOKUP(J48,'Base de Monedas'!A:B,2,0),"")</f>
      </c>
    </row>
    <row r="49" spans="1:11" ht="15" customHeight="1">
      <c r="A49" s="292" t="s">
        <v>841</v>
      </c>
      <c r="B49" s="304" t="s">
        <v>972</v>
      </c>
      <c r="C49" s="304"/>
      <c r="D49" s="304">
        <f>_xlfn.IFERROR(VLOOKUP(C49,'Base de Monedas'!A:B,2,0),"")</f>
      </c>
      <c r="E49" s="304" t="s">
        <v>979</v>
      </c>
      <c r="H49" s="448" t="s">
        <v>841</v>
      </c>
      <c r="I49" s="304" t="s">
        <v>972</v>
      </c>
      <c r="J49" s="304"/>
      <c r="K49" s="292">
        <f>_xlfn.IFERROR(VLOOKUP(J49,'Base de Monedas'!A:B,2,0),"")</f>
      </c>
    </row>
    <row r="50" spans="1:11" ht="15" customHeight="1">
      <c r="A50" s="292" t="s">
        <v>841</v>
      </c>
      <c r="B50" s="304" t="s">
        <v>972</v>
      </c>
      <c r="C50" s="304"/>
      <c r="D50" s="304">
        <f>_xlfn.IFERROR(VLOOKUP(C50,'Base de Monedas'!A:B,2,0),"")</f>
      </c>
      <c r="H50" s="324" t="s">
        <v>122</v>
      </c>
      <c r="I50" s="304" t="s">
        <v>972</v>
      </c>
      <c r="J50" s="304"/>
      <c r="K50" s="292">
        <f>_xlfn.IFERROR(VLOOKUP(J50,'Base de Monedas'!A:B,2,0),"")</f>
      </c>
    </row>
    <row r="51" spans="1:11" ht="15" customHeight="1">
      <c r="A51" s="324" t="s">
        <v>122</v>
      </c>
      <c r="B51" s="304" t="s">
        <v>972</v>
      </c>
      <c r="C51" s="304"/>
      <c r="D51" s="304">
        <f>_xlfn.IFERROR(VLOOKUP(C51,'Base de Monedas'!A:B,2,0),"")</f>
      </c>
      <c r="H51" s="448" t="s">
        <v>253</v>
      </c>
      <c r="I51" s="304" t="s">
        <v>972</v>
      </c>
      <c r="J51" s="304"/>
      <c r="K51" s="292">
        <f>_xlfn.IFERROR(VLOOKUP(J51,'Base de Monedas'!A:B,2,0),"")</f>
      </c>
    </row>
    <row r="52" spans="1:17" ht="15" customHeight="1">
      <c r="A52" t="s">
        <v>253</v>
      </c>
      <c r="B52" s="304" t="s">
        <v>972</v>
      </c>
      <c r="C52" s="304"/>
      <c r="D52" s="304">
        <f>_xlfn.IFERROR(VLOOKUP(C52,'Base de Monedas'!A:B,2,0),"")</f>
      </c>
      <c r="H52" s="324" t="s">
        <v>123</v>
      </c>
      <c r="I52" s="304" t="s">
        <v>972</v>
      </c>
      <c r="J52" s="304"/>
      <c r="K52" s="292">
        <f>_xlfn.IFERROR(VLOOKUP(J52,'Base de Monedas'!A:B,2,0),"")</f>
      </c>
      <c r="N52" s="503"/>
      <c r="O52" s="503"/>
      <c r="Q52" s="451"/>
    </row>
    <row r="53" spans="1:17" s="292" customFormat="1" ht="15" customHeight="1">
      <c r="A53" s="324" t="s">
        <v>123</v>
      </c>
      <c r="B53" s="304" t="s">
        <v>972</v>
      </c>
      <c r="C53" s="304"/>
      <c r="D53" s="304">
        <f>_xlfn.IFERROR(VLOOKUP(C53,'Base de Monedas'!A:B,2,0),"")</f>
      </c>
      <c r="E53" s="456"/>
      <c r="F53"/>
      <c r="H53" s="97" t="s">
        <v>846</v>
      </c>
      <c r="I53" s="304"/>
      <c r="J53" s="304"/>
      <c r="K53" s="292">
        <f>_xlfn.IFERROR(VLOOKUP(J53,'Base de Monedas'!A:B,2,0),"")</f>
      </c>
      <c r="L53"/>
      <c r="M53"/>
      <c r="N53" s="496"/>
      <c r="O53" s="502"/>
      <c r="Q53" s="451"/>
    </row>
    <row r="54" spans="1:15" s="448" customFormat="1" ht="15" customHeight="1">
      <c r="A54" s="97" t="s">
        <v>846</v>
      </c>
      <c r="B54" s="304"/>
      <c r="C54" s="304"/>
      <c r="D54" s="304"/>
      <c r="E54" s="456"/>
      <c r="F54"/>
      <c r="H54" s="448" t="s">
        <v>844</v>
      </c>
      <c r="I54" s="304"/>
      <c r="J54" s="304" t="s">
        <v>434</v>
      </c>
      <c r="K54" s="292" t="str">
        <f>_xlfn.IFERROR(VLOOKUP(J54,'Base de Monedas'!A:B,2,0),"")</f>
        <v>Guaraní</v>
      </c>
      <c r="L54" s="456">
        <v>1849050.481</v>
      </c>
      <c r="M54"/>
      <c r="N54" s="496"/>
      <c r="O54" s="502"/>
    </row>
    <row r="55" spans="1:15" s="448" customFormat="1" ht="15" customHeight="1">
      <c r="A55" t="s">
        <v>844</v>
      </c>
      <c r="B55" s="304"/>
      <c r="C55" s="304" t="s">
        <v>434</v>
      </c>
      <c r="D55" s="304" t="str">
        <f>_xlfn.IFERROR(VLOOKUP(C55,'Base de Monedas'!A:B,2,0),"")</f>
        <v>Guaraní</v>
      </c>
      <c r="E55" s="456">
        <v>2360550.752</v>
      </c>
      <c r="F55"/>
      <c r="H55" s="448" t="s">
        <v>847</v>
      </c>
      <c r="I55" s="304"/>
      <c r="J55" s="304" t="s">
        <v>434</v>
      </c>
      <c r="K55" s="448" t="str">
        <f>_xlfn.IFERROR(VLOOKUP(J55,'Base de Monedas'!A:B,2,0),"")</f>
        <v>Guaraní</v>
      </c>
      <c r="L55" s="456">
        <v>-1785490.595</v>
      </c>
      <c r="M55" s="292"/>
      <c r="N55" s="496"/>
      <c r="O55" s="502"/>
    </row>
    <row r="56" spans="1:15" s="448" customFormat="1" ht="15" customHeight="1">
      <c r="A56" s="292" t="s">
        <v>847</v>
      </c>
      <c r="B56" s="304"/>
      <c r="C56" s="304" t="s">
        <v>434</v>
      </c>
      <c r="D56" s="304" t="str">
        <f>_xlfn.IFERROR(VLOOKUP(C56,'Base de Monedas'!A:B,2,0),"")</f>
        <v>Guaraní</v>
      </c>
      <c r="E56" s="456">
        <v>-2302083.927</v>
      </c>
      <c r="F56" s="456"/>
      <c r="H56" s="97" t="s">
        <v>1014</v>
      </c>
      <c r="I56" s="304"/>
      <c r="J56" s="304"/>
      <c r="L56" s="456"/>
      <c r="N56" s="496"/>
      <c r="O56" s="502"/>
    </row>
    <row r="57" spans="1:15" s="448" customFormat="1" ht="15" customHeight="1">
      <c r="A57" s="97" t="s">
        <v>1014</v>
      </c>
      <c r="B57" s="304"/>
      <c r="C57" s="304"/>
      <c r="D57" s="304"/>
      <c r="E57" s="456"/>
      <c r="F57" s="456"/>
      <c r="H57" s="448" t="s">
        <v>844</v>
      </c>
      <c r="I57" s="304"/>
      <c r="J57" s="304" t="s">
        <v>434</v>
      </c>
      <c r="K57" s="448" t="str">
        <f>_xlfn.IFERROR(VLOOKUP(J57,'Base de Monedas'!A:B,2,0),"")</f>
        <v>Guaraní</v>
      </c>
      <c r="L57" s="456">
        <v>3095730.959</v>
      </c>
      <c r="N57" s="496"/>
      <c r="O57" s="502"/>
    </row>
    <row r="58" spans="1:13" ht="15" customHeight="1">
      <c r="A58" s="448" t="s">
        <v>844</v>
      </c>
      <c r="B58" s="304"/>
      <c r="C58" s="304" t="s">
        <v>434</v>
      </c>
      <c r="D58" s="304" t="str">
        <f>_xlfn.IFERROR(VLOOKUP(C58,'Base de Monedas'!A:B,2,0),"")</f>
        <v>Guaraní</v>
      </c>
      <c r="E58" s="456">
        <v>5329278.089</v>
      </c>
      <c r="F58" s="456"/>
      <c r="H58" s="448" t="s">
        <v>847</v>
      </c>
      <c r="J58" s="304" t="s">
        <v>434</v>
      </c>
      <c r="K58" s="448" t="str">
        <f>_xlfn.IFERROR(VLOOKUP(J58,'Base de Monedas'!A:B,2,0),"")</f>
        <v>Guaraní</v>
      </c>
      <c r="L58" s="456">
        <v>-2267882.713</v>
      </c>
      <c r="M58" s="448"/>
    </row>
    <row r="59" spans="1:13" ht="15" customHeight="1">
      <c r="A59" s="448" t="s">
        <v>847</v>
      </c>
      <c r="B59" s="304"/>
      <c r="C59" s="304" t="s">
        <v>434</v>
      </c>
      <c r="D59" s="304" t="str">
        <f>_xlfn.IFERROR(VLOOKUP(C59,'Base de Monedas'!A:B,2,0),"")</f>
        <v>Guaraní</v>
      </c>
      <c r="E59" s="456">
        <v>-4067649.459</v>
      </c>
      <c r="F59" s="456"/>
      <c r="H59" s="499" t="s">
        <v>1038</v>
      </c>
      <c r="J59" s="304" t="s">
        <v>434</v>
      </c>
      <c r="K59" s="448" t="str">
        <f>_xlfn.IFERROR(VLOOKUP(J59,'Base de Monedas'!A:B,2,0),"")</f>
        <v>Guaraní</v>
      </c>
      <c r="L59" s="456">
        <v>42645.452</v>
      </c>
      <c r="M59" s="448"/>
    </row>
    <row r="60" spans="1:8" ht="15" customHeight="1">
      <c r="A60" s="499" t="s">
        <v>1038</v>
      </c>
      <c r="B60" s="304"/>
      <c r="C60" s="304" t="s">
        <v>434</v>
      </c>
      <c r="D60" s="304" t="str">
        <f>_xlfn.IFERROR(VLOOKUP(C60,'Base de Monedas'!A:B,2,0),"")</f>
        <v>Guaraní</v>
      </c>
      <c r="E60" s="456">
        <v>1692.231</v>
      </c>
      <c r="F60" s="456"/>
      <c r="G60" s="326"/>
      <c r="H60" s="97" t="s">
        <v>120</v>
      </c>
    </row>
    <row r="61" spans="1:8" ht="15" customHeight="1">
      <c r="A61" s="97" t="s">
        <v>120</v>
      </c>
      <c r="B61" s="304"/>
      <c r="C61" s="304"/>
      <c r="D61" s="304">
        <f>_xlfn.IFERROR(VLOOKUP(C61,'Base de Monedas'!A:B,2,0),"")</f>
      </c>
      <c r="F61" s="480"/>
      <c r="H61" s="448" t="s">
        <v>844</v>
      </c>
    </row>
    <row r="62" spans="1:13" ht="15" customHeight="1">
      <c r="A62" t="s">
        <v>844</v>
      </c>
      <c r="B62" s="304"/>
      <c r="C62" s="304"/>
      <c r="E62" s="456"/>
      <c r="F62" s="480"/>
      <c r="H62" s="326" t="s">
        <v>847</v>
      </c>
      <c r="I62" s="327"/>
      <c r="J62" s="326"/>
      <c r="K62" s="326"/>
      <c r="L62" s="326"/>
      <c r="M62" s="326"/>
    </row>
    <row r="63" spans="1:12" ht="15" customHeight="1">
      <c r="A63" s="326" t="s">
        <v>847</v>
      </c>
      <c r="B63" s="327"/>
      <c r="C63" s="327"/>
      <c r="D63" s="327">
        <f>_xlfn.IFERROR(VLOOKUP(C63,'Base de Monedas'!A:B,2,0),"")</f>
      </c>
      <c r="E63" s="327"/>
      <c r="F63" s="500"/>
      <c r="J63" s="497"/>
      <c r="K63" s="493"/>
      <c r="L63" s="481">
        <f>SUM($L$12:L62)</f>
        <v>115529023.82000002</v>
      </c>
    </row>
    <row r="64" spans="1:15" s="292" customFormat="1" ht="15" customHeight="1">
      <c r="A64" s="97" t="s">
        <v>3</v>
      </c>
      <c r="B64"/>
      <c r="C64" s="304"/>
      <c r="D64" s="304">
        <f>_xlfn.IFERROR(VLOOKUP(C64,'Base de Monedas'!A:B,2,0),"")</f>
      </c>
      <c r="E64" s="481">
        <f>SUM($E$12:E63)</f>
        <v>159373182.92900002</v>
      </c>
      <c r="F64"/>
      <c r="H64" s="448"/>
      <c r="I64" s="304"/>
      <c r="J64" s="497"/>
      <c r="K64" s="493"/>
      <c r="L64"/>
      <c r="M64"/>
      <c r="N64" s="496"/>
      <c r="O64" s="502"/>
    </row>
    <row r="65" spans="1:15" s="292" customFormat="1" ht="15" customHeight="1">
      <c r="A65" s="97"/>
      <c r="B65"/>
      <c r="C65"/>
      <c r="D65" s="304"/>
      <c r="E65" s="481"/>
      <c r="F65"/>
      <c r="H65" s="448"/>
      <c r="I65" s="304"/>
      <c r="J65" s="497"/>
      <c r="K65" s="493"/>
      <c r="L65"/>
      <c r="M65"/>
      <c r="N65" s="496"/>
      <c r="O65" s="502"/>
    </row>
    <row r="66" spans="1:15" s="292" customFormat="1" ht="15" customHeight="1">
      <c r="A66"/>
      <c r="B66"/>
      <c r="C66"/>
      <c r="D66" s="304"/>
      <c r="E66" s="456"/>
      <c r="F66"/>
      <c r="H66" s="448"/>
      <c r="I66" s="304"/>
      <c r="J66" s="251"/>
      <c r="K66" s="251"/>
      <c r="L66" s="251"/>
      <c r="M66" s="251"/>
      <c r="N66" s="496"/>
      <c r="O66" s="502"/>
    </row>
    <row r="67" spans="1:15" s="448" customFormat="1" ht="15" customHeight="1">
      <c r="A67" s="97" t="s">
        <v>838</v>
      </c>
      <c r="B67" s="292"/>
      <c r="C67" s="292"/>
      <c r="D67" s="446"/>
      <c r="E67" s="505"/>
      <c r="F67" s="292"/>
      <c r="I67" s="391"/>
      <c r="J67" s="409"/>
      <c r="K67" s="392">
        <f>_xlfn.IFERROR(YEAR(Indice!B6-365),"2XX1")</f>
        <v>2020</v>
      </c>
      <c r="L67" s="409"/>
      <c r="M67" s="409"/>
      <c r="N67" s="496"/>
      <c r="O67" s="502"/>
    </row>
    <row r="68" spans="1:15" s="448" customFormat="1" ht="15" customHeight="1">
      <c r="A68" s="19"/>
      <c r="B68" s="409" t="s">
        <v>299</v>
      </c>
      <c r="C68" s="409"/>
      <c r="D68" s="392">
        <f>_xlfn.IFERROR(YEAR(Indice!B6),"2XX2")</f>
        <v>2021</v>
      </c>
      <c r="E68" s="391"/>
      <c r="F68" s="409"/>
      <c r="H68" s="127" t="s">
        <v>845</v>
      </c>
      <c r="I68" s="128" t="s">
        <v>117</v>
      </c>
      <c r="J68" s="307" t="s">
        <v>842</v>
      </c>
      <c r="K68" s="307" t="s">
        <v>330</v>
      </c>
      <c r="L68" s="127" t="s">
        <v>849</v>
      </c>
      <c r="M68" s="128" t="s">
        <v>119</v>
      </c>
      <c r="N68" s="496"/>
      <c r="O68" s="502"/>
    </row>
    <row r="69" spans="1:15" s="448" customFormat="1" ht="15" customHeight="1">
      <c r="A69" s="127" t="s">
        <v>845</v>
      </c>
      <c r="B69" s="128" t="s">
        <v>117</v>
      </c>
      <c r="C69" s="307" t="s">
        <v>842</v>
      </c>
      <c r="D69" s="307" t="s">
        <v>330</v>
      </c>
      <c r="E69" s="127" t="s">
        <v>849</v>
      </c>
      <c r="F69" s="128" t="s">
        <v>118</v>
      </c>
      <c r="H69" s="448" t="s">
        <v>974</v>
      </c>
      <c r="I69" s="304" t="s">
        <v>979</v>
      </c>
      <c r="J69" s="304" t="s">
        <v>979</v>
      </c>
      <c r="K69" s="304" t="s">
        <v>979</v>
      </c>
      <c r="L69" s="700" t="s">
        <v>979</v>
      </c>
      <c r="M69" s="304" t="s">
        <v>979</v>
      </c>
      <c r="N69" s="496"/>
      <c r="O69" s="502"/>
    </row>
    <row r="70" spans="1:15" s="448" customFormat="1" ht="15" customHeight="1">
      <c r="A70" s="448" t="s">
        <v>974</v>
      </c>
      <c r="B70" s="483" t="s">
        <v>979</v>
      </c>
      <c r="E70" s="304" t="s">
        <v>979</v>
      </c>
      <c r="F70" s="304" t="s">
        <v>979</v>
      </c>
      <c r="H70" s="448" t="s">
        <v>974</v>
      </c>
      <c r="I70" s="304" t="s">
        <v>979</v>
      </c>
      <c r="J70" s="304" t="s">
        <v>979</v>
      </c>
      <c r="K70" s="304" t="s">
        <v>979</v>
      </c>
      <c r="L70" s="700" t="s">
        <v>979</v>
      </c>
      <c r="M70" s="304" t="s">
        <v>979</v>
      </c>
      <c r="N70" s="496"/>
      <c r="O70" s="502"/>
    </row>
    <row r="71" spans="1:15" s="448" customFormat="1" ht="15" customHeight="1">
      <c r="A71" s="448" t="s">
        <v>974</v>
      </c>
      <c r="B71" s="476" t="s">
        <v>979</v>
      </c>
      <c r="C71" s="304"/>
      <c r="D71" s="304"/>
      <c r="E71" s="479" t="s">
        <v>979</v>
      </c>
      <c r="F71" s="304" t="s">
        <v>979</v>
      </c>
      <c r="H71" s="692" t="s">
        <v>973</v>
      </c>
      <c r="I71" s="304" t="s">
        <v>979</v>
      </c>
      <c r="J71" s="304" t="s">
        <v>979</v>
      </c>
      <c r="K71" s="304" t="s">
        <v>979</v>
      </c>
      <c r="L71" s="700" t="s">
        <v>979</v>
      </c>
      <c r="M71" s="304" t="s">
        <v>979</v>
      </c>
      <c r="N71" s="496"/>
      <c r="O71" s="502"/>
    </row>
    <row r="72" spans="1:15" s="292" customFormat="1" ht="15" customHeight="1">
      <c r="A72" s="448" t="s">
        <v>975</v>
      </c>
      <c r="B72" s="476" t="s">
        <v>979</v>
      </c>
      <c r="C72" s="304"/>
      <c r="D72" s="304"/>
      <c r="E72" s="479" t="s">
        <v>979</v>
      </c>
      <c r="F72" s="304" t="s">
        <v>979</v>
      </c>
      <c r="H72" s="448" t="s">
        <v>975</v>
      </c>
      <c r="I72" s="304" t="s">
        <v>979</v>
      </c>
      <c r="J72" s="304" t="s">
        <v>979</v>
      </c>
      <c r="K72" s="304" t="s">
        <v>979</v>
      </c>
      <c r="L72" s="700" t="s">
        <v>979</v>
      </c>
      <c r="M72" s="304" t="s">
        <v>979</v>
      </c>
      <c r="N72" s="496"/>
      <c r="O72" s="502"/>
    </row>
    <row r="73" spans="1:15" s="292" customFormat="1" ht="15" customHeight="1">
      <c r="A73" s="448" t="s">
        <v>975</v>
      </c>
      <c r="B73" s="476" t="s">
        <v>979</v>
      </c>
      <c r="C73" s="304"/>
      <c r="D73" s="304"/>
      <c r="E73" s="479" t="s">
        <v>979</v>
      </c>
      <c r="F73" s="304" t="s">
        <v>979</v>
      </c>
      <c r="H73" s="448" t="s">
        <v>975</v>
      </c>
      <c r="I73" s="304" t="s">
        <v>979</v>
      </c>
      <c r="J73" s="304" t="s">
        <v>979</v>
      </c>
      <c r="K73" s="304" t="s">
        <v>979</v>
      </c>
      <c r="L73" s="700" t="s">
        <v>979</v>
      </c>
      <c r="M73" s="304" t="s">
        <v>979</v>
      </c>
      <c r="N73" s="496"/>
      <c r="O73" s="502"/>
    </row>
    <row r="74" spans="1:15" s="448" customFormat="1" ht="15" customHeight="1">
      <c r="A74" s="448" t="s">
        <v>975</v>
      </c>
      <c r="B74" s="483" t="s">
        <v>979</v>
      </c>
      <c r="E74" s="304" t="s">
        <v>979</v>
      </c>
      <c r="F74" s="304" t="s">
        <v>979</v>
      </c>
      <c r="H74" s="448" t="s">
        <v>969</v>
      </c>
      <c r="I74" s="476">
        <v>43938</v>
      </c>
      <c r="J74" s="304" t="s">
        <v>434</v>
      </c>
      <c r="K74" s="304" t="str">
        <f>_xlfn.IFERROR(VLOOKUP(J74,'Base de Monedas'!A:B,2,0),"")</f>
        <v>Guaraní</v>
      </c>
      <c r="L74" s="484">
        <v>5104166.665</v>
      </c>
      <c r="M74" s="304" t="s">
        <v>978</v>
      </c>
      <c r="N74" s="496"/>
      <c r="O74" s="502"/>
    </row>
    <row r="75" spans="1:15" s="448" customFormat="1" ht="15" customHeight="1">
      <c r="A75" s="292" t="s">
        <v>969</v>
      </c>
      <c r="B75" s="483" t="s">
        <v>979</v>
      </c>
      <c r="C75" s="483" t="s">
        <v>979</v>
      </c>
      <c r="D75" s="483" t="s">
        <v>979</v>
      </c>
      <c r="E75" s="304" t="s">
        <v>979</v>
      </c>
      <c r="F75" s="304" t="s">
        <v>979</v>
      </c>
      <c r="H75" s="448" t="s">
        <v>976</v>
      </c>
      <c r="I75" s="476">
        <v>43942</v>
      </c>
      <c r="J75" s="304" t="s">
        <v>434</v>
      </c>
      <c r="K75" s="304" t="str">
        <f>_xlfn.IFERROR(VLOOKUP(J75,'Base de Monedas'!A:B,2,0),"")</f>
        <v>Guaraní</v>
      </c>
      <c r="L75" s="484">
        <v>3375584.506</v>
      </c>
      <c r="M75" s="304" t="s">
        <v>978</v>
      </c>
      <c r="N75" s="496"/>
      <c r="O75" s="502"/>
    </row>
    <row r="76" spans="1:15" s="448" customFormat="1" ht="15" customHeight="1">
      <c r="A76" s="292" t="s">
        <v>976</v>
      </c>
      <c r="B76" s="477">
        <v>44683</v>
      </c>
      <c r="C76" s="304" t="s">
        <v>434</v>
      </c>
      <c r="D76" s="304" t="str">
        <f>_xlfn.IFERROR(VLOOKUP(C76,'Base de Monedas'!A:B,2,0),"")</f>
        <v>Guaraní</v>
      </c>
      <c r="E76" s="699">
        <v>6090793.327</v>
      </c>
      <c r="F76" s="304" t="s">
        <v>978</v>
      </c>
      <c r="H76" s="692" t="s">
        <v>976</v>
      </c>
      <c r="I76" s="475">
        <v>43942</v>
      </c>
      <c r="J76" s="304" t="s">
        <v>434</v>
      </c>
      <c r="K76" s="304" t="str">
        <f>_xlfn.IFERROR(VLOOKUP(J76,'Base de Monedas'!A:B,2,0),"")</f>
        <v>Guaraní</v>
      </c>
      <c r="L76" s="484">
        <v>2982250.423</v>
      </c>
      <c r="M76" s="304" t="s">
        <v>978</v>
      </c>
      <c r="N76" s="496"/>
      <c r="O76" s="502"/>
    </row>
    <row r="77" spans="1:15" s="448" customFormat="1" ht="15" customHeight="1">
      <c r="A77" s="448" t="s">
        <v>970</v>
      </c>
      <c r="B77" s="483" t="s">
        <v>979</v>
      </c>
      <c r="C77" s="483" t="s">
        <v>979</v>
      </c>
      <c r="D77" s="483" t="s">
        <v>979</v>
      </c>
      <c r="E77" s="304" t="s">
        <v>979</v>
      </c>
      <c r="F77" s="304" t="s">
        <v>979</v>
      </c>
      <c r="H77" s="448" t="s">
        <v>970</v>
      </c>
      <c r="I77" s="475">
        <v>44439</v>
      </c>
      <c r="J77" s="304" t="s">
        <v>434</v>
      </c>
      <c r="K77" s="304" t="str">
        <f>_xlfn.IFERROR(VLOOKUP(J77,'Base de Monedas'!A:B,2,0),"")</f>
        <v>Guaraní</v>
      </c>
      <c r="L77" s="484">
        <v>291888.678</v>
      </c>
      <c r="M77" s="304" t="s">
        <v>978</v>
      </c>
      <c r="N77" s="496"/>
      <c r="O77" s="502"/>
    </row>
    <row r="78" spans="1:15" s="448" customFormat="1" ht="15" customHeight="1">
      <c r="A78" s="448" t="s">
        <v>970</v>
      </c>
      <c r="B78" s="477">
        <v>44514</v>
      </c>
      <c r="C78" s="304" t="s">
        <v>434</v>
      </c>
      <c r="D78" s="304" t="str">
        <f>_xlfn.IFERROR(VLOOKUP(C78,'Base de Monedas'!A:B,2,0),"")</f>
        <v>Guaraní</v>
      </c>
      <c r="E78" s="699">
        <v>143890.726</v>
      </c>
      <c r="F78" s="304" t="s">
        <v>978</v>
      </c>
      <c r="H78" s="448" t="s">
        <v>970</v>
      </c>
      <c r="I78" s="475">
        <v>44514</v>
      </c>
      <c r="J78" s="304" t="s">
        <v>434</v>
      </c>
      <c r="K78" s="304" t="str">
        <f>_xlfn.IFERROR(VLOOKUP(J78,'Base de Monedas'!A:B,2,0),"")</f>
        <v>Guaraní</v>
      </c>
      <c r="L78" s="484">
        <v>791398.975</v>
      </c>
      <c r="M78" s="304" t="s">
        <v>978</v>
      </c>
      <c r="N78" s="496"/>
      <c r="O78" s="502"/>
    </row>
    <row r="79" spans="1:15" s="448" customFormat="1" ht="15" customHeight="1">
      <c r="A79" s="448" t="s">
        <v>970</v>
      </c>
      <c r="B79" s="477">
        <v>44484</v>
      </c>
      <c r="C79" s="304" t="s">
        <v>434</v>
      </c>
      <c r="D79" s="304" t="str">
        <f>_xlfn.IFERROR(VLOOKUP(C79,'Base de Monedas'!A:B,2,0),"")</f>
        <v>Guaraní</v>
      </c>
      <c r="E79" s="699">
        <v>72002.276</v>
      </c>
      <c r="F79" s="304" t="s">
        <v>978</v>
      </c>
      <c r="H79" s="448" t="s">
        <v>970</v>
      </c>
      <c r="I79" s="475">
        <v>44484</v>
      </c>
      <c r="J79" s="304" t="s">
        <v>434</v>
      </c>
      <c r="K79" s="304" t="str">
        <f>_xlfn.IFERROR(VLOOKUP(J79,'Base de Monedas'!A:B,2,0),"")</f>
        <v>Guaraní</v>
      </c>
      <c r="L79" s="484">
        <v>720022.787</v>
      </c>
      <c r="M79" s="304" t="s">
        <v>978</v>
      </c>
      <c r="N79" s="496"/>
      <c r="O79" s="502"/>
    </row>
    <row r="80" spans="1:15" s="448" customFormat="1" ht="15" customHeight="1">
      <c r="A80" s="448" t="s">
        <v>970</v>
      </c>
      <c r="B80" s="483" t="s">
        <v>979</v>
      </c>
      <c r="C80" s="483" t="s">
        <v>979</v>
      </c>
      <c r="D80" s="483" t="s">
        <v>979</v>
      </c>
      <c r="E80" s="304" t="s">
        <v>979</v>
      </c>
      <c r="F80" s="304" t="s">
        <v>979</v>
      </c>
      <c r="H80" s="764" t="s">
        <v>970</v>
      </c>
      <c r="I80" s="476">
        <v>44456</v>
      </c>
      <c r="J80" s="304" t="s">
        <v>434</v>
      </c>
      <c r="K80" s="304" t="str">
        <f>_xlfn.IFERROR(VLOOKUP(J80,'Base de Monedas'!A:B,2,0),"")</f>
        <v>Guaraní</v>
      </c>
      <c r="L80" s="484">
        <v>648528.591</v>
      </c>
      <c r="M80" s="304" t="s">
        <v>978</v>
      </c>
      <c r="N80" s="496"/>
      <c r="O80" s="502"/>
    </row>
    <row r="81" spans="1:15" s="448" customFormat="1" ht="15" customHeight="1">
      <c r="A81" s="448" t="s">
        <v>977</v>
      </c>
      <c r="B81" s="477">
        <v>44520</v>
      </c>
      <c r="C81" s="304" t="s">
        <v>434</v>
      </c>
      <c r="D81" s="304" t="str">
        <f>_xlfn.IFERROR(VLOOKUP(C81,'Base de Monedas'!A:B,2,0),"")</f>
        <v>Guaraní</v>
      </c>
      <c r="E81" s="699">
        <v>659286.164</v>
      </c>
      <c r="F81" s="304" t="s">
        <v>978</v>
      </c>
      <c r="H81" s="764" t="s">
        <v>977</v>
      </c>
      <c r="I81" s="476">
        <v>44520</v>
      </c>
      <c r="J81" s="304" t="s">
        <v>434</v>
      </c>
      <c r="K81" s="304" t="str">
        <f>_xlfn.IFERROR(VLOOKUP(J81,'Base de Monedas'!A:B,2,0),"")</f>
        <v>Guaraní</v>
      </c>
      <c r="L81" s="484">
        <v>3626073.884</v>
      </c>
      <c r="M81" s="304" t="s">
        <v>978</v>
      </c>
      <c r="N81" s="496"/>
      <c r="O81" s="502"/>
    </row>
    <row r="82" spans="1:15" s="448" customFormat="1" ht="15" customHeight="1">
      <c r="A82" s="448" t="s">
        <v>983</v>
      </c>
      <c r="B82" s="477">
        <v>44648</v>
      </c>
      <c r="C82" s="304" t="s">
        <v>434</v>
      </c>
      <c r="D82" s="304" t="str">
        <f>_xlfn.IFERROR(VLOOKUP(C82,'Base de Monedas'!A:B,2,0),"")</f>
        <v>Guaraní</v>
      </c>
      <c r="E82" s="699">
        <v>5733105.969</v>
      </c>
      <c r="F82" s="304" t="s">
        <v>978</v>
      </c>
      <c r="H82" s="764" t="s">
        <v>983</v>
      </c>
      <c r="I82" s="475">
        <v>44648</v>
      </c>
      <c r="J82" s="304" t="s">
        <v>434</v>
      </c>
      <c r="K82" s="304" t="str">
        <f>_xlfn.IFERROR(VLOOKUP(J82,'Base de Monedas'!A:B,2,0),"")</f>
        <v>Guaraní</v>
      </c>
      <c r="L82" s="484">
        <v>13658878.891</v>
      </c>
      <c r="M82" s="304" t="s">
        <v>978</v>
      </c>
      <c r="N82" s="496"/>
      <c r="O82" s="502"/>
    </row>
    <row r="83" spans="1:15" s="448" customFormat="1" ht="15" customHeight="1">
      <c r="A83" s="448" t="s">
        <v>976</v>
      </c>
      <c r="B83" s="477">
        <v>44685</v>
      </c>
      <c r="C83" s="304" t="s">
        <v>434</v>
      </c>
      <c r="D83" s="304" t="str">
        <f>_xlfn.IFERROR(VLOOKUP(C83,'Base de Monedas'!A:B,2,0),"")</f>
        <v>Guaraní</v>
      </c>
      <c r="E83" s="699">
        <v>1483630.089</v>
      </c>
      <c r="F83" s="304" t="s">
        <v>978</v>
      </c>
      <c r="H83" s="448" t="s">
        <v>984</v>
      </c>
      <c r="I83" s="304" t="s">
        <v>979</v>
      </c>
      <c r="J83" s="304" t="s">
        <v>979</v>
      </c>
      <c r="K83" s="304" t="s">
        <v>979</v>
      </c>
      <c r="L83" s="700" t="s">
        <v>979</v>
      </c>
      <c r="M83" s="304" t="s">
        <v>979</v>
      </c>
      <c r="N83" s="496"/>
      <c r="O83" s="502"/>
    </row>
    <row r="84" spans="1:15" s="448" customFormat="1" ht="15" customHeight="1">
      <c r="A84" s="692" t="s">
        <v>976</v>
      </c>
      <c r="B84" s="477">
        <v>44995</v>
      </c>
      <c r="C84" s="304" t="s">
        <v>434</v>
      </c>
      <c r="D84" s="304" t="str">
        <f>_xlfn.IFERROR(VLOOKUP(C84,'Base de Monedas'!A:B,2,0),"")</f>
        <v>Guaraní</v>
      </c>
      <c r="E84" s="699">
        <v>7007700</v>
      </c>
      <c r="F84" s="304" t="s">
        <v>978</v>
      </c>
      <c r="H84" s="448" t="s">
        <v>985</v>
      </c>
      <c r="I84" s="304" t="s">
        <v>979</v>
      </c>
      <c r="J84" s="304" t="s">
        <v>979</v>
      </c>
      <c r="K84" s="304" t="s">
        <v>979</v>
      </c>
      <c r="L84" s="700" t="s">
        <v>979</v>
      </c>
      <c r="M84" s="304" t="s">
        <v>979</v>
      </c>
      <c r="N84" s="496"/>
      <c r="O84" s="502"/>
    </row>
    <row r="85" spans="1:15" s="292" customFormat="1" ht="15" customHeight="1">
      <c r="A85" s="448" t="s">
        <v>985</v>
      </c>
      <c r="B85" s="477" t="s">
        <v>979</v>
      </c>
      <c r="C85" s="304"/>
      <c r="D85" s="304"/>
      <c r="E85" s="477" t="s">
        <v>979</v>
      </c>
      <c r="F85" s="477" t="s">
        <v>979</v>
      </c>
      <c r="H85" s="448" t="s">
        <v>985</v>
      </c>
      <c r="I85" s="304" t="s">
        <v>979</v>
      </c>
      <c r="J85" s="304" t="s">
        <v>979</v>
      </c>
      <c r="K85" s="304" t="s">
        <v>979</v>
      </c>
      <c r="L85" s="700" t="s">
        <v>979</v>
      </c>
      <c r="M85" s="304" t="s">
        <v>979</v>
      </c>
      <c r="N85" s="496"/>
      <c r="O85" s="502"/>
    </row>
    <row r="86" spans="1:15" s="292" customFormat="1" ht="15" customHeight="1">
      <c r="A86" s="448" t="s">
        <v>985</v>
      </c>
      <c r="B86" s="477" t="s">
        <v>979</v>
      </c>
      <c r="C86" s="304"/>
      <c r="D86" s="304"/>
      <c r="E86" s="477" t="s">
        <v>979</v>
      </c>
      <c r="F86" s="477" t="s">
        <v>979</v>
      </c>
      <c r="H86" s="448" t="s">
        <v>1014</v>
      </c>
      <c r="I86" s="475">
        <v>2021</v>
      </c>
      <c r="J86" s="304" t="s">
        <v>434</v>
      </c>
      <c r="K86" s="304" t="str">
        <f>_xlfn.IFERROR(VLOOKUP(J86,'Base de Monedas'!A:B,2,0),"")</f>
        <v>Guaraní</v>
      </c>
      <c r="L86" s="484">
        <v>42324270</v>
      </c>
      <c r="M86" s="456" t="s">
        <v>1015</v>
      </c>
      <c r="N86" s="496"/>
      <c r="O86" s="502"/>
    </row>
    <row r="87" spans="1:15" s="292" customFormat="1" ht="15" customHeight="1">
      <c r="A87" s="448" t="s">
        <v>1014</v>
      </c>
      <c r="B87" s="477">
        <v>2021</v>
      </c>
      <c r="C87" s="304" t="s">
        <v>434</v>
      </c>
      <c r="D87" s="304" t="str">
        <f>_xlfn.IFERROR(VLOOKUP(C87,'Base de Monedas'!A:B,2,0),"")</f>
        <v>Guaraní</v>
      </c>
      <c r="E87" s="456">
        <v>65132045.51</v>
      </c>
      <c r="F87" s="456" t="s">
        <v>1015</v>
      </c>
      <c r="H87" s="448"/>
      <c r="I87" s="304"/>
      <c r="J87" s="304"/>
      <c r="K87" s="304"/>
      <c r="L87" s="479"/>
      <c r="N87" s="496"/>
      <c r="O87" s="502"/>
    </row>
    <row r="88" spans="1:15" s="292" customFormat="1" ht="15" customHeight="1">
      <c r="A88" s="292" t="s">
        <v>253</v>
      </c>
      <c r="C88" s="304"/>
      <c r="D88" s="304">
        <f>_xlfn.IFERROR(VLOOKUP(C88,'Base de Monedas'!A:B,2,0),"")</f>
      </c>
      <c r="E88" s="304"/>
      <c r="H88" s="448"/>
      <c r="I88" s="304"/>
      <c r="J88" s="304"/>
      <c r="K88" s="304"/>
      <c r="L88" s="479"/>
      <c r="N88" s="496"/>
      <c r="O88" s="502"/>
    </row>
    <row r="89" spans="1:15" s="292" customFormat="1" ht="15" customHeight="1">
      <c r="A89" s="324" t="s">
        <v>123</v>
      </c>
      <c r="C89" s="304"/>
      <c r="D89" s="304">
        <f>_xlfn.IFERROR(VLOOKUP(C89,'Base de Monedas'!A:B,2,0),"")</f>
      </c>
      <c r="H89" s="127" t="s">
        <v>843</v>
      </c>
      <c r="J89" s="448"/>
      <c r="K89" s="304"/>
      <c r="L89" s="479"/>
      <c r="N89" s="496"/>
      <c r="O89" s="502"/>
    </row>
    <row r="90" spans="1:15" s="292" customFormat="1" ht="15" customHeight="1">
      <c r="A90" s="127" t="s">
        <v>843</v>
      </c>
      <c r="C90" s="304"/>
      <c r="D90" s="304">
        <f>_xlfn.IFERROR(VLOOKUP(C90,'Base de Monedas'!A:B,2,0),"")</f>
      </c>
      <c r="E90" s="304"/>
      <c r="H90" s="448" t="s">
        <v>841</v>
      </c>
      <c r="J90" s="448"/>
      <c r="K90" s="304"/>
      <c r="L90" s="479"/>
      <c r="N90" s="496"/>
      <c r="O90" s="502"/>
    </row>
    <row r="91" spans="1:15" s="292" customFormat="1" ht="15" customHeight="1">
      <c r="A91" s="292" t="s">
        <v>841</v>
      </c>
      <c r="C91" s="304"/>
      <c r="D91" s="304">
        <f>_xlfn.IFERROR(VLOOKUP(C91,'Base de Monedas'!A:B,2,0),"")</f>
      </c>
      <c r="E91" s="304"/>
      <c r="H91" s="448" t="s">
        <v>841</v>
      </c>
      <c r="J91" s="448"/>
      <c r="K91" s="456"/>
      <c r="L91" s="456"/>
      <c r="N91" s="496"/>
      <c r="O91" s="502"/>
    </row>
    <row r="92" spans="1:15" s="292" customFormat="1" ht="15" customHeight="1">
      <c r="A92" s="292" t="s">
        <v>841</v>
      </c>
      <c r="C92" s="304"/>
      <c r="D92" s="304">
        <f>_xlfn.IFERROR(VLOOKUP(C92,'Base de Monedas'!A:B,2,0),"")</f>
      </c>
      <c r="E92" s="304"/>
      <c r="H92" s="324" t="s">
        <v>122</v>
      </c>
      <c r="J92" s="448"/>
      <c r="K92" s="304"/>
      <c r="N92" s="496"/>
      <c r="O92" s="502"/>
    </row>
    <row r="93" spans="1:15" s="292" customFormat="1" ht="15" customHeight="1">
      <c r="A93" s="324" t="s">
        <v>122</v>
      </c>
      <c r="C93" s="304"/>
      <c r="D93" s="304">
        <f>_xlfn.IFERROR(VLOOKUP(C93,'Base de Monedas'!A:B,2,0),"")</f>
      </c>
      <c r="E93" s="304"/>
      <c r="H93" s="448" t="s">
        <v>253</v>
      </c>
      <c r="J93" s="448"/>
      <c r="K93" s="456"/>
      <c r="L93" s="456"/>
      <c r="N93" s="496"/>
      <c r="O93" s="502"/>
    </row>
    <row r="94" spans="1:15" s="292" customFormat="1" ht="15" customHeight="1">
      <c r="A94" s="292" t="s">
        <v>253</v>
      </c>
      <c r="C94" s="304"/>
      <c r="D94" s="304">
        <f>_xlfn.IFERROR(VLOOKUP(C94,'Base de Monedas'!A:B,2,0),"")</f>
      </c>
      <c r="E94" s="304"/>
      <c r="H94" s="324" t="s">
        <v>123</v>
      </c>
      <c r="J94" s="448"/>
      <c r="K94" s="304"/>
      <c r="N94" s="503"/>
      <c r="O94" s="502"/>
    </row>
    <row r="95" spans="1:15" s="292" customFormat="1" ht="15" customHeight="1">
      <c r="A95" s="324" t="s">
        <v>123</v>
      </c>
      <c r="C95" s="304"/>
      <c r="D95" s="304">
        <f>_xlfn.IFERROR(VLOOKUP(C95,'Base de Monedas'!A:B,2,0),"")</f>
      </c>
      <c r="E95" s="304"/>
      <c r="H95" s="97" t="s">
        <v>846</v>
      </c>
      <c r="J95" s="448"/>
      <c r="K95" s="304"/>
      <c r="N95" s="496"/>
      <c r="O95" s="502"/>
    </row>
    <row r="96" spans="1:15" s="448" customFormat="1" ht="15" customHeight="1">
      <c r="A96" s="97" t="s">
        <v>846</v>
      </c>
      <c r="B96" s="292"/>
      <c r="C96" s="304"/>
      <c r="D96" s="304">
        <f>_xlfn.IFERROR(VLOOKUP(C96,'Base de Monedas'!A:B,2,0),"")</f>
      </c>
      <c r="E96" s="304"/>
      <c r="F96" s="292"/>
      <c r="H96" s="448" t="s">
        <v>844</v>
      </c>
      <c r="I96" s="292"/>
      <c r="J96" s="304" t="s">
        <v>434</v>
      </c>
      <c r="K96" s="304" t="str">
        <f>_xlfn.IFERROR(VLOOKUP(J96,'Base de Monedas'!A:B,2,0),"")</f>
        <v>Guaraní</v>
      </c>
      <c r="L96" s="456">
        <v>2046593.147</v>
      </c>
      <c r="M96" s="503"/>
      <c r="N96" s="496"/>
      <c r="O96" s="502"/>
    </row>
    <row r="97" spans="1:15" s="448" customFormat="1" ht="15" customHeight="1">
      <c r="A97" s="292" t="s">
        <v>844</v>
      </c>
      <c r="B97" s="292"/>
      <c r="C97" s="304" t="s">
        <v>434</v>
      </c>
      <c r="D97" s="304" t="str">
        <f>_xlfn.IFERROR(VLOOKUP(C97,'Base de Monedas'!A:B,2,0),"")</f>
        <v>Guaraní</v>
      </c>
      <c r="E97" s="456">
        <v>866881.653</v>
      </c>
      <c r="F97" s="292"/>
      <c r="H97" s="448" t="s">
        <v>847</v>
      </c>
      <c r="I97" s="292"/>
      <c r="J97" s="304" t="s">
        <v>434</v>
      </c>
      <c r="K97" s="304" t="str">
        <f>_xlfn.IFERROR(VLOOKUP(J97,'Base de Monedas'!A:B,2,0),"")</f>
        <v>Guaraní</v>
      </c>
      <c r="L97" s="456">
        <v>-1931811.982</v>
      </c>
      <c r="M97" s="292"/>
      <c r="N97" s="504"/>
      <c r="O97" s="502"/>
    </row>
    <row r="98" spans="1:15" s="448" customFormat="1" ht="15" customHeight="1">
      <c r="A98" s="292" t="s">
        <v>847</v>
      </c>
      <c r="B98" s="292"/>
      <c r="C98" s="304" t="s">
        <v>434</v>
      </c>
      <c r="D98" s="304" t="str">
        <f>_xlfn.IFERROR(VLOOKUP(C98,'Base de Monedas'!A:B,2,0),"")</f>
        <v>Guaraní</v>
      </c>
      <c r="E98" s="456">
        <v>-763205.079</v>
      </c>
      <c r="F98" s="292"/>
      <c r="H98" s="97" t="s">
        <v>1014</v>
      </c>
      <c r="L98" s="456"/>
      <c r="M98" s="496"/>
      <c r="N98" s="496"/>
      <c r="O98" s="502"/>
    </row>
    <row r="99" spans="1:15" s="292" customFormat="1" ht="15" customHeight="1">
      <c r="A99" s="97" t="s">
        <v>1014</v>
      </c>
      <c r="B99" s="448"/>
      <c r="C99" s="304"/>
      <c r="D99" s="304"/>
      <c r="E99" s="456"/>
      <c r="F99" s="448"/>
      <c r="H99" s="448" t="s">
        <v>844</v>
      </c>
      <c r="I99" s="448"/>
      <c r="J99" s="304" t="s">
        <v>434</v>
      </c>
      <c r="K99" s="304" t="str">
        <f>_xlfn.IFERROR(VLOOKUP(J99,'Base de Monedas'!A:B,2,0),"")</f>
        <v>Guaraní</v>
      </c>
      <c r="L99" s="456">
        <v>5250582.48</v>
      </c>
      <c r="M99" s="504"/>
      <c r="N99" s="496"/>
      <c r="O99" s="502"/>
    </row>
    <row r="100" spans="1:15" s="292" customFormat="1" ht="15" customHeight="1">
      <c r="A100" s="448" t="s">
        <v>844</v>
      </c>
      <c r="B100" s="448"/>
      <c r="C100" s="304" t="s">
        <v>434</v>
      </c>
      <c r="D100" s="304" t="str">
        <f>_xlfn.IFERROR(VLOOKUP(C100,'Base de Monedas'!A:B,2,0),"")</f>
        <v>Guaraní</v>
      </c>
      <c r="E100" s="456">
        <v>8532342.496</v>
      </c>
      <c r="F100" s="448"/>
      <c r="H100" s="448" t="s">
        <v>847</v>
      </c>
      <c r="I100" s="448"/>
      <c r="J100" s="304" t="s">
        <v>434</v>
      </c>
      <c r="K100" s="304" t="str">
        <f>_xlfn.IFERROR(VLOOKUP(J100,'Base de Monedas'!A:B,2,0),"")</f>
        <v>Guaraní</v>
      </c>
      <c r="L100" s="456">
        <v>-4842223.031</v>
      </c>
      <c r="M100" s="496"/>
      <c r="N100" s="496"/>
      <c r="O100" s="502"/>
    </row>
    <row r="101" spans="1:15" s="292" customFormat="1" ht="15" customHeight="1">
      <c r="A101" s="448" t="s">
        <v>847</v>
      </c>
      <c r="B101" s="448"/>
      <c r="C101" s="304" t="s">
        <v>434</v>
      </c>
      <c r="D101" s="304" t="str">
        <f>_xlfn.IFERROR(VLOOKUP(C101,'Base de Monedas'!A:B,2,0),"")</f>
        <v>Guaraní</v>
      </c>
      <c r="E101" s="456">
        <v>-7899199.251</v>
      </c>
      <c r="F101" s="448"/>
      <c r="H101" s="97" t="s">
        <v>120</v>
      </c>
      <c r="J101" s="448"/>
      <c r="K101" s="292">
        <f>_xlfn.IFERROR(VLOOKUP(#REF!,'Base de Monedas'!A:B,2,0),"")</f>
      </c>
      <c r="L101" s="456"/>
      <c r="N101" s="496"/>
      <c r="O101" s="502"/>
    </row>
    <row r="102" spans="1:15" s="292" customFormat="1" ht="15" customHeight="1">
      <c r="A102" s="97" t="s">
        <v>120</v>
      </c>
      <c r="C102" s="304"/>
      <c r="D102" s="304">
        <f>_xlfn.IFERROR(VLOOKUP(C102,'Base de Monedas'!A:B,2,0),"")</f>
      </c>
      <c r="E102" s="304"/>
      <c r="H102" s="448" t="s">
        <v>844</v>
      </c>
      <c r="J102" s="448"/>
      <c r="K102" s="292">
        <f>_xlfn.IFERROR(VLOOKUP(#REF!,'Base de Monedas'!A:B,2,0),"")</f>
      </c>
      <c r="N102" s="496"/>
      <c r="O102" s="502"/>
    </row>
    <row r="103" spans="1:13" ht="15" customHeight="1">
      <c r="A103" s="292" t="s">
        <v>844</v>
      </c>
      <c r="B103" s="292"/>
      <c r="C103" s="304"/>
      <c r="F103" s="292"/>
      <c r="H103" s="326" t="s">
        <v>847</v>
      </c>
      <c r="I103" s="292"/>
      <c r="J103" s="326"/>
      <c r="K103" s="326"/>
      <c r="L103" s="326"/>
      <c r="M103" s="326"/>
    </row>
    <row r="104" spans="1:13" ht="15" customHeight="1">
      <c r="A104" s="326" t="s">
        <v>847</v>
      </c>
      <c r="B104" s="326"/>
      <c r="C104" s="327"/>
      <c r="D104" s="327">
        <f>_xlfn.IFERROR(VLOOKUP(C104,'Base de Monedas'!A:B,2,0),"")</f>
      </c>
      <c r="E104" s="327"/>
      <c r="F104" s="292"/>
      <c r="J104" s="304"/>
      <c r="K104" s="292">
        <f>_xlfn.IFERROR(VLOOKUP(J104,'Base de Monedas'!A:B,2,0),"")</f>
      </c>
      <c r="L104" s="481">
        <f>SUM($L$69:L103)</f>
        <v>74046204.01400001</v>
      </c>
      <c r="M104" s="292"/>
    </row>
    <row r="105" spans="1:11" ht="15" customHeight="1">
      <c r="A105" s="97" t="s">
        <v>3</v>
      </c>
      <c r="B105" s="292"/>
      <c r="C105" s="304"/>
      <c r="D105" s="304">
        <f>_xlfn.IFERROR(VLOOKUP(C105,'Base de Monedas'!A:B,2,0),"")</f>
      </c>
      <c r="E105" s="481">
        <f>SUM($E$70:E104)</f>
        <v>87059273.87999998</v>
      </c>
      <c r="F105" s="292"/>
      <c r="G105" s="496"/>
      <c r="J105" s="304"/>
      <c r="K105" s="292">
        <f>_xlfn.IFERROR(VLOOKUP(J105,'Base de Monedas'!H:I,2,0),"")</f>
      </c>
    </row>
    <row r="106" spans="5:12" ht="15" customHeight="1">
      <c r="E106" s="456"/>
      <c r="G106" s="496"/>
      <c r="L106" s="456"/>
    </row>
    <row r="107" spans="5:12" ht="15" customHeight="1">
      <c r="E107" s="456"/>
      <c r="G107" s="496"/>
      <c r="H107" s="496"/>
      <c r="I107" s="495"/>
      <c r="L107" s="456"/>
    </row>
    <row r="108" spans="4:12" ht="15" customHeight="1">
      <c r="D108" s="495"/>
      <c r="E108" s="689"/>
      <c r="F108" s="496"/>
      <c r="G108" s="496"/>
      <c r="H108" s="496"/>
      <c r="I108" s="495"/>
      <c r="L108" s="456"/>
    </row>
    <row r="109" spans="4:12" ht="15" customHeight="1">
      <c r="D109" s="495"/>
      <c r="E109" s="689"/>
      <c r="F109" s="496"/>
      <c r="G109" s="496"/>
      <c r="H109" s="496"/>
      <c r="I109" s="495"/>
      <c r="L109" s="456"/>
    </row>
    <row r="110" spans="4:9" ht="15" customHeight="1">
      <c r="D110" s="495"/>
      <c r="E110" s="495"/>
      <c r="F110" s="496"/>
      <c r="G110" s="496"/>
      <c r="H110" s="496"/>
      <c r="I110" s="495"/>
    </row>
    <row r="111" spans="4:9" ht="15" customHeight="1">
      <c r="D111" s="493"/>
      <c r="E111" s="494"/>
      <c r="F111" s="493"/>
      <c r="G111" s="496"/>
      <c r="H111" s="496"/>
      <c r="I111" s="495"/>
    </row>
    <row r="112" spans="4:9" ht="15" customHeight="1">
      <c r="D112" s="493"/>
      <c r="E112" s="494"/>
      <c r="F112" s="493"/>
      <c r="G112" s="496"/>
      <c r="H112" s="496"/>
      <c r="I112" s="495"/>
    </row>
    <row r="113" spans="4:9" ht="15" customHeight="1">
      <c r="D113" s="493"/>
      <c r="E113" s="494"/>
      <c r="F113" s="493"/>
      <c r="G113" s="496"/>
      <c r="H113" s="496"/>
      <c r="I113" s="495"/>
    </row>
    <row r="114" spans="4:9" ht="15" customHeight="1">
      <c r="D114" s="493"/>
      <c r="E114" s="494"/>
      <c r="F114" s="493"/>
      <c r="G114" s="496"/>
      <c r="H114" s="496"/>
      <c r="I114" s="495"/>
    </row>
    <row r="115" spans="4:13" ht="15" customHeight="1">
      <c r="D115" s="493"/>
      <c r="E115" s="494"/>
      <c r="F115" s="493"/>
      <c r="G115" s="496"/>
      <c r="H115" s="496"/>
      <c r="I115" s="495"/>
      <c r="K115" s="451"/>
      <c r="L115" s="451"/>
      <c r="M115" s="451"/>
    </row>
    <row r="116" spans="4:9" ht="15" customHeight="1">
      <c r="D116" s="493"/>
      <c r="E116" s="494"/>
      <c r="F116" s="493"/>
      <c r="G116" s="496"/>
      <c r="H116" s="496"/>
      <c r="I116" s="495"/>
    </row>
    <row r="117" spans="4:9" ht="15" customHeight="1">
      <c r="D117" s="493"/>
      <c r="E117" s="494"/>
      <c r="F117" s="493"/>
      <c r="G117" s="496"/>
      <c r="H117" s="496"/>
      <c r="I117" s="495"/>
    </row>
    <row r="118" spans="4:9" ht="15" customHeight="1">
      <c r="D118" s="493"/>
      <c r="E118" s="494"/>
      <c r="F118" s="493"/>
      <c r="G118" s="496"/>
      <c r="H118" s="496"/>
      <c r="I118" s="495"/>
    </row>
    <row r="119" spans="4:9" ht="15" customHeight="1">
      <c r="D119" s="493"/>
      <c r="E119" s="494"/>
      <c r="F119" s="493"/>
      <c r="G119" s="496"/>
      <c r="H119" s="496"/>
      <c r="I119" s="495"/>
    </row>
    <row r="120" spans="4:9" ht="15" customHeight="1">
      <c r="D120" s="495"/>
      <c r="E120" s="495"/>
      <c r="F120" s="496"/>
      <c r="G120" s="496"/>
      <c r="H120" s="496"/>
      <c r="I120" s="495"/>
    </row>
    <row r="121" spans="4:9" ht="15" customHeight="1">
      <c r="D121" s="495"/>
      <c r="E121" s="495"/>
      <c r="F121" s="496"/>
      <c r="G121" s="496"/>
      <c r="H121" s="496"/>
      <c r="I121" s="495"/>
    </row>
    <row r="122" spans="4:9" ht="15" customHeight="1">
      <c r="D122" s="495"/>
      <c r="E122" s="495"/>
      <c r="F122" s="496"/>
      <c r="G122" s="496"/>
      <c r="H122" s="496"/>
      <c r="I122" s="495"/>
    </row>
    <row r="123" spans="4:9" ht="15" customHeight="1">
      <c r="D123" s="495"/>
      <c r="E123" s="495"/>
      <c r="F123" s="496"/>
      <c r="G123" s="496"/>
      <c r="H123" s="496"/>
      <c r="I123" s="495"/>
    </row>
    <row r="124" spans="4:9" ht="15" customHeight="1">
      <c r="D124" s="495"/>
      <c r="E124" s="495"/>
      <c r="F124" s="496"/>
      <c r="G124" s="496"/>
      <c r="H124" s="496"/>
      <c r="I124" s="495"/>
    </row>
    <row r="125" spans="4:9" ht="15" customHeight="1">
      <c r="D125" s="495"/>
      <c r="E125" s="495"/>
      <c r="F125" s="496"/>
      <c r="G125" s="496"/>
      <c r="H125" s="496"/>
      <c r="I125" s="495"/>
    </row>
    <row r="126" spans="4:9" ht="15" customHeight="1">
      <c r="D126" s="495"/>
      <c r="E126" s="495"/>
      <c r="F126" s="496"/>
      <c r="G126" s="496"/>
      <c r="H126" s="496"/>
      <c r="I126" s="495"/>
    </row>
    <row r="127" spans="4:9" ht="15" customHeight="1">
      <c r="D127" s="495"/>
      <c r="E127" s="495"/>
      <c r="F127" s="496"/>
      <c r="G127" s="496"/>
      <c r="H127" s="496"/>
      <c r="I127" s="495"/>
    </row>
    <row r="128" spans="4:9" ht="15" customHeight="1">
      <c r="D128" s="495"/>
      <c r="E128" s="495"/>
      <c r="F128" s="496"/>
      <c r="G128" s="496"/>
      <c r="H128" s="496"/>
      <c r="I128" s="495"/>
    </row>
    <row r="129" spans="4:9" ht="15" customHeight="1">
      <c r="D129" s="495"/>
      <c r="E129" s="495"/>
      <c r="F129" s="496"/>
      <c r="G129" s="496"/>
      <c r="H129" s="496"/>
      <c r="I129" s="495"/>
    </row>
    <row r="130" spans="4:9" ht="15" customHeight="1">
      <c r="D130" s="495"/>
      <c r="E130" s="495"/>
      <c r="F130" s="496"/>
      <c r="G130" s="496"/>
      <c r="H130" s="496"/>
      <c r="I130" s="495"/>
    </row>
    <row r="131" spans="4:9" ht="15" customHeight="1">
      <c r="D131" s="495"/>
      <c r="E131" s="495"/>
      <c r="F131" s="496"/>
      <c r="G131" s="496"/>
      <c r="H131" s="496"/>
      <c r="I131" s="495"/>
    </row>
    <row r="132" spans="4:9" ht="15" customHeight="1">
      <c r="D132" s="495"/>
      <c r="E132" s="495"/>
      <c r="F132" s="496"/>
      <c r="G132" s="496"/>
      <c r="H132" s="496"/>
      <c r="I132" s="495"/>
    </row>
    <row r="133" spans="4:9" ht="15" customHeight="1">
      <c r="D133" s="495"/>
      <c r="E133" s="495"/>
      <c r="F133" s="496"/>
      <c r="G133" s="496"/>
      <c r="H133" s="496"/>
      <c r="I133" s="495"/>
    </row>
    <row r="134" spans="4:9" ht="15" customHeight="1">
      <c r="D134" s="495"/>
      <c r="E134" s="495"/>
      <c r="F134" s="496"/>
      <c r="G134" s="496"/>
      <c r="H134" s="496"/>
      <c r="I134" s="495"/>
    </row>
    <row r="135" spans="4:9" ht="15" customHeight="1">
      <c r="D135" s="495"/>
      <c r="E135" s="495"/>
      <c r="F135" s="496"/>
      <c r="G135" s="496"/>
      <c r="H135" s="496"/>
      <c r="I135" s="495"/>
    </row>
    <row r="136" spans="4:9" ht="15" customHeight="1">
      <c r="D136" s="495"/>
      <c r="E136" s="495"/>
      <c r="F136" s="496"/>
      <c r="G136" s="496"/>
      <c r="H136" s="496"/>
      <c r="I136" s="495"/>
    </row>
    <row r="137" spans="4:9" ht="15" customHeight="1">
      <c r="D137" s="495"/>
      <c r="E137" s="495"/>
      <c r="F137" s="496"/>
      <c r="G137" s="496"/>
      <c r="H137" s="496"/>
      <c r="I137" s="495"/>
    </row>
    <row r="138" spans="4:9" ht="15" customHeight="1">
      <c r="D138" s="495"/>
      <c r="E138" s="495"/>
      <c r="F138" s="496"/>
      <c r="G138" s="496"/>
      <c r="H138" s="496"/>
      <c r="I138" s="495"/>
    </row>
    <row r="139" spans="4:9" ht="15" customHeight="1">
      <c r="D139" s="495"/>
      <c r="E139" s="495"/>
      <c r="F139" s="496"/>
      <c r="G139" s="496"/>
      <c r="H139" s="496"/>
      <c r="I139" s="495"/>
    </row>
    <row r="140" spans="4:9" ht="15" customHeight="1">
      <c r="D140" s="495"/>
      <c r="E140" s="495"/>
      <c r="F140" s="496"/>
      <c r="G140" s="496"/>
      <c r="H140" s="496"/>
      <c r="I140" s="495"/>
    </row>
    <row r="141" spans="4:9" ht="15" customHeight="1">
      <c r="D141" s="495"/>
      <c r="E141" s="495"/>
      <c r="F141" s="496"/>
      <c r="G141" s="496"/>
      <c r="H141" s="496"/>
      <c r="I141" s="495"/>
    </row>
    <row r="142" spans="4:9" ht="15" customHeight="1">
      <c r="D142" s="495"/>
      <c r="E142" s="495"/>
      <c r="F142" s="496"/>
      <c r="G142" s="496"/>
      <c r="H142" s="496"/>
      <c r="I142" s="495"/>
    </row>
    <row r="143" spans="4:9" ht="15" customHeight="1">
      <c r="D143" s="495"/>
      <c r="E143" s="495"/>
      <c r="F143" s="496"/>
      <c r="G143" s="496"/>
      <c r="H143" s="496"/>
      <c r="I143" s="495"/>
    </row>
    <row r="144" spans="4:9" ht="15" customHeight="1">
      <c r="D144" s="495"/>
      <c r="E144" s="495"/>
      <c r="F144" s="496"/>
      <c r="G144" s="496"/>
      <c r="H144" s="496"/>
      <c r="I144" s="495"/>
    </row>
    <row r="145" spans="4:9" ht="15" customHeight="1">
      <c r="D145" s="495"/>
      <c r="E145" s="495"/>
      <c r="F145" s="496"/>
      <c r="G145" s="496"/>
      <c r="H145" s="496"/>
      <c r="I145" s="495"/>
    </row>
    <row r="146" spans="4:9" ht="15" customHeight="1">
      <c r="D146" s="495"/>
      <c r="E146" s="495"/>
      <c r="F146" s="496"/>
      <c r="G146" s="496"/>
      <c r="H146" s="496"/>
      <c r="I146" s="495"/>
    </row>
    <row r="147" spans="4:9" ht="15" customHeight="1">
      <c r="D147" s="495"/>
      <c r="E147" s="495"/>
      <c r="F147" s="496"/>
      <c r="G147" s="496"/>
      <c r="H147" s="496"/>
      <c r="I147" s="495"/>
    </row>
    <row r="148" spans="4:9" ht="15" customHeight="1">
      <c r="D148" s="495"/>
      <c r="E148" s="495"/>
      <c r="F148" s="496"/>
      <c r="G148" s="496"/>
      <c r="H148" s="496"/>
      <c r="I148" s="495"/>
    </row>
    <row r="149" spans="4:9" ht="15" customHeight="1">
      <c r="D149" s="495"/>
      <c r="E149" s="495"/>
      <c r="F149" s="496"/>
      <c r="G149" s="496"/>
      <c r="H149" s="496"/>
      <c r="I149" s="495"/>
    </row>
    <row r="150" spans="4:9" ht="15" customHeight="1">
      <c r="D150" s="495"/>
      <c r="E150" s="495"/>
      <c r="F150" s="496"/>
      <c r="G150" s="496"/>
      <c r="H150" s="496"/>
      <c r="I150" s="495"/>
    </row>
    <row r="151" spans="4:9" ht="15" customHeight="1">
      <c r="D151" s="495"/>
      <c r="E151" s="495"/>
      <c r="F151" s="496"/>
      <c r="G151" s="496"/>
      <c r="H151" s="496"/>
      <c r="I151" s="495"/>
    </row>
    <row r="152" spans="4:9" ht="15" customHeight="1">
      <c r="D152" s="495"/>
      <c r="E152" s="495"/>
      <c r="F152" s="496"/>
      <c r="G152" s="496"/>
      <c r="H152" s="496"/>
      <c r="I152" s="495"/>
    </row>
    <row r="153" spans="4:9" ht="15" customHeight="1">
      <c r="D153" s="495"/>
      <c r="E153" s="495"/>
      <c r="F153" s="496"/>
      <c r="G153" s="496"/>
      <c r="H153" s="496"/>
      <c r="I153" s="495"/>
    </row>
    <row r="154" spans="4:9" ht="15" customHeight="1">
      <c r="D154" s="495"/>
      <c r="E154" s="495"/>
      <c r="F154" s="496"/>
      <c r="G154" s="496"/>
      <c r="H154" s="496"/>
      <c r="I154" s="495"/>
    </row>
    <row r="155" spans="4:9" ht="15" customHeight="1">
      <c r="D155" s="495"/>
      <c r="E155" s="495"/>
      <c r="F155" s="496"/>
      <c r="G155" s="496"/>
      <c r="H155" s="496"/>
      <c r="I155" s="495"/>
    </row>
    <row r="156" spans="4:9" ht="15" customHeight="1">
      <c r="D156" s="495"/>
      <c r="E156" s="495"/>
      <c r="F156" s="496"/>
      <c r="G156" s="496"/>
      <c r="H156" s="496"/>
      <c r="I156" s="495"/>
    </row>
    <row r="157" spans="4:9" ht="15" customHeight="1">
      <c r="D157" s="495"/>
      <c r="E157" s="495"/>
      <c r="F157" s="496"/>
      <c r="G157" s="496"/>
      <c r="H157" s="496"/>
      <c r="I157" s="495"/>
    </row>
    <row r="158" spans="4:9" ht="15" customHeight="1">
      <c r="D158" s="495"/>
      <c r="E158" s="495"/>
      <c r="F158" s="496"/>
      <c r="G158" s="496"/>
      <c r="H158" s="496"/>
      <c r="I158" s="495"/>
    </row>
    <row r="159" spans="4:9" ht="15" customHeight="1">
      <c r="D159" s="495"/>
      <c r="E159" s="495"/>
      <c r="F159" s="496"/>
      <c r="G159" s="496"/>
      <c r="H159" s="496"/>
      <c r="I159" s="495"/>
    </row>
    <row r="160" spans="4:9" ht="15" customHeight="1">
      <c r="D160" s="495"/>
      <c r="E160" s="495"/>
      <c r="F160" s="496"/>
      <c r="H160" s="496"/>
      <c r="I160" s="495"/>
    </row>
    <row r="161" spans="4:9" ht="15" customHeight="1">
      <c r="D161" s="495"/>
      <c r="E161" s="495"/>
      <c r="F161" s="496"/>
      <c r="H161" s="496"/>
      <c r="I161" s="495"/>
    </row>
    <row r="162" spans="4:6" ht="15" customHeight="1">
      <c r="D162" s="495"/>
      <c r="E162" s="495"/>
      <c r="F162" s="496"/>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K82"/>
  <sheetViews>
    <sheetView showGridLines="0" zoomScalePageLayoutView="0" workbookViewId="0" topLeftCell="A1">
      <selection activeCell="G60" sqref="A1:G60"/>
    </sheetView>
  </sheetViews>
  <sheetFormatPr defaultColWidth="11.421875" defaultRowHeight="15"/>
  <cols>
    <col min="1" max="1" width="2.140625" style="42" customWidth="1"/>
    <col min="2" max="2" width="2.00390625" style="42" customWidth="1"/>
    <col min="3" max="3" width="2.28125" style="42" customWidth="1"/>
    <col min="4" max="4" width="51.8515625" style="42" customWidth="1"/>
    <col min="5" max="5" width="10.28125" style="75" customWidth="1"/>
    <col min="6" max="7" width="21.7109375" style="42" bestFit="1" customWidth="1"/>
    <col min="8" max="8" width="11.421875" style="42" customWidth="1"/>
    <col min="9" max="9" width="14.7109375" style="42" bestFit="1" customWidth="1"/>
    <col min="10" max="16384" width="11.421875" style="42" customWidth="1"/>
  </cols>
  <sheetData>
    <row r="1" spans="4:5" ht="15">
      <c r="D1" s="441" t="str">
        <f>Indice!C1</f>
        <v>NEGOFIN S.A.E.C.A.</v>
      </c>
      <c r="E1" s="197" t="s">
        <v>388</v>
      </c>
    </row>
    <row r="3" ht="11.25">
      <c r="F3" s="112"/>
    </row>
    <row r="6" ht="11.25">
      <c r="G6" s="47"/>
    </row>
    <row r="7" spans="1:7" ht="12.75">
      <c r="A7" s="812" t="s">
        <v>300</v>
      </c>
      <c r="B7" s="812"/>
      <c r="C7" s="812"/>
      <c r="D7" s="812"/>
      <c r="E7" s="812"/>
      <c r="F7" s="812"/>
      <c r="G7" s="812"/>
    </row>
    <row r="8" spans="1:7" ht="15" customHeight="1">
      <c r="A8" s="814" t="str">
        <f>_xlfn.IFERROR(IF(Indice!B6="","Al dia... de mes… de año 2XX2…","Al "&amp;DAY(Indice!B6)&amp;" de "&amp;VLOOKUP(MONTH(Indice!B6),Indice!S:T,2,0)&amp;" de "&amp;YEAR(Indice!B6)),"Al dia... de mes… de año 2XX2…")</f>
        <v>Al 30 de Septiembre de 2021</v>
      </c>
      <c r="B8" s="814"/>
      <c r="C8" s="814"/>
      <c r="D8" s="814"/>
      <c r="E8" s="814"/>
      <c r="F8" s="814"/>
      <c r="G8" s="814"/>
    </row>
    <row r="9" spans="1:7" ht="12.75">
      <c r="A9" s="813" t="s">
        <v>274</v>
      </c>
      <c r="B9" s="813"/>
      <c r="C9" s="813"/>
      <c r="D9" s="813"/>
      <c r="E9" s="813"/>
      <c r="F9" s="813"/>
      <c r="G9" s="813"/>
    </row>
    <row r="10" spans="1:7" ht="12">
      <c r="A10" s="53"/>
      <c r="B10" s="53"/>
      <c r="C10" s="53"/>
      <c r="D10" s="53"/>
      <c r="E10" s="5"/>
      <c r="F10" s="53"/>
      <c r="G10" s="53"/>
    </row>
    <row r="11" spans="1:7" ht="15">
      <c r="A11" s="53"/>
      <c r="B11" s="195"/>
      <c r="C11" s="195"/>
      <c r="D11" s="195"/>
      <c r="E11" s="299" t="s">
        <v>220</v>
      </c>
      <c r="F11" s="299">
        <f>_xlfn.IFERROR(IF(Indice!B6="","2XX2",YEAR(Indice!B6)),"2XX2")</f>
        <v>2021</v>
      </c>
      <c r="G11" s="299">
        <f>_xlfn.IFERROR(YEAR(Indice!B6-365),"2XX1")</f>
        <v>2020</v>
      </c>
    </row>
    <row r="12" spans="2:5" ht="15">
      <c r="B12" s="808" t="s">
        <v>221</v>
      </c>
      <c r="C12" s="808"/>
      <c r="D12" s="808"/>
      <c r="E12" s="200"/>
    </row>
    <row r="13" spans="1:7" ht="12.75">
      <c r="A13" s="53"/>
      <c r="B13" s="69" t="s">
        <v>222</v>
      </c>
      <c r="C13" s="33"/>
      <c r="D13" s="33"/>
      <c r="E13" s="196"/>
      <c r="F13" s="33"/>
      <c r="G13" s="70"/>
    </row>
    <row r="14" spans="1:7" ht="15">
      <c r="A14" s="53"/>
      <c r="B14" s="33"/>
      <c r="C14" s="809" t="s">
        <v>223</v>
      </c>
      <c r="D14" s="809"/>
      <c r="E14" s="214">
        <v>3</v>
      </c>
      <c r="F14" s="344">
        <f>'Nota 3'!C20</f>
        <v>10334213.991</v>
      </c>
      <c r="G14" s="344">
        <f>'Nota 3'!D20</f>
        <v>18873837.096</v>
      </c>
    </row>
    <row r="15" spans="1:7" ht="15">
      <c r="A15" s="53"/>
      <c r="B15" s="33"/>
      <c r="C15" s="809" t="s">
        <v>110</v>
      </c>
      <c r="D15" s="809"/>
      <c r="E15" s="214">
        <v>4</v>
      </c>
      <c r="F15" s="344">
        <f>'Nota 4'!B18</f>
        <v>15003702.669</v>
      </c>
      <c r="G15" s="344">
        <f>'Nota 4'!C18</f>
        <v>15064421.911</v>
      </c>
    </row>
    <row r="16" spans="1:10" ht="15">
      <c r="A16" s="53"/>
      <c r="B16" s="33"/>
      <c r="C16" s="809" t="s">
        <v>224</v>
      </c>
      <c r="D16" s="809"/>
      <c r="E16" s="214">
        <v>5</v>
      </c>
      <c r="F16" s="344">
        <f>'Nota 5'!C27</f>
        <v>375101120.0792</v>
      </c>
      <c r="G16" s="344">
        <f>'Nota 5'!D27</f>
        <v>253459273.821</v>
      </c>
      <c r="I16" s="514"/>
      <c r="J16" s="514"/>
    </row>
    <row r="17" spans="1:10" ht="15">
      <c r="A17" s="68"/>
      <c r="B17" s="33"/>
      <c r="C17" s="809" t="s">
        <v>40</v>
      </c>
      <c r="D17" s="809"/>
      <c r="E17" s="214">
        <v>6</v>
      </c>
      <c r="F17" s="344">
        <f>'Nota 6'!B60</f>
        <v>9224769.383000001</v>
      </c>
      <c r="G17" s="344">
        <f>'Nota 6'!C60</f>
        <v>4835932.316999999</v>
      </c>
      <c r="I17" s="47"/>
      <c r="J17" s="485"/>
    </row>
    <row r="18" spans="1:10" ht="15">
      <c r="A18" s="53"/>
      <c r="B18" s="33"/>
      <c r="C18" s="809" t="s">
        <v>225</v>
      </c>
      <c r="D18" s="809"/>
      <c r="E18" s="214">
        <v>7</v>
      </c>
      <c r="F18" s="344">
        <f>'Nota 7'!B15</f>
        <v>0</v>
      </c>
      <c r="G18" s="344">
        <f>'Nota 7'!C15</f>
        <v>0</v>
      </c>
      <c r="I18" s="514"/>
      <c r="J18" s="47"/>
    </row>
    <row r="19" spans="1:10" ht="12.75">
      <c r="A19" s="53"/>
      <c r="B19" s="33"/>
      <c r="C19" s="69" t="s">
        <v>309</v>
      </c>
      <c r="D19" s="33"/>
      <c r="E19" s="196"/>
      <c r="F19" s="645">
        <f>SUM(F14:F18)</f>
        <v>409663806.1222001</v>
      </c>
      <c r="G19" s="645">
        <f>SUM(G14:G18)</f>
        <v>292233465.145</v>
      </c>
      <c r="I19" s="47"/>
      <c r="J19" s="47"/>
    </row>
    <row r="20" spans="1:7" ht="12.75">
      <c r="A20" s="53"/>
      <c r="B20" s="69" t="s">
        <v>226</v>
      </c>
      <c r="C20" s="33"/>
      <c r="D20" s="33"/>
      <c r="E20" s="196"/>
      <c r="F20" s="548"/>
      <c r="G20" s="345"/>
    </row>
    <row r="21" spans="1:7" ht="15">
      <c r="A21" s="53"/>
      <c r="B21" s="33"/>
      <c r="C21" s="809" t="s">
        <v>227</v>
      </c>
      <c r="D21" s="809"/>
      <c r="E21" s="214">
        <v>6</v>
      </c>
      <c r="F21" s="344">
        <f>'Nota 6'!F16</f>
        <v>6604147.4229999995</v>
      </c>
      <c r="G21" s="646">
        <f>'Nota 6'!G16</f>
        <v>4692940.699</v>
      </c>
    </row>
    <row r="22" spans="1:11" ht="15">
      <c r="A22" s="53"/>
      <c r="B22" s="33"/>
      <c r="C22" s="387" t="s">
        <v>224</v>
      </c>
      <c r="D22" s="387"/>
      <c r="E22" s="214">
        <v>5</v>
      </c>
      <c r="F22" s="344">
        <f>'Nota 5'!C54</f>
        <v>71653202.70079999</v>
      </c>
      <c r="G22" s="646">
        <f>'Nota 5'!D54</f>
        <v>66212438.032000005</v>
      </c>
      <c r="I22" s="730"/>
      <c r="J22" s="731"/>
      <c r="K22" s="75"/>
    </row>
    <row r="23" spans="1:11" ht="15">
      <c r="A23" s="53"/>
      <c r="B23" s="33"/>
      <c r="C23" s="809" t="s">
        <v>414</v>
      </c>
      <c r="D23" s="809"/>
      <c r="E23" s="214">
        <v>8</v>
      </c>
      <c r="F23" s="344">
        <f>'Nota 8'!B8</f>
        <v>750125</v>
      </c>
      <c r="G23" s="345">
        <f>'Nota 8'!C8</f>
        <v>750125</v>
      </c>
      <c r="I23" s="730"/>
      <c r="J23" s="730"/>
      <c r="K23" s="75"/>
    </row>
    <row r="24" spans="1:11" ht="15">
      <c r="A24" s="53"/>
      <c r="B24" s="33"/>
      <c r="C24" s="809" t="s">
        <v>415</v>
      </c>
      <c r="D24" s="809"/>
      <c r="E24" s="214">
        <v>9</v>
      </c>
      <c r="F24" s="344">
        <f>'Nota 9'!L25</f>
        <v>2435980.7270000004</v>
      </c>
      <c r="G24" s="345">
        <f>'Nota 9'!M25</f>
        <v>1982236.26</v>
      </c>
      <c r="I24" s="730"/>
      <c r="J24" s="730"/>
      <c r="K24" s="75"/>
    </row>
    <row r="25" spans="1:11" ht="15">
      <c r="A25" s="53"/>
      <c r="B25" s="33"/>
      <c r="C25" s="809" t="s">
        <v>244</v>
      </c>
      <c r="D25" s="809"/>
      <c r="E25" s="214">
        <v>10</v>
      </c>
      <c r="F25" s="344">
        <f>'Nota 10'!B19</f>
        <v>0</v>
      </c>
      <c r="G25" s="345">
        <f>'Nota 10'!C19</f>
        <v>0</v>
      </c>
      <c r="I25" s="75"/>
      <c r="J25" s="75"/>
      <c r="K25" s="75"/>
    </row>
    <row r="26" spans="1:11" ht="15">
      <c r="A26" s="53"/>
      <c r="B26" s="33"/>
      <c r="C26" s="809" t="s">
        <v>125</v>
      </c>
      <c r="D26" s="809"/>
      <c r="E26" s="214">
        <v>11</v>
      </c>
      <c r="F26" s="344">
        <f>'Nota 11'!B12</f>
        <v>59718.941999999806</v>
      </c>
      <c r="G26" s="345">
        <f>'Nota 11'!C12</f>
        <v>215529.85499999998</v>
      </c>
      <c r="I26" s="75"/>
      <c r="J26" s="75"/>
      <c r="K26" s="75"/>
    </row>
    <row r="27" spans="1:11" ht="15">
      <c r="A27" s="53"/>
      <c r="B27" s="33"/>
      <c r="C27" s="809" t="s">
        <v>131</v>
      </c>
      <c r="D27" s="809"/>
      <c r="E27" s="214">
        <v>12</v>
      </c>
      <c r="F27" s="344">
        <f>'Nota 12'!B11</f>
        <v>0</v>
      </c>
      <c r="G27" s="345">
        <f>'Nota 12'!C11</f>
        <v>0</v>
      </c>
      <c r="I27" s="75"/>
      <c r="J27" s="75"/>
      <c r="K27" s="75"/>
    </row>
    <row r="28" spans="1:11" ht="12.75">
      <c r="A28" s="53"/>
      <c r="B28" s="33"/>
      <c r="C28" s="811" t="s">
        <v>327</v>
      </c>
      <c r="D28" s="811"/>
      <c r="E28" s="196"/>
      <c r="F28" s="645">
        <f>SUM(F21:F27)</f>
        <v>81503174.79279998</v>
      </c>
      <c r="G28" s="645">
        <f>SUM(G21:G27)</f>
        <v>73853269.84600002</v>
      </c>
      <c r="I28" s="75"/>
      <c r="J28" s="75"/>
      <c r="K28" s="75"/>
    </row>
    <row r="29" spans="1:10" ht="15.75">
      <c r="A29" s="53"/>
      <c r="B29" s="820" t="s">
        <v>245</v>
      </c>
      <c r="C29" s="820"/>
      <c r="D29" s="820"/>
      <c r="E29" s="201"/>
      <c r="F29" s="647">
        <f>+F19+F28</f>
        <v>491166980.9150001</v>
      </c>
      <c r="G29" s="648">
        <f>+G19+G28</f>
        <v>366086734.991</v>
      </c>
      <c r="I29" s="511"/>
      <c r="J29" s="511"/>
    </row>
    <row r="30" spans="2:11" ht="17.25">
      <c r="B30" s="810" t="s">
        <v>246</v>
      </c>
      <c r="C30" s="810"/>
      <c r="D30" s="810"/>
      <c r="E30" s="203"/>
      <c r="F30" s="649"/>
      <c r="G30" s="650">
        <v>395442329</v>
      </c>
      <c r="I30" s="731"/>
      <c r="J30" s="731"/>
      <c r="K30" s="780"/>
    </row>
    <row r="31" spans="1:11" ht="12.75">
      <c r="A31" s="53"/>
      <c r="B31" s="69" t="s">
        <v>247</v>
      </c>
      <c r="C31" s="33"/>
      <c r="D31" s="33"/>
      <c r="E31" s="196"/>
      <c r="F31" s="651">
        <v>-1</v>
      </c>
      <c r="G31" s="345"/>
      <c r="I31" s="75"/>
      <c r="J31" s="75"/>
      <c r="K31" s="75"/>
    </row>
    <row r="32" spans="1:11" ht="15">
      <c r="A32" s="53"/>
      <c r="B32" s="33"/>
      <c r="C32" s="809" t="s">
        <v>111</v>
      </c>
      <c r="D32" s="809"/>
      <c r="E32" s="214">
        <v>13</v>
      </c>
      <c r="F32" s="344">
        <f>'Nota 13'!D13</f>
        <v>1069437.032</v>
      </c>
      <c r="G32" s="345">
        <f>'Nota 13'!E13</f>
        <v>265985.59</v>
      </c>
      <c r="I32" s="75"/>
      <c r="J32" s="75"/>
      <c r="K32" s="75"/>
    </row>
    <row r="33" spans="1:10" ht="15">
      <c r="A33" s="53"/>
      <c r="B33" s="33"/>
      <c r="C33" s="821" t="s">
        <v>249</v>
      </c>
      <c r="D33" s="821"/>
      <c r="E33" s="214">
        <v>14</v>
      </c>
      <c r="F33" s="344">
        <f>'Nota 14'!E64</f>
        <v>159373182.92900002</v>
      </c>
      <c r="G33" s="345">
        <f>'Nota 14'!L63</f>
        <v>115529023.82000002</v>
      </c>
      <c r="I33" s="47"/>
      <c r="J33" s="485"/>
    </row>
    <row r="34" spans="1:7" ht="15">
      <c r="A34" s="53"/>
      <c r="B34" s="33"/>
      <c r="C34" s="809" t="s">
        <v>133</v>
      </c>
      <c r="D34" s="809"/>
      <c r="E34" s="214">
        <v>15</v>
      </c>
      <c r="F34" s="344">
        <f>'Nota 15'!B15</f>
        <v>0</v>
      </c>
      <c r="G34" s="345">
        <f>'Nota 15'!C15</f>
        <v>0</v>
      </c>
    </row>
    <row r="35" spans="1:10" ht="15">
      <c r="A35" s="53"/>
      <c r="B35" s="33"/>
      <c r="C35" s="809" t="s">
        <v>67</v>
      </c>
      <c r="D35" s="809"/>
      <c r="E35" s="214">
        <v>16</v>
      </c>
      <c r="F35" s="344">
        <f>'Nota 16'!B12</f>
        <v>1697901.926</v>
      </c>
      <c r="G35" s="345">
        <f>'Nota 16'!C12</f>
        <v>317047.783</v>
      </c>
      <c r="I35" s="47"/>
      <c r="J35" s="485"/>
    </row>
    <row r="36" spans="1:7" ht="15">
      <c r="A36" s="53"/>
      <c r="B36" s="33"/>
      <c r="C36" s="809" t="s">
        <v>68</v>
      </c>
      <c r="D36" s="809"/>
      <c r="E36" s="214">
        <v>17</v>
      </c>
      <c r="F36" s="344">
        <f>'Nota 17'!B12</f>
        <v>10398305.983</v>
      </c>
      <c r="G36" s="345">
        <f>'Nota 17'!C12</f>
        <v>4719959.752</v>
      </c>
    </row>
    <row r="37" spans="1:7" ht="15">
      <c r="A37" s="53"/>
      <c r="B37" s="33"/>
      <c r="C37" s="809" t="s">
        <v>69</v>
      </c>
      <c r="D37" s="809"/>
      <c r="E37" s="214">
        <v>18</v>
      </c>
      <c r="F37" s="344">
        <f>'Nota 18'!B41</f>
        <v>609431.367</v>
      </c>
      <c r="G37" s="345">
        <f>'Nota 18'!C41</f>
        <v>326107.461</v>
      </c>
    </row>
    <row r="38" spans="1:10" ht="15">
      <c r="A38" s="53"/>
      <c r="B38" s="33"/>
      <c r="C38" s="809" t="s">
        <v>250</v>
      </c>
      <c r="D38" s="809"/>
      <c r="E38" s="214">
        <v>19</v>
      </c>
      <c r="F38" s="344">
        <f>'Nota 19'!B46</f>
        <v>1963908.596</v>
      </c>
      <c r="G38" s="345">
        <f>'Nota 19'!C46</f>
        <v>2481157.1410000003</v>
      </c>
      <c r="I38" s="47"/>
      <c r="J38" s="485"/>
    </row>
    <row r="39" spans="1:10" ht="13.5" customHeight="1">
      <c r="A39" s="53"/>
      <c r="B39" s="33"/>
      <c r="C39" s="69" t="s">
        <v>248</v>
      </c>
      <c r="D39" s="33"/>
      <c r="E39" s="196"/>
      <c r="F39" s="645">
        <f>+F32+F33+F34+F35+F36+F37+F38</f>
        <v>175112167.83300003</v>
      </c>
      <c r="G39" s="645">
        <f>SUM(G32:G38)</f>
        <v>123639281.54700004</v>
      </c>
      <c r="I39" s="47"/>
      <c r="J39" s="47"/>
    </row>
    <row r="40" spans="1:7" ht="12.75">
      <c r="A40" s="53"/>
      <c r="B40" s="69" t="s">
        <v>251</v>
      </c>
      <c r="C40" s="33"/>
      <c r="D40" s="33"/>
      <c r="E40" s="196"/>
      <c r="F40" s="548"/>
      <c r="G40" s="548"/>
    </row>
    <row r="41" spans="1:7" ht="15">
      <c r="A41" s="53"/>
      <c r="B41" s="33"/>
      <c r="C41" s="809" t="s">
        <v>252</v>
      </c>
      <c r="D41" s="809"/>
      <c r="E41" s="214">
        <v>14</v>
      </c>
      <c r="F41" s="344">
        <f>'Nota 14'!E105</f>
        <v>87059273.87999998</v>
      </c>
      <c r="G41" s="345">
        <f>'Nota 14'!L104</f>
        <v>74046204.01400001</v>
      </c>
    </row>
    <row r="42" spans="1:7" ht="15">
      <c r="A42" s="53"/>
      <c r="B42" s="33"/>
      <c r="C42" s="809" t="s">
        <v>362</v>
      </c>
      <c r="D42" s="809"/>
      <c r="E42" s="214">
        <v>19</v>
      </c>
      <c r="F42" s="344">
        <f>'Nota 19'!F14</f>
        <v>0</v>
      </c>
      <c r="G42" s="345">
        <f>'Nota 19'!G14</f>
        <v>0</v>
      </c>
    </row>
    <row r="43" spans="1:7" ht="12.75">
      <c r="A43" s="53"/>
      <c r="B43" s="33"/>
      <c r="C43" s="69" t="s">
        <v>337</v>
      </c>
      <c r="D43" s="33"/>
      <c r="E43" s="196"/>
      <c r="F43" s="645">
        <f>SUM(F41:F42)</f>
        <v>87059273.87999998</v>
      </c>
      <c r="G43" s="645">
        <f>SUM(G41:G42)</f>
        <v>74046204.01400001</v>
      </c>
    </row>
    <row r="44" spans="1:7" ht="6" customHeight="1">
      <c r="A44" s="53"/>
      <c r="B44" s="33"/>
      <c r="C44" s="33"/>
      <c r="D44" s="79"/>
      <c r="E44" s="202"/>
      <c r="F44" s="548"/>
      <c r="G44" s="345"/>
    </row>
    <row r="45" spans="1:11" ht="15.75">
      <c r="A45" s="53"/>
      <c r="B45" s="810" t="s">
        <v>416</v>
      </c>
      <c r="C45" s="810"/>
      <c r="D45" s="810"/>
      <c r="E45" s="204"/>
      <c r="F45" s="647">
        <f>+F39+F43</f>
        <v>262171441.713</v>
      </c>
      <c r="G45" s="647">
        <f>+G39+G43</f>
        <v>197685485.56100005</v>
      </c>
      <c r="I45" s="451"/>
      <c r="J45" s="451"/>
      <c r="K45" s="514"/>
    </row>
    <row r="46" spans="2:11" ht="15">
      <c r="B46" s="810" t="s">
        <v>41</v>
      </c>
      <c r="C46" s="810"/>
      <c r="D46" s="810"/>
      <c r="E46" s="203"/>
      <c r="F46" s="456"/>
      <c r="G46" s="456"/>
      <c r="I46" s="514"/>
      <c r="J46" s="485"/>
      <c r="K46" s="485"/>
    </row>
    <row r="47" spans="1:7" ht="15">
      <c r="A47" s="53"/>
      <c r="B47" s="33"/>
      <c r="C47" s="809" t="s">
        <v>254</v>
      </c>
      <c r="D47" s="809"/>
      <c r="E47" s="214">
        <v>20</v>
      </c>
      <c r="F47" s="344">
        <f>'Nota 20'!B13</f>
        <v>135619737.35</v>
      </c>
      <c r="G47" s="344">
        <f>'Nota 20'!C13</f>
        <v>120884126</v>
      </c>
    </row>
    <row r="48" spans="1:11" ht="15">
      <c r="A48" s="53"/>
      <c r="B48" s="33"/>
      <c r="C48" s="809" t="s">
        <v>43</v>
      </c>
      <c r="D48" s="809"/>
      <c r="E48" s="197">
        <v>21</v>
      </c>
      <c r="F48" s="344">
        <f>' Nota 21'!B8</f>
        <v>1330629.258</v>
      </c>
      <c r="G48" s="344">
        <f>' Nota 21'!C8</f>
        <v>1334216.8</v>
      </c>
      <c r="J48" s="485"/>
      <c r="K48" s="485"/>
    </row>
    <row r="49" spans="1:7" ht="15">
      <c r="A49" s="68"/>
      <c r="B49" s="33"/>
      <c r="C49" s="809" t="s">
        <v>81</v>
      </c>
      <c r="D49" s="809"/>
      <c r="E49" s="197">
        <v>21</v>
      </c>
      <c r="F49" s="344">
        <f>' Nota 21'!B12</f>
        <v>14286409.379</v>
      </c>
      <c r="G49" s="344">
        <f>' Nota 21'!C12</f>
        <v>12704334.252</v>
      </c>
    </row>
    <row r="50" spans="1:7" ht="15">
      <c r="A50" s="53"/>
      <c r="B50" s="33"/>
      <c r="C50" s="809" t="s">
        <v>255</v>
      </c>
      <c r="D50" s="809"/>
      <c r="E50" s="197">
        <v>21</v>
      </c>
      <c r="F50" s="344">
        <f>' Nota 21'!B16</f>
        <v>0</v>
      </c>
      <c r="G50" s="344">
        <f>' Nota 21'!C16</f>
        <v>0</v>
      </c>
    </row>
    <row r="51" spans="1:7" ht="15">
      <c r="A51" s="53"/>
      <c r="B51" s="33"/>
      <c r="C51" s="809" t="s">
        <v>256</v>
      </c>
      <c r="D51" s="809"/>
      <c r="E51" s="197">
        <v>21</v>
      </c>
      <c r="F51" s="344">
        <f>' Nota 21'!B20</f>
        <v>43280907.422</v>
      </c>
      <c r="G51" s="344">
        <f>' Nota 21'!C20</f>
        <v>3852480</v>
      </c>
    </row>
    <row r="52" spans="1:7" ht="15">
      <c r="A52" s="53"/>
      <c r="B52" s="33"/>
      <c r="C52" s="809" t="s">
        <v>70</v>
      </c>
      <c r="D52" s="809"/>
      <c r="E52" s="214">
        <v>22</v>
      </c>
      <c r="F52" s="344">
        <f>'Nota 22'!B8</f>
        <v>0</v>
      </c>
      <c r="G52" s="344">
        <f>'Nota 22'!C8</f>
        <v>0</v>
      </c>
    </row>
    <row r="53" spans="1:7" ht="15">
      <c r="A53" s="53"/>
      <c r="B53" s="33"/>
      <c r="C53" s="809" t="s">
        <v>44</v>
      </c>
      <c r="D53" s="809"/>
      <c r="E53" s="214">
        <v>23</v>
      </c>
      <c r="F53" s="344">
        <f>'Nota 23'!B10</f>
        <v>34477855.736</v>
      </c>
      <c r="G53" s="344">
        <f>'Nota 23'!C10</f>
        <v>29626092.242</v>
      </c>
    </row>
    <row r="54" spans="1:7" ht="12.75">
      <c r="A54" s="53"/>
      <c r="B54" s="33"/>
      <c r="C54" s="819" t="s">
        <v>62</v>
      </c>
      <c r="D54" s="819"/>
      <c r="E54" s="196"/>
      <c r="F54" s="344">
        <f>SUM(F47:F53)</f>
        <v>228995539.14499998</v>
      </c>
      <c r="G54" s="344">
        <f>SUM(G47:G53)</f>
        <v>168401249.29399997</v>
      </c>
    </row>
    <row r="55" spans="1:7" ht="15">
      <c r="A55" s="53"/>
      <c r="B55" s="33"/>
      <c r="C55" s="809" t="s">
        <v>71</v>
      </c>
      <c r="D55" s="809"/>
      <c r="E55" s="214">
        <v>24</v>
      </c>
      <c r="F55" s="344">
        <f>'Nota 24'!B8</f>
        <v>0</v>
      </c>
      <c r="G55" s="344">
        <f>'Nota 24'!C8</f>
        <v>0</v>
      </c>
    </row>
    <row r="56" spans="1:11" ht="15">
      <c r="A56" s="53"/>
      <c r="B56" s="810" t="s">
        <v>257</v>
      </c>
      <c r="C56" s="810"/>
      <c r="D56" s="810"/>
      <c r="E56" s="204"/>
      <c r="F56" s="647">
        <f>F54</f>
        <v>228995539.14499998</v>
      </c>
      <c r="G56" s="647">
        <f>G54</f>
        <v>168401249.29399997</v>
      </c>
      <c r="I56" s="514"/>
      <c r="J56" s="514"/>
      <c r="K56" s="514"/>
    </row>
    <row r="57" spans="1:11" ht="15">
      <c r="A57" s="53"/>
      <c r="B57" s="810" t="s">
        <v>258</v>
      </c>
      <c r="C57" s="810"/>
      <c r="D57" s="810"/>
      <c r="E57" s="205"/>
      <c r="F57" s="647">
        <f>+F45+F56</f>
        <v>491166980.858</v>
      </c>
      <c r="G57" s="647">
        <f>+G45+G56</f>
        <v>366086734.855</v>
      </c>
      <c r="I57" s="514"/>
      <c r="J57" s="514"/>
      <c r="K57" s="514"/>
    </row>
    <row r="58" spans="1:7" ht="12.75">
      <c r="A58" s="53"/>
      <c r="B58" s="69"/>
      <c r="C58" s="33"/>
      <c r="D58" s="33"/>
      <c r="E58" s="196"/>
      <c r="F58" s="652"/>
      <c r="G58" s="548"/>
    </row>
    <row r="59" spans="2:7" ht="12">
      <c r="B59" s="53" t="s">
        <v>413</v>
      </c>
      <c r="C59" s="53"/>
      <c r="D59" s="53"/>
      <c r="E59" s="206"/>
      <c r="F59" s="653"/>
      <c r="G59" s="653"/>
    </row>
    <row r="60" spans="1:7" ht="12">
      <c r="A60" s="53"/>
      <c r="B60" s="67"/>
      <c r="C60" s="53"/>
      <c r="D60" s="53"/>
      <c r="E60" s="206"/>
      <c r="F60" s="653"/>
      <c r="G60" s="654"/>
    </row>
    <row r="61" spans="1:7" ht="12">
      <c r="A61" s="53"/>
      <c r="B61" s="67"/>
      <c r="C61" s="53"/>
      <c r="D61" s="53"/>
      <c r="E61" s="206"/>
      <c r="F61" s="653"/>
      <c r="G61" s="654"/>
    </row>
    <row r="62" spans="1:7" ht="12">
      <c r="A62" s="53"/>
      <c r="B62" s="67"/>
      <c r="C62" s="53"/>
      <c r="D62" s="53"/>
      <c r="E62" s="206"/>
      <c r="F62" s="653"/>
      <c r="G62" s="654"/>
    </row>
    <row r="63" spans="1:7" ht="12">
      <c r="A63" s="53"/>
      <c r="B63" s="53"/>
      <c r="C63" s="53"/>
      <c r="D63" s="53"/>
      <c r="E63" s="206"/>
      <c r="F63" s="653"/>
      <c r="G63" s="653"/>
    </row>
    <row r="64" spans="1:7" s="78" customFormat="1" ht="15">
      <c r="A64" s="91"/>
      <c r="B64" s="92"/>
      <c r="C64" s="92"/>
      <c r="D64" s="92"/>
      <c r="E64" s="207"/>
      <c r="F64" s="818"/>
      <c r="G64" s="818"/>
    </row>
    <row r="65" spans="2:7" s="78" customFormat="1" ht="15.75">
      <c r="B65" s="93"/>
      <c r="C65" s="93"/>
      <c r="D65" s="101"/>
      <c r="E65" s="208"/>
      <c r="F65" s="816"/>
      <c r="G65" s="816"/>
    </row>
    <row r="66" spans="1:7" s="78" customFormat="1" ht="15.75">
      <c r="A66" s="91"/>
      <c r="B66" s="91"/>
      <c r="C66" s="91"/>
      <c r="D66" s="77"/>
      <c r="E66" s="209"/>
      <c r="F66" s="77"/>
      <c r="G66" s="91"/>
    </row>
    <row r="67" spans="1:7" s="78" customFormat="1" ht="15.75">
      <c r="A67" s="91"/>
      <c r="B67" s="91"/>
      <c r="C67" s="91"/>
      <c r="D67" s="77"/>
      <c r="E67" s="209"/>
      <c r="F67" s="77"/>
      <c r="G67" s="91"/>
    </row>
    <row r="68" spans="1:7" s="78" customFormat="1" ht="15.75">
      <c r="A68" s="91"/>
      <c r="B68" s="91"/>
      <c r="C68" s="91"/>
      <c r="D68" s="77"/>
      <c r="E68" s="209"/>
      <c r="F68" s="77"/>
      <c r="G68" s="91"/>
    </row>
    <row r="69" spans="1:7" s="78" customFormat="1" ht="15">
      <c r="A69" s="94"/>
      <c r="B69" s="94"/>
      <c r="C69" s="94"/>
      <c r="D69" s="94"/>
      <c r="E69" s="210"/>
      <c r="F69" s="817"/>
      <c r="G69" s="817"/>
    </row>
    <row r="70" spans="2:7" s="78" customFormat="1" ht="15.75">
      <c r="B70" s="95"/>
      <c r="C70" s="95"/>
      <c r="D70" s="95"/>
      <c r="E70" s="209"/>
      <c r="F70" s="816"/>
      <c r="G70" s="816"/>
    </row>
    <row r="71" spans="2:5" s="77" customFormat="1" ht="15.75">
      <c r="B71" s="815"/>
      <c r="C71" s="815"/>
      <c r="D71" s="815"/>
      <c r="E71" s="209"/>
    </row>
    <row r="72" spans="1:7" ht="12.75">
      <c r="A72" s="33"/>
      <c r="B72" s="33"/>
      <c r="C72" s="70"/>
      <c r="D72" s="71"/>
      <c r="E72" s="196"/>
      <c r="F72" s="71"/>
      <c r="G72" s="33"/>
    </row>
    <row r="73" spans="3:6" ht="11.25">
      <c r="C73" s="45"/>
      <c r="D73" s="43"/>
      <c r="E73" s="211"/>
      <c r="F73" s="43"/>
    </row>
    <row r="74" spans="4:6" ht="11.25">
      <c r="D74" s="44"/>
      <c r="E74" s="212"/>
      <c r="F74" s="44"/>
    </row>
    <row r="75" spans="4:6" ht="11.25">
      <c r="D75" s="44"/>
      <c r="E75" s="212"/>
      <c r="F75" s="44"/>
    </row>
    <row r="76" spans="4:6" ht="11.25">
      <c r="D76" s="44"/>
      <c r="E76" s="212"/>
      <c r="F76" s="44"/>
    </row>
    <row r="77" spans="4:6" ht="11.25">
      <c r="D77" s="44"/>
      <c r="E77" s="212"/>
      <c r="F77" s="44"/>
    </row>
    <row r="78" spans="4:6" ht="11.25">
      <c r="D78" s="44"/>
      <c r="E78" s="212"/>
      <c r="F78" s="44"/>
    </row>
    <row r="79" ht="11.25">
      <c r="E79" s="213"/>
    </row>
    <row r="80" spans="3:5" ht="11.25">
      <c r="C80" s="46"/>
      <c r="E80" s="213"/>
    </row>
    <row r="81" spans="3:6" ht="11.25">
      <c r="C81" s="45"/>
      <c r="D81" s="43"/>
      <c r="E81" s="211"/>
      <c r="F81" s="43"/>
    </row>
    <row r="82" spans="4:6" ht="11.25">
      <c r="D82" s="43"/>
      <c r="E82" s="76"/>
      <c r="F82" s="43"/>
    </row>
  </sheetData>
  <sheetProtection/>
  <mergeCells count="45">
    <mergeCell ref="C48:D48"/>
    <mergeCell ref="B56:D56"/>
    <mergeCell ref="B29:D29"/>
    <mergeCell ref="C41:D41"/>
    <mergeCell ref="C33:D33"/>
    <mergeCell ref="C27:D27"/>
    <mergeCell ref="C34:D34"/>
    <mergeCell ref="C55:D55"/>
    <mergeCell ref="C50:D50"/>
    <mergeCell ref="C51:D51"/>
    <mergeCell ref="C49:D49"/>
    <mergeCell ref="B71:D71"/>
    <mergeCell ref="B57:D57"/>
    <mergeCell ref="F70:G70"/>
    <mergeCell ref="F69:G69"/>
    <mergeCell ref="F65:G65"/>
    <mergeCell ref="F64:G64"/>
    <mergeCell ref="C54:D54"/>
    <mergeCell ref="C52:D52"/>
    <mergeCell ref="C25:D25"/>
    <mergeCell ref="C26:D26"/>
    <mergeCell ref="C35:D35"/>
    <mergeCell ref="C36:D36"/>
    <mergeCell ref="C42:D42"/>
    <mergeCell ref="C38:D38"/>
    <mergeCell ref="A7:G7"/>
    <mergeCell ref="A9:G9"/>
    <mergeCell ref="C17:D17"/>
    <mergeCell ref="C18:D18"/>
    <mergeCell ref="C23:D23"/>
    <mergeCell ref="A8:G8"/>
    <mergeCell ref="C16:D16"/>
    <mergeCell ref="C21:D21"/>
    <mergeCell ref="C14:D14"/>
    <mergeCell ref="C15:D15"/>
    <mergeCell ref="B12:D12"/>
    <mergeCell ref="C53:D53"/>
    <mergeCell ref="B30:D30"/>
    <mergeCell ref="B46:D46"/>
    <mergeCell ref="B45:D45"/>
    <mergeCell ref="C32:D32"/>
    <mergeCell ref="C37:D37"/>
    <mergeCell ref="C47:D47"/>
    <mergeCell ref="C24:D24"/>
    <mergeCell ref="C28:D2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4">
      <selection activeCell="C19" sqref="C19"/>
    </sheetView>
  </sheetViews>
  <sheetFormatPr defaultColWidth="11.421875" defaultRowHeight="15"/>
  <cols>
    <col min="1" max="1" width="44.7109375" style="121" customWidth="1"/>
    <col min="2" max="2" width="18.28125" style="121" customWidth="1"/>
    <col min="3" max="3" width="20.140625" style="121" customWidth="1"/>
    <col min="4" max="34" width="11.421875" style="121" customWidth="1"/>
  </cols>
  <sheetData>
    <row r="1" spans="1:4" ht="15">
      <c r="A1" s="121" t="str">
        <f>Indice!C1</f>
        <v>NEGOFIN S.A.E.C.A.</v>
      </c>
      <c r="D1" s="142" t="s">
        <v>132</v>
      </c>
    </row>
    <row r="5" spans="1:34" ht="15">
      <c r="A5" s="305" t="s">
        <v>331</v>
      </c>
      <c r="B5" s="305"/>
      <c r="C5" s="305"/>
      <c r="D5" s="305"/>
      <c r="T5"/>
      <c r="U5"/>
      <c r="V5"/>
      <c r="W5"/>
      <c r="X5"/>
      <c r="Y5"/>
      <c r="Z5"/>
      <c r="AA5"/>
      <c r="AB5"/>
      <c r="AC5"/>
      <c r="AD5"/>
      <c r="AE5"/>
      <c r="AF5"/>
      <c r="AG5"/>
      <c r="AH5"/>
    </row>
    <row r="7" spans="2:3" ht="15">
      <c r="B7" s="890" t="s">
        <v>313</v>
      </c>
      <c r="C7" s="890"/>
    </row>
    <row r="8" spans="1:34" ht="15">
      <c r="A8" s="294" t="s">
        <v>133</v>
      </c>
      <c r="B8" s="729">
        <f>_xlfn.IFERROR(IF(Indice!B6="","2XX2",YEAR(Indice!B6)),"2XX2")</f>
        <v>2021</v>
      </c>
      <c r="C8" s="729">
        <f>_xlfn.IFERROR(YEAR(Indice!B6-365),"2XX1")</f>
        <v>2020</v>
      </c>
      <c r="D8" s="135"/>
      <c r="T8"/>
      <c r="U8"/>
      <c r="V8"/>
      <c r="W8"/>
      <c r="X8"/>
      <c r="Y8"/>
      <c r="Z8"/>
      <c r="AA8"/>
      <c r="AB8"/>
      <c r="AC8"/>
      <c r="AD8"/>
      <c r="AE8"/>
      <c r="AF8"/>
      <c r="AG8"/>
      <c r="AH8"/>
    </row>
    <row r="9" spans="1:34" ht="15">
      <c r="A9" s="136" t="s">
        <v>111</v>
      </c>
      <c r="B9" s="466">
        <v>0</v>
      </c>
      <c r="C9" s="466">
        <v>0</v>
      </c>
      <c r="D9" s="136"/>
      <c r="T9"/>
      <c r="U9"/>
      <c r="V9"/>
      <c r="W9"/>
      <c r="X9"/>
      <c r="Y9"/>
      <c r="Z9"/>
      <c r="AA9"/>
      <c r="AB9"/>
      <c r="AC9"/>
      <c r="AD9"/>
      <c r="AE9"/>
      <c r="AF9"/>
      <c r="AG9"/>
      <c r="AH9"/>
    </row>
    <row r="10" spans="1:34" ht="15">
      <c r="A10" s="137" t="s">
        <v>134</v>
      </c>
      <c r="B10" s="466">
        <v>0</v>
      </c>
      <c r="C10" s="466">
        <v>0</v>
      </c>
      <c r="D10" s="137"/>
      <c r="T10"/>
      <c r="U10"/>
      <c r="V10"/>
      <c r="W10"/>
      <c r="X10"/>
      <c r="Y10"/>
      <c r="Z10"/>
      <c r="AA10"/>
      <c r="AB10"/>
      <c r="AC10"/>
      <c r="AD10"/>
      <c r="AE10"/>
      <c r="AF10"/>
      <c r="AG10"/>
      <c r="AH10"/>
    </row>
    <row r="11" spans="1:34" ht="15">
      <c r="A11" s="137" t="s">
        <v>116</v>
      </c>
      <c r="B11" s="466">
        <v>0</v>
      </c>
      <c r="C11" s="466">
        <v>0</v>
      </c>
      <c r="D11" s="137"/>
      <c r="T11"/>
      <c r="U11"/>
      <c r="V11"/>
      <c r="W11"/>
      <c r="X11"/>
      <c r="Y11"/>
      <c r="Z11"/>
      <c r="AA11"/>
      <c r="AB11"/>
      <c r="AC11"/>
      <c r="AD11"/>
      <c r="AE11"/>
      <c r="AF11"/>
      <c r="AG11"/>
      <c r="AH11"/>
    </row>
    <row r="12" spans="1:34" ht="15">
      <c r="A12" s="137" t="s">
        <v>135</v>
      </c>
      <c r="B12" s="466">
        <v>0</v>
      </c>
      <c r="C12" s="466">
        <v>0</v>
      </c>
      <c r="D12" s="137"/>
      <c r="T12"/>
      <c r="U12"/>
      <c r="V12"/>
      <c r="W12"/>
      <c r="X12"/>
      <c r="Y12"/>
      <c r="Z12"/>
      <c r="AA12"/>
      <c r="AB12"/>
      <c r="AC12"/>
      <c r="AD12"/>
      <c r="AE12"/>
      <c r="AF12"/>
      <c r="AG12"/>
      <c r="AH12"/>
    </row>
    <row r="13" spans="1:34" ht="15">
      <c r="A13" s="137" t="s">
        <v>136</v>
      </c>
      <c r="B13" s="466">
        <v>0</v>
      </c>
      <c r="C13" s="466">
        <v>0</v>
      </c>
      <c r="D13" s="137"/>
      <c r="T13"/>
      <c r="U13"/>
      <c r="V13"/>
      <c r="W13"/>
      <c r="X13"/>
      <c r="Y13"/>
      <c r="Z13"/>
      <c r="AA13"/>
      <c r="AB13"/>
      <c r="AC13"/>
      <c r="AD13"/>
      <c r="AE13"/>
      <c r="AF13"/>
      <c r="AG13"/>
      <c r="AH13"/>
    </row>
    <row r="14" spans="1:34" ht="15">
      <c r="A14" s="325" t="s">
        <v>66</v>
      </c>
      <c r="B14" s="466">
        <v>0</v>
      </c>
      <c r="C14" s="466">
        <v>0</v>
      </c>
      <c r="D14" s="136"/>
      <c r="T14"/>
      <c r="U14"/>
      <c r="V14"/>
      <c r="W14"/>
      <c r="X14"/>
      <c r="Y14"/>
      <c r="Z14"/>
      <c r="AA14"/>
      <c r="AB14"/>
      <c r="AC14"/>
      <c r="AD14"/>
      <c r="AE14"/>
      <c r="AF14"/>
      <c r="AG14"/>
      <c r="AH14"/>
    </row>
    <row r="15" spans="1:34" ht="15">
      <c r="A15" s="126" t="s">
        <v>130</v>
      </c>
      <c r="B15" s="474">
        <f>SUM($B$9:B14)</f>
        <v>0</v>
      </c>
      <c r="C15" s="474">
        <f>SUM($C$9:C14)</f>
        <v>0</v>
      </c>
      <c r="T15"/>
      <c r="U15"/>
      <c r="V15"/>
      <c r="W15"/>
      <c r="X15"/>
      <c r="Y15"/>
      <c r="Z15"/>
      <c r="AA15"/>
      <c r="AB15"/>
      <c r="AC15"/>
      <c r="AD15"/>
      <c r="AE15"/>
      <c r="AF15"/>
      <c r="AG15"/>
      <c r="AH15"/>
    </row>
    <row r="16" spans="1:34" ht="15">
      <c r="A16" s="138"/>
      <c r="D16" s="137"/>
      <c r="T16"/>
      <c r="U16"/>
      <c r="V16"/>
      <c r="W16"/>
      <c r="X16"/>
      <c r="Y16"/>
      <c r="Z16"/>
      <c r="AA16"/>
      <c r="AB16"/>
      <c r="AC16"/>
      <c r="AD16"/>
      <c r="AE16"/>
      <c r="AF16"/>
      <c r="AG16"/>
      <c r="AH16"/>
    </row>
    <row r="17" spans="1:34" ht="15">
      <c r="A17" s="137"/>
      <c r="D17" s="137"/>
      <c r="T17"/>
      <c r="U17"/>
      <c r="V17"/>
      <c r="W17"/>
      <c r="X17"/>
      <c r="Y17"/>
      <c r="Z17"/>
      <c r="AA17"/>
      <c r="AB17"/>
      <c r="AC17"/>
      <c r="AD17"/>
      <c r="AE17"/>
      <c r="AF17"/>
      <c r="AG17"/>
      <c r="AH17"/>
    </row>
    <row r="18" spans="1:34" ht="15">
      <c r="A18" s="138"/>
      <c r="D18" s="137"/>
      <c r="E18" s="136"/>
      <c r="F18" s="136"/>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B9" sqref="B9"/>
    </sheetView>
  </sheetViews>
  <sheetFormatPr defaultColWidth="11.421875" defaultRowHeight="15"/>
  <cols>
    <col min="1" max="1" width="48.421875" style="121" customWidth="1"/>
    <col min="2" max="3" width="22.7109375" style="121" customWidth="1"/>
    <col min="4" max="33" width="11.421875" style="121" customWidth="1"/>
  </cols>
  <sheetData>
    <row r="1" spans="1:6" ht="15">
      <c r="A1" s="121" t="str">
        <f>Indice!C1</f>
        <v>NEGOFIN S.A.E.C.A.</v>
      </c>
      <c r="F1" s="142" t="s">
        <v>132</v>
      </c>
    </row>
    <row r="4" spans="1:33" ht="15">
      <c r="A4" s="305" t="s">
        <v>332</v>
      </c>
      <c r="B4" s="305"/>
      <c r="C4" s="305"/>
      <c r="D4" s="305"/>
      <c r="T4"/>
      <c r="U4"/>
      <c r="V4"/>
      <c r="W4"/>
      <c r="X4"/>
      <c r="Y4"/>
      <c r="Z4"/>
      <c r="AA4"/>
      <c r="AB4"/>
      <c r="AC4"/>
      <c r="AD4"/>
      <c r="AE4"/>
      <c r="AF4"/>
      <c r="AG4"/>
    </row>
    <row r="6" spans="2:3" ht="15">
      <c r="B6" s="890" t="s">
        <v>313</v>
      </c>
      <c r="C6" s="890"/>
    </row>
    <row r="7" spans="1:3" ht="15">
      <c r="A7" s="294" t="s">
        <v>67</v>
      </c>
      <c r="B7" s="339">
        <f>_xlfn.IFERROR(IF(Indice!B6="","2XX2",YEAR(Indice!B6)),"2XX2")</f>
        <v>2021</v>
      </c>
      <c r="C7" s="339">
        <f>_xlfn.IFERROR(YEAR(Indice!B6-365),"2XX1")</f>
        <v>2020</v>
      </c>
    </row>
    <row r="8" spans="1:3" ht="15">
      <c r="A8" s="121" t="s">
        <v>137</v>
      </c>
      <c r="B8" s="467">
        <v>1348061.381</v>
      </c>
      <c r="C8" s="467">
        <v>0</v>
      </c>
    </row>
    <row r="9" spans="1:3" ht="15">
      <c r="A9" s="121" t="s">
        <v>138</v>
      </c>
      <c r="B9" s="467">
        <v>349840.545</v>
      </c>
      <c r="C9" s="467">
        <v>317047.783</v>
      </c>
    </row>
    <row r="10" spans="1:3" ht="15">
      <c r="A10" s="121" t="s">
        <v>139</v>
      </c>
      <c r="B10" s="467">
        <v>0</v>
      </c>
      <c r="C10" s="467">
        <v>0</v>
      </c>
    </row>
    <row r="11" spans="1:3" ht="15">
      <c r="A11" s="121" t="s">
        <v>140</v>
      </c>
      <c r="B11" s="467"/>
      <c r="C11" s="467"/>
    </row>
    <row r="12" spans="1:3" ht="15">
      <c r="A12" s="121" t="s">
        <v>3</v>
      </c>
      <c r="B12" s="468">
        <f>SUM($B$8:B11)</f>
        <v>1697901.926</v>
      </c>
      <c r="C12" s="468">
        <f>SUM($C$8:C11)</f>
        <v>317047.783</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2"/>
  <sheetViews>
    <sheetView zoomScalePageLayoutView="0" workbookViewId="0" topLeftCell="A1">
      <selection activeCell="C13" sqref="C13"/>
    </sheetView>
  </sheetViews>
  <sheetFormatPr defaultColWidth="11.421875" defaultRowHeight="15"/>
  <cols>
    <col min="1" max="1" width="51.57421875" style="121" customWidth="1"/>
    <col min="2" max="3" width="22.7109375" style="121" customWidth="1"/>
    <col min="4" max="16" width="11.421875" style="121" customWidth="1"/>
  </cols>
  <sheetData>
    <row r="1" spans="1:7" ht="15">
      <c r="A1" s="121" t="str">
        <f>Indice!C1</f>
        <v>NEGOFIN S.A.E.C.A.</v>
      </c>
      <c r="G1" s="142" t="s">
        <v>132</v>
      </c>
    </row>
    <row r="5" spans="1:4" ht="15">
      <c r="A5" s="305" t="s">
        <v>348</v>
      </c>
      <c r="B5" s="305"/>
      <c r="C5" s="305"/>
      <c r="D5" s="305"/>
    </row>
    <row r="6" spans="1:4" s="24" customFormat="1" ht="15">
      <c r="A6" s="143"/>
      <c r="B6" s="143"/>
      <c r="C6" s="143"/>
      <c r="D6" s="143"/>
    </row>
    <row r="7" spans="2:3" ht="15">
      <c r="B7" s="890" t="s">
        <v>313</v>
      </c>
      <c r="C7" s="890"/>
    </row>
    <row r="8" spans="1:3" ht="15">
      <c r="A8" s="295" t="s">
        <v>68</v>
      </c>
      <c r="B8" s="339">
        <f>_xlfn.IFERROR(IF(Indice!B6="","2XX2",YEAR(Indice!B6)),"2XX2")</f>
        <v>2021</v>
      </c>
      <c r="C8" s="339">
        <f>_xlfn.IFERROR(YEAR(Indice!B6-365),"2XX1")</f>
        <v>2020</v>
      </c>
    </row>
    <row r="9" spans="1:3" ht="15">
      <c r="A9" s="121" t="s">
        <v>141</v>
      </c>
      <c r="B9" s="467">
        <v>10398305.983</v>
      </c>
      <c r="C9" s="467">
        <v>4719959.752</v>
      </c>
    </row>
    <row r="10" spans="1:3" ht="15">
      <c r="A10" s="121" t="s">
        <v>142</v>
      </c>
      <c r="B10" s="467">
        <v>0</v>
      </c>
      <c r="C10" s="467">
        <v>0</v>
      </c>
    </row>
    <row r="11" spans="1:3" ht="15">
      <c r="A11" s="121" t="s">
        <v>143</v>
      </c>
      <c r="B11" s="467">
        <v>0</v>
      </c>
      <c r="C11" s="467">
        <v>0</v>
      </c>
    </row>
    <row r="12" spans="1:3" ht="15">
      <c r="A12" s="121" t="s">
        <v>3</v>
      </c>
      <c r="B12" s="468">
        <f>SUM($B$9:B11)</f>
        <v>10398305.983</v>
      </c>
      <c r="C12" s="468">
        <f>SUM($C$9:C11)</f>
        <v>4719959.752</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41"/>
  <sheetViews>
    <sheetView showGridLines="0" zoomScalePageLayoutView="0" workbookViewId="0" topLeftCell="A25">
      <selection activeCell="A1" sqref="A1"/>
    </sheetView>
  </sheetViews>
  <sheetFormatPr defaultColWidth="11.421875" defaultRowHeight="15"/>
  <cols>
    <col min="1" max="1" width="36.140625" style="121" bestFit="1" customWidth="1"/>
    <col min="2" max="3" width="22.7109375" style="121" customWidth="1"/>
    <col min="4" max="13" width="11.421875" style="121" customWidth="1"/>
  </cols>
  <sheetData>
    <row r="1" spans="1:4" ht="15">
      <c r="A1" s="121" t="str">
        <f>Indice!C1</f>
        <v>NEGOFIN S.A.E.C.A.</v>
      </c>
      <c r="D1" s="142" t="s">
        <v>132</v>
      </c>
    </row>
    <row r="4" spans="1:4" ht="15">
      <c r="A4" s="894" t="s">
        <v>334</v>
      </c>
      <c r="B4" s="894"/>
      <c r="C4" s="894"/>
      <c r="D4" s="894"/>
    </row>
    <row r="6" spans="2:3" ht="15">
      <c r="B6" s="890" t="s">
        <v>313</v>
      </c>
      <c r="C6" s="890"/>
    </row>
    <row r="7" spans="1:3" ht="15">
      <c r="A7" s="899" t="s">
        <v>69</v>
      </c>
      <c r="B7" s="339">
        <f>_xlfn.IFERROR(IF(Indice!B6="","2XX2",YEAR(Indice!B6)),"2XX2")</f>
        <v>2021</v>
      </c>
      <c r="C7" s="339">
        <f>_xlfn.IFERROR(YEAR(Indice!B6-365),"2XX1")</f>
        <v>2020</v>
      </c>
    </row>
    <row r="8" spans="1:3" ht="15">
      <c r="A8" s="899"/>
      <c r="B8" s="410"/>
      <c r="C8" s="410"/>
    </row>
    <row r="9" spans="1:13" s="292" customFormat="1" ht="15">
      <c r="A9" s="328" t="s">
        <v>850</v>
      </c>
      <c r="B9" s="467">
        <v>0</v>
      </c>
      <c r="C9" s="467">
        <v>0</v>
      </c>
      <c r="D9" s="121"/>
      <c r="E9" s="121"/>
      <c r="F9" s="121"/>
      <c r="G9" s="121"/>
      <c r="H9" s="121"/>
      <c r="I9" s="121"/>
      <c r="J9" s="121"/>
      <c r="K9" s="121"/>
      <c r="L9" s="121"/>
      <c r="M9" s="121"/>
    </row>
    <row r="10" spans="1:13" s="292" customFormat="1" ht="15">
      <c r="A10" s="328" t="s">
        <v>851</v>
      </c>
      <c r="B10" s="467">
        <v>0</v>
      </c>
      <c r="C10" s="467">
        <v>0</v>
      </c>
      <c r="D10" s="121"/>
      <c r="E10" s="121"/>
      <c r="F10" s="121"/>
      <c r="G10" s="121"/>
      <c r="H10" s="121"/>
      <c r="I10" s="121"/>
      <c r="J10" s="121"/>
      <c r="K10" s="121"/>
      <c r="L10" s="121"/>
      <c r="M10" s="121"/>
    </row>
    <row r="11" spans="1:13" s="292" customFormat="1" ht="15">
      <c r="A11" s="328" t="s">
        <v>1274</v>
      </c>
      <c r="B11" s="467">
        <v>4780</v>
      </c>
      <c r="C11" s="467">
        <v>0</v>
      </c>
      <c r="D11" s="121"/>
      <c r="E11" s="121"/>
      <c r="F11" s="121"/>
      <c r="G11" s="121"/>
      <c r="H11" s="121"/>
      <c r="I11" s="121"/>
      <c r="J11" s="121"/>
      <c r="K11" s="121"/>
      <c r="L11" s="121"/>
      <c r="M11" s="121"/>
    </row>
    <row r="12" spans="1:13" s="448" customFormat="1" ht="15">
      <c r="A12" s="328" t="s">
        <v>965</v>
      </c>
      <c r="B12" s="467">
        <v>0</v>
      </c>
      <c r="C12" s="467">
        <v>0</v>
      </c>
      <c r="D12" s="121"/>
      <c r="E12" s="121"/>
      <c r="F12" s="121"/>
      <c r="G12" s="121"/>
      <c r="H12" s="121"/>
      <c r="I12" s="121"/>
      <c r="J12" s="121"/>
      <c r="K12" s="121"/>
      <c r="L12" s="121"/>
      <c r="M12" s="121"/>
    </row>
    <row r="13" spans="1:13" s="690" customFormat="1" ht="15">
      <c r="A13" s="328" t="s">
        <v>1275</v>
      </c>
      <c r="B13" s="467">
        <v>0</v>
      </c>
      <c r="C13" s="467">
        <v>31938.728</v>
      </c>
      <c r="D13" s="121"/>
      <c r="E13" s="121"/>
      <c r="F13" s="121"/>
      <c r="G13" s="121"/>
      <c r="H13" s="121"/>
      <c r="I13" s="121"/>
      <c r="J13" s="121"/>
      <c r="K13" s="121"/>
      <c r="L13" s="121"/>
      <c r="M13" s="121"/>
    </row>
    <row r="14" spans="1:13" s="448" customFormat="1" ht="15">
      <c r="A14" s="328" t="s">
        <v>966</v>
      </c>
      <c r="B14" s="467">
        <v>275142.713</v>
      </c>
      <c r="C14" s="467">
        <v>0</v>
      </c>
      <c r="D14" s="121"/>
      <c r="E14" s="121"/>
      <c r="F14" s="121"/>
      <c r="G14" s="121"/>
      <c r="H14" s="121"/>
      <c r="I14" s="121"/>
      <c r="J14" s="121"/>
      <c r="K14" s="121"/>
      <c r="L14" s="121"/>
      <c r="M14" s="121"/>
    </row>
    <row r="15" spans="1:13" s="448" customFormat="1" ht="15">
      <c r="A15" s="328" t="s">
        <v>967</v>
      </c>
      <c r="B15" s="467">
        <v>1808.456</v>
      </c>
      <c r="C15" s="467">
        <v>0</v>
      </c>
      <c r="D15" s="121"/>
      <c r="E15" s="121"/>
      <c r="F15" s="121"/>
      <c r="G15" s="121"/>
      <c r="H15" s="121"/>
      <c r="I15" s="121"/>
      <c r="J15" s="121"/>
      <c r="K15" s="121"/>
      <c r="L15" s="121"/>
      <c r="M15" s="121"/>
    </row>
    <row r="16" spans="1:13" s="448" customFormat="1" ht="15">
      <c r="A16" s="328" t="s">
        <v>986</v>
      </c>
      <c r="B16" s="467">
        <v>0</v>
      </c>
      <c r="C16" s="467">
        <v>0</v>
      </c>
      <c r="D16" s="121"/>
      <c r="E16" s="121"/>
      <c r="F16" s="121"/>
      <c r="G16" s="121"/>
      <c r="H16" s="121"/>
      <c r="I16" s="121"/>
      <c r="J16" s="121"/>
      <c r="K16" s="121"/>
      <c r="L16" s="121"/>
      <c r="M16" s="121"/>
    </row>
    <row r="17" spans="1:13" s="448" customFormat="1" ht="15">
      <c r="A17" s="328" t="s">
        <v>1276</v>
      </c>
      <c r="B17" s="467">
        <v>810.477</v>
      </c>
      <c r="C17" s="467">
        <v>0</v>
      </c>
      <c r="D17" s="121"/>
      <c r="E17" s="121"/>
      <c r="F17" s="121"/>
      <c r="G17" s="121"/>
      <c r="H17" s="121"/>
      <c r="I17" s="121"/>
      <c r="J17" s="121"/>
      <c r="K17" s="121"/>
      <c r="L17" s="121"/>
      <c r="M17" s="121"/>
    </row>
    <row r="18" spans="1:13" s="448" customFormat="1" ht="15">
      <c r="A18" s="328" t="s">
        <v>987</v>
      </c>
      <c r="B18" s="467">
        <v>9347.1</v>
      </c>
      <c r="C18" s="467">
        <v>12313.35</v>
      </c>
      <c r="D18" s="121"/>
      <c r="E18" s="121"/>
      <c r="F18" s="121"/>
      <c r="G18" s="121"/>
      <c r="H18" s="121"/>
      <c r="I18" s="121"/>
      <c r="J18" s="121"/>
      <c r="K18" s="121"/>
      <c r="L18" s="121"/>
      <c r="M18" s="121"/>
    </row>
    <row r="19" spans="1:13" s="448" customFormat="1" ht="15">
      <c r="A19" s="328" t="s">
        <v>988</v>
      </c>
      <c r="B19" s="467">
        <v>12506.943</v>
      </c>
      <c r="C19" s="467">
        <v>14827.438</v>
      </c>
      <c r="D19" s="121"/>
      <c r="E19" s="121"/>
      <c r="F19" s="121"/>
      <c r="G19" s="121"/>
      <c r="H19" s="121"/>
      <c r="I19" s="121"/>
      <c r="J19" s="121"/>
      <c r="K19" s="121"/>
      <c r="L19" s="121"/>
      <c r="M19" s="121"/>
    </row>
    <row r="20" spans="1:13" s="448" customFormat="1" ht="15">
      <c r="A20" s="328" t="s">
        <v>1320</v>
      </c>
      <c r="B20" s="467">
        <v>610.488</v>
      </c>
      <c r="C20" s="467">
        <v>0</v>
      </c>
      <c r="D20" s="121"/>
      <c r="E20" s="121"/>
      <c r="F20" s="121"/>
      <c r="G20" s="121"/>
      <c r="H20" s="121"/>
      <c r="I20" s="121"/>
      <c r="J20" s="121"/>
      <c r="K20" s="121"/>
      <c r="L20" s="121"/>
      <c r="M20" s="121"/>
    </row>
    <row r="21" spans="1:13" s="448" customFormat="1" ht="15">
      <c r="A21" s="328" t="s">
        <v>989</v>
      </c>
      <c r="B21" s="467">
        <v>6392.298</v>
      </c>
      <c r="C21" s="467">
        <v>0</v>
      </c>
      <c r="D21" s="121"/>
      <c r="E21" s="121"/>
      <c r="F21" s="121"/>
      <c r="G21" s="121"/>
      <c r="H21" s="121"/>
      <c r="I21" s="121"/>
      <c r="J21" s="121"/>
      <c r="K21" s="121"/>
      <c r="L21" s="121"/>
      <c r="M21" s="121"/>
    </row>
    <row r="22" spans="1:13" s="448" customFormat="1" ht="15">
      <c r="A22" s="328" t="s">
        <v>990</v>
      </c>
      <c r="B22" s="467">
        <v>7612.401</v>
      </c>
      <c r="C22" s="467">
        <v>6046.32</v>
      </c>
      <c r="D22" s="121"/>
      <c r="E22" s="121"/>
      <c r="F22" s="121"/>
      <c r="G22" s="121"/>
      <c r="H22" s="121"/>
      <c r="I22" s="121"/>
      <c r="J22" s="121"/>
      <c r="K22" s="121"/>
      <c r="L22" s="121"/>
      <c r="M22" s="121"/>
    </row>
    <row r="23" spans="1:13" s="448" customFormat="1" ht="15">
      <c r="A23" s="328" t="s">
        <v>991</v>
      </c>
      <c r="B23" s="467">
        <v>54272.328</v>
      </c>
      <c r="C23" s="467">
        <v>47553.302</v>
      </c>
      <c r="D23" s="121"/>
      <c r="E23" s="121"/>
      <c r="F23" s="121"/>
      <c r="G23" s="121"/>
      <c r="H23" s="121"/>
      <c r="I23" s="121"/>
      <c r="J23" s="121"/>
      <c r="K23" s="121"/>
      <c r="L23" s="121"/>
      <c r="M23" s="121"/>
    </row>
    <row r="24" spans="1:13" s="448" customFormat="1" ht="15">
      <c r="A24" s="328" t="s">
        <v>992</v>
      </c>
      <c r="B24" s="467">
        <v>13321.018</v>
      </c>
      <c r="C24" s="467">
        <v>13142.518</v>
      </c>
      <c r="D24" s="121"/>
      <c r="E24" s="121"/>
      <c r="F24" s="121"/>
      <c r="G24" s="121"/>
      <c r="H24" s="121"/>
      <c r="I24" s="121"/>
      <c r="J24" s="121"/>
      <c r="K24" s="121"/>
      <c r="L24" s="121"/>
      <c r="M24" s="121"/>
    </row>
    <row r="25" spans="1:13" s="448" customFormat="1" ht="15">
      <c r="A25" s="328" t="s">
        <v>993</v>
      </c>
      <c r="B25" s="467">
        <v>8680.278</v>
      </c>
      <c r="C25" s="467">
        <v>8323.288</v>
      </c>
      <c r="D25" s="121"/>
      <c r="E25" s="121"/>
      <c r="F25" s="121"/>
      <c r="G25" s="121"/>
      <c r="H25" s="121"/>
      <c r="I25" s="121"/>
      <c r="J25" s="121"/>
      <c r="K25" s="121"/>
      <c r="L25" s="121"/>
      <c r="M25" s="121"/>
    </row>
    <row r="26" spans="1:13" s="448" customFormat="1" ht="15">
      <c r="A26" s="328" t="s">
        <v>994</v>
      </c>
      <c r="B26" s="467">
        <v>7277.681</v>
      </c>
      <c r="C26" s="467">
        <v>6773.681</v>
      </c>
      <c r="D26" s="121"/>
      <c r="E26" s="121"/>
      <c r="F26" s="121"/>
      <c r="G26" s="121"/>
      <c r="H26" s="121"/>
      <c r="I26" s="121"/>
      <c r="J26" s="121"/>
      <c r="K26" s="121"/>
      <c r="L26" s="121"/>
      <c r="M26" s="121"/>
    </row>
    <row r="27" spans="1:13" s="448" customFormat="1" ht="15">
      <c r="A27" s="328" t="s">
        <v>995</v>
      </c>
      <c r="B27" s="467">
        <v>9781.638</v>
      </c>
      <c r="C27" s="467">
        <v>21508.038</v>
      </c>
      <c r="D27" s="121"/>
      <c r="E27" s="121"/>
      <c r="F27" s="121"/>
      <c r="G27" s="121"/>
      <c r="H27" s="121"/>
      <c r="I27" s="121"/>
      <c r="J27" s="121"/>
      <c r="K27" s="121"/>
      <c r="L27" s="121"/>
      <c r="M27" s="121"/>
    </row>
    <row r="28" spans="1:13" s="448" customFormat="1" ht="15">
      <c r="A28" s="328" t="s">
        <v>996</v>
      </c>
      <c r="B28" s="467">
        <v>7192.784</v>
      </c>
      <c r="C28" s="467">
        <v>7192.784</v>
      </c>
      <c r="D28" s="121"/>
      <c r="E28" s="121"/>
      <c r="F28" s="121"/>
      <c r="G28" s="121"/>
      <c r="H28" s="121"/>
      <c r="I28" s="121"/>
      <c r="J28" s="121"/>
      <c r="K28" s="121"/>
      <c r="L28" s="121"/>
      <c r="M28" s="121"/>
    </row>
    <row r="29" spans="1:13" s="448" customFormat="1" ht="15">
      <c r="A29" s="328" t="s">
        <v>997</v>
      </c>
      <c r="B29" s="467">
        <v>4569.6</v>
      </c>
      <c r="C29" s="467">
        <v>4301.85</v>
      </c>
      <c r="D29" s="121"/>
      <c r="E29" s="121"/>
      <c r="F29" s="121"/>
      <c r="G29" s="121"/>
      <c r="H29" s="121"/>
      <c r="I29" s="121"/>
      <c r="J29" s="121"/>
      <c r="K29" s="121"/>
      <c r="L29" s="121"/>
      <c r="M29" s="121"/>
    </row>
    <row r="30" spans="1:13" s="448" customFormat="1" ht="15">
      <c r="A30" s="328" t="s">
        <v>998</v>
      </c>
      <c r="B30" s="467">
        <v>31987.202</v>
      </c>
      <c r="C30" s="467">
        <v>31808.702</v>
      </c>
      <c r="D30" s="121"/>
      <c r="E30" s="121"/>
      <c r="F30" s="121"/>
      <c r="G30" s="121"/>
      <c r="H30" s="121"/>
      <c r="I30" s="121"/>
      <c r="J30" s="121"/>
      <c r="K30" s="121"/>
      <c r="L30" s="121"/>
      <c r="M30" s="121"/>
    </row>
    <row r="31" spans="1:13" s="448" customFormat="1" ht="15">
      <c r="A31" s="328" t="s">
        <v>1000</v>
      </c>
      <c r="B31" s="467">
        <v>10242.75</v>
      </c>
      <c r="C31" s="467">
        <v>10242.75</v>
      </c>
      <c r="D31" s="121"/>
      <c r="E31" s="121"/>
      <c r="F31" s="121"/>
      <c r="G31" s="121"/>
      <c r="H31" s="121"/>
      <c r="I31" s="121"/>
      <c r="J31" s="121"/>
      <c r="K31" s="121"/>
      <c r="L31" s="121"/>
      <c r="M31" s="121"/>
    </row>
    <row r="32" spans="1:13" s="448" customFormat="1" ht="15">
      <c r="A32" s="328" t="s">
        <v>999</v>
      </c>
      <c r="B32" s="467">
        <v>11944.479</v>
      </c>
      <c r="C32" s="467">
        <v>11051.979</v>
      </c>
      <c r="D32" s="121"/>
      <c r="E32" s="121"/>
      <c r="F32" s="121"/>
      <c r="G32" s="121"/>
      <c r="H32" s="121"/>
      <c r="I32" s="121"/>
      <c r="J32" s="121"/>
      <c r="K32" s="121"/>
      <c r="L32" s="121"/>
      <c r="M32" s="121"/>
    </row>
    <row r="33" spans="1:13" s="448" customFormat="1" ht="15">
      <c r="A33" s="328" t="s">
        <v>1001</v>
      </c>
      <c r="B33" s="467">
        <v>119953.826</v>
      </c>
      <c r="C33" s="467">
        <v>91082.826</v>
      </c>
      <c r="D33" s="121"/>
      <c r="E33" s="121"/>
      <c r="F33" s="121"/>
      <c r="G33" s="121"/>
      <c r="H33" s="121"/>
      <c r="I33" s="121"/>
      <c r="J33" s="121"/>
      <c r="K33" s="121"/>
      <c r="L33" s="121"/>
      <c r="M33" s="121"/>
    </row>
    <row r="34" spans="1:13" s="448" customFormat="1" ht="15">
      <c r="A34" s="328" t="s">
        <v>1006</v>
      </c>
      <c r="B34" s="467">
        <v>4150</v>
      </c>
      <c r="C34" s="467">
        <v>4150</v>
      </c>
      <c r="D34" s="121"/>
      <c r="E34" s="121"/>
      <c r="F34" s="121"/>
      <c r="G34" s="121"/>
      <c r="H34" s="121"/>
      <c r="I34" s="121"/>
      <c r="J34" s="121"/>
      <c r="K34" s="121"/>
      <c r="L34" s="121"/>
      <c r="M34" s="121"/>
    </row>
    <row r="35" spans="1:13" s="448" customFormat="1" ht="15">
      <c r="A35" s="328" t="s">
        <v>1002</v>
      </c>
      <c r="B35" s="467">
        <v>586</v>
      </c>
      <c r="C35" s="467">
        <v>586</v>
      </c>
      <c r="D35" s="121"/>
      <c r="E35" s="121"/>
      <c r="F35" s="121"/>
      <c r="G35" s="121"/>
      <c r="H35" s="121"/>
      <c r="I35" s="121"/>
      <c r="J35" s="121"/>
      <c r="K35" s="121"/>
      <c r="L35" s="121"/>
      <c r="M35" s="121"/>
    </row>
    <row r="36" spans="1:13" s="448" customFormat="1" ht="15">
      <c r="A36" s="328" t="s">
        <v>1003</v>
      </c>
      <c r="B36" s="467">
        <v>4642</v>
      </c>
      <c r="C36" s="467">
        <v>1742</v>
      </c>
      <c r="D36" s="121"/>
      <c r="E36" s="121"/>
      <c r="F36" s="121"/>
      <c r="G36" s="121"/>
      <c r="H36" s="121"/>
      <c r="I36" s="121"/>
      <c r="J36" s="121"/>
      <c r="K36" s="121"/>
      <c r="L36" s="121"/>
      <c r="M36" s="121"/>
    </row>
    <row r="37" spans="1:13" s="448" customFormat="1" ht="15">
      <c r="A37" s="328" t="s">
        <v>1004</v>
      </c>
      <c r="B37" s="467">
        <v>978.907</v>
      </c>
      <c r="C37" s="467">
        <v>978.907</v>
      </c>
      <c r="D37" s="121"/>
      <c r="E37" s="121"/>
      <c r="F37" s="121"/>
      <c r="G37" s="121"/>
      <c r="H37" s="121"/>
      <c r="I37" s="121"/>
      <c r="J37" s="121"/>
      <c r="K37" s="121"/>
      <c r="L37" s="121"/>
      <c r="M37" s="121"/>
    </row>
    <row r="38" spans="1:13" s="690" customFormat="1" ht="15">
      <c r="A38" s="328" t="s">
        <v>1277</v>
      </c>
      <c r="B38" s="467">
        <v>297</v>
      </c>
      <c r="C38" s="467">
        <v>0</v>
      </c>
      <c r="D38" s="121"/>
      <c r="E38" s="121"/>
      <c r="F38" s="121"/>
      <c r="G38" s="121"/>
      <c r="H38" s="121"/>
      <c r="I38" s="121"/>
      <c r="J38" s="121"/>
      <c r="K38" s="121"/>
      <c r="L38" s="121"/>
      <c r="M38" s="121"/>
    </row>
    <row r="39" spans="1:13" s="448" customFormat="1" ht="15">
      <c r="A39" s="328" t="s">
        <v>1005</v>
      </c>
      <c r="B39" s="467">
        <v>543</v>
      </c>
      <c r="C39" s="467">
        <v>543</v>
      </c>
      <c r="D39" s="121"/>
      <c r="E39" s="121"/>
      <c r="F39" s="121"/>
      <c r="G39" s="121"/>
      <c r="H39" s="121"/>
      <c r="I39" s="121"/>
      <c r="J39" s="121"/>
      <c r="K39" s="121"/>
      <c r="L39" s="121"/>
      <c r="M39" s="121"/>
    </row>
    <row r="40" spans="1:3" ht="15">
      <c r="A40" s="121" t="s">
        <v>335</v>
      </c>
      <c r="B40" s="467"/>
      <c r="C40" s="467"/>
    </row>
    <row r="41" spans="1:3" ht="15">
      <c r="A41" s="121" t="s">
        <v>3</v>
      </c>
      <c r="B41" s="474">
        <f>SUM($B$9:B40)</f>
        <v>609431.367</v>
      </c>
      <c r="C41" s="474">
        <f>SUM($C$9:C40)</f>
        <v>326107.461</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G48"/>
  <sheetViews>
    <sheetView showGridLines="0" zoomScalePageLayoutView="0" workbookViewId="0" topLeftCell="A40">
      <selection activeCell="B47" sqref="B47:C48"/>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NEGOFIN S.A.E.C.A.</v>
      </c>
      <c r="D1" s="141" t="s">
        <v>132</v>
      </c>
    </row>
    <row r="3" spans="1:3" ht="15">
      <c r="A3" s="305" t="s">
        <v>336</v>
      </c>
      <c r="B3" s="305"/>
      <c r="C3" s="305"/>
    </row>
    <row r="4" spans="1:2" ht="15">
      <c r="A4" s="900" t="s">
        <v>313</v>
      </c>
      <c r="B4" s="900"/>
    </row>
    <row r="5" spans="1:7" ht="15">
      <c r="A5" s="10"/>
      <c r="E5" s="10"/>
      <c r="F5" s="293"/>
      <c r="G5" s="293"/>
    </row>
    <row r="6" spans="1:7" ht="15">
      <c r="A6" s="20" t="s">
        <v>65</v>
      </c>
      <c r="B6" s="392">
        <f>_xlfn.IFERROR(IF(Indice!B6="","2XX2",YEAR(Indice!B6)),"2XX2")</f>
        <v>2021</v>
      </c>
      <c r="C6" s="392">
        <f>_xlfn.IFERROR(YEAR(Indice!B6-365),"2XX1")</f>
        <v>2020</v>
      </c>
      <c r="E6" s="20" t="s">
        <v>838</v>
      </c>
      <c r="F6" s="392">
        <f>_xlfn.IFERROR(IF(Indice!B6="","2XX2",YEAR(Indice!B6)),"2XX2")</f>
        <v>2021</v>
      </c>
      <c r="G6" s="392">
        <f>_xlfn.IFERROR(YEAR(Indice!B6-365),"2XX1")</f>
        <v>2020</v>
      </c>
    </row>
    <row r="7" spans="1:7" ht="15">
      <c r="A7" s="10" t="s">
        <v>144</v>
      </c>
      <c r="B7" s="457">
        <v>3701.559</v>
      </c>
      <c r="C7" s="457">
        <v>8782.362</v>
      </c>
      <c r="E7" s="10" t="s">
        <v>144</v>
      </c>
      <c r="F7" s="457">
        <v>0</v>
      </c>
      <c r="G7" s="457">
        <v>0</v>
      </c>
    </row>
    <row r="8" spans="1:7" ht="15">
      <c r="A8" s="21" t="s">
        <v>20</v>
      </c>
      <c r="B8" s="470">
        <v>5552.307</v>
      </c>
      <c r="C8" s="471">
        <v>13173.532</v>
      </c>
      <c r="E8" s="21" t="s">
        <v>20</v>
      </c>
      <c r="F8" s="457">
        <v>0</v>
      </c>
      <c r="G8" s="457">
        <v>0</v>
      </c>
    </row>
    <row r="9" spans="1:7" ht="15">
      <c r="A9" s="21" t="s">
        <v>1279</v>
      </c>
      <c r="B9" s="470">
        <v>0</v>
      </c>
      <c r="C9" s="471">
        <v>468450</v>
      </c>
      <c r="E9" s="21" t="s">
        <v>21</v>
      </c>
      <c r="F9" s="457">
        <v>0</v>
      </c>
      <c r="G9" s="457">
        <v>0</v>
      </c>
    </row>
    <row r="10" spans="1:7" ht="15">
      <c r="A10" s="21" t="s">
        <v>146</v>
      </c>
      <c r="B10" s="470">
        <v>0</v>
      </c>
      <c r="C10" s="471">
        <v>0</v>
      </c>
      <c r="E10" s="21" t="s">
        <v>147</v>
      </c>
      <c r="F10" s="457">
        <v>0</v>
      </c>
      <c r="G10" s="457">
        <v>0</v>
      </c>
    </row>
    <row r="11" spans="1:7" ht="15">
      <c r="A11" s="10" t="s">
        <v>848</v>
      </c>
      <c r="B11" s="470">
        <v>0</v>
      </c>
      <c r="C11" s="471">
        <v>0</v>
      </c>
      <c r="E11" s="10" t="s">
        <v>848</v>
      </c>
      <c r="F11" s="457">
        <v>0</v>
      </c>
      <c r="G11" s="457">
        <v>0</v>
      </c>
    </row>
    <row r="12" spans="1:7" ht="15">
      <c r="A12" s="10" t="s">
        <v>1007</v>
      </c>
      <c r="B12" s="470"/>
      <c r="C12" s="471">
        <v>117.291</v>
      </c>
      <c r="E12" s="10" t="s">
        <v>145</v>
      </c>
      <c r="F12" s="457">
        <v>0</v>
      </c>
      <c r="G12" s="457">
        <v>0</v>
      </c>
    </row>
    <row r="13" spans="1:7" ht="15">
      <c r="A13" s="10" t="s">
        <v>1008</v>
      </c>
      <c r="B13" s="470">
        <v>88210.294</v>
      </c>
      <c r="C13" s="471">
        <v>39110.289</v>
      </c>
      <c r="E13" s="308" t="s">
        <v>66</v>
      </c>
      <c r="F13" s="457">
        <v>0</v>
      </c>
      <c r="G13" s="457">
        <v>0</v>
      </c>
    </row>
    <row r="14" spans="1:7" s="24" customFormat="1" ht="15.75" thickBot="1">
      <c r="A14" s="10" t="s">
        <v>1009</v>
      </c>
      <c r="B14" s="470">
        <v>292977.622</v>
      </c>
      <c r="C14" s="471">
        <v>138165.393</v>
      </c>
      <c r="E14" s="23" t="s">
        <v>18</v>
      </c>
      <c r="F14" s="472">
        <f>SUM(F8:F13)</f>
        <v>0</v>
      </c>
      <c r="G14" s="473">
        <f>SUM(G8:G13)</f>
        <v>0</v>
      </c>
    </row>
    <row r="15" spans="1:3" s="24" customFormat="1" ht="15.75" thickTop="1">
      <c r="A15" s="10" t="s">
        <v>1010</v>
      </c>
      <c r="B15" s="470">
        <v>30246.127</v>
      </c>
      <c r="C15" s="471">
        <v>8454.024</v>
      </c>
    </row>
    <row r="16" spans="1:7" ht="15">
      <c r="A16" s="10" t="s">
        <v>1011</v>
      </c>
      <c r="B16" s="470">
        <v>3983</v>
      </c>
      <c r="C16" s="471">
        <v>3983</v>
      </c>
      <c r="E16" s="23"/>
      <c r="F16" s="10"/>
      <c r="G16" s="16"/>
    </row>
    <row r="17" spans="1:3" ht="15">
      <c r="A17" s="10" t="s">
        <v>1001</v>
      </c>
      <c r="B17" s="470">
        <v>114251.751</v>
      </c>
      <c r="C17" s="471">
        <v>301344.268</v>
      </c>
    </row>
    <row r="18" spans="1:3" ht="15">
      <c r="A18" s="10" t="s">
        <v>1016</v>
      </c>
      <c r="B18" s="470">
        <v>176809.359</v>
      </c>
      <c r="C18" s="471">
        <v>237639.131</v>
      </c>
    </row>
    <row r="19" spans="1:3" ht="15">
      <c r="A19" s="10" t="s">
        <v>1017</v>
      </c>
      <c r="B19" s="470">
        <v>58657.462</v>
      </c>
      <c r="C19" s="471">
        <v>15303.761</v>
      </c>
    </row>
    <row r="20" spans="1:3" ht="15">
      <c r="A20" s="10" t="s">
        <v>1003</v>
      </c>
      <c r="B20" s="470">
        <v>146556.74</v>
      </c>
      <c r="C20" s="471">
        <v>170789.57</v>
      </c>
    </row>
    <row r="21" spans="1:3" ht="15">
      <c r="A21" s="10" t="s">
        <v>1018</v>
      </c>
      <c r="B21" s="470">
        <v>91240.431</v>
      </c>
      <c r="C21" s="471">
        <v>102660.658</v>
      </c>
    </row>
    <row r="22" spans="1:3" ht="15">
      <c r="A22" s="10" t="s">
        <v>1019</v>
      </c>
      <c r="B22" s="470">
        <v>132980.031</v>
      </c>
      <c r="C22" s="471">
        <v>179153.207</v>
      </c>
    </row>
    <row r="23" spans="1:3" ht="15">
      <c r="A23" s="10" t="s">
        <v>1006</v>
      </c>
      <c r="B23" s="470">
        <v>311722.465</v>
      </c>
      <c r="C23" s="471">
        <v>208313.234</v>
      </c>
    </row>
    <row r="24" spans="1:3" ht="15">
      <c r="A24" s="10" t="s">
        <v>1004</v>
      </c>
      <c r="B24" s="470">
        <v>47344.415</v>
      </c>
      <c r="C24" s="471">
        <v>32493.611</v>
      </c>
    </row>
    <row r="25" spans="1:3" ht="15">
      <c r="A25" s="10" t="s">
        <v>1020</v>
      </c>
      <c r="B25" s="470">
        <v>26863.793</v>
      </c>
      <c r="C25" s="471">
        <v>15603.793</v>
      </c>
    </row>
    <row r="26" spans="1:3" ht="15">
      <c r="A26" s="10" t="s">
        <v>1021</v>
      </c>
      <c r="B26" s="470">
        <v>22246.4</v>
      </c>
      <c r="C26" s="471">
        <v>21353.9</v>
      </c>
    </row>
    <row r="27" spans="1:3" ht="15">
      <c r="A27" s="10" t="s">
        <v>1022</v>
      </c>
      <c r="B27" s="470">
        <v>4606.5</v>
      </c>
      <c r="C27" s="471">
        <v>4606.5</v>
      </c>
    </row>
    <row r="28" spans="1:3" s="448" customFormat="1" ht="15">
      <c r="A28" s="10" t="s">
        <v>1023</v>
      </c>
      <c r="B28" s="470">
        <v>3735</v>
      </c>
      <c r="C28" s="471">
        <v>3735</v>
      </c>
    </row>
    <row r="29" spans="1:3" s="448" customFormat="1" ht="15">
      <c r="A29" s="10" t="s">
        <v>1034</v>
      </c>
      <c r="B29" s="470">
        <v>357</v>
      </c>
      <c r="C29" s="471">
        <v>357</v>
      </c>
    </row>
    <row r="30" spans="1:3" s="448" customFormat="1" ht="15">
      <c r="A30" s="10" t="s">
        <v>1024</v>
      </c>
      <c r="B30" s="470">
        <v>7092.943</v>
      </c>
      <c r="C30" s="471">
        <v>178.5</v>
      </c>
    </row>
    <row r="31" spans="1:3" s="448" customFormat="1" ht="15">
      <c r="A31" s="10" t="s">
        <v>1025</v>
      </c>
      <c r="B31" s="470">
        <v>7782.5</v>
      </c>
      <c r="C31" s="471">
        <v>5892.5</v>
      </c>
    </row>
    <row r="32" spans="1:3" s="448" customFormat="1" ht="15">
      <c r="A32" s="10" t="s">
        <v>1026</v>
      </c>
      <c r="B32" s="470">
        <v>535.5</v>
      </c>
      <c r="C32" s="471">
        <v>535.5</v>
      </c>
    </row>
    <row r="33" spans="1:3" s="448" customFormat="1" ht="15">
      <c r="A33" s="10" t="s">
        <v>1005</v>
      </c>
      <c r="B33" s="470">
        <v>236768.109</v>
      </c>
      <c r="C33" s="471">
        <v>179472.323</v>
      </c>
    </row>
    <row r="34" spans="1:3" s="448" customFormat="1" ht="15">
      <c r="A34" s="10" t="s">
        <v>1027</v>
      </c>
      <c r="B34" s="470">
        <v>68792.168</v>
      </c>
      <c r="C34" s="471">
        <v>161876.571</v>
      </c>
    </row>
    <row r="35" spans="1:3" s="448" customFormat="1" ht="15">
      <c r="A35" s="10" t="s">
        <v>1028</v>
      </c>
      <c r="B35" s="470">
        <v>16351.478</v>
      </c>
      <c r="C35" s="471">
        <v>50091.753</v>
      </c>
    </row>
    <row r="36" spans="1:3" s="448" customFormat="1" ht="15">
      <c r="A36" s="10" t="s">
        <v>1029</v>
      </c>
      <c r="B36" s="470">
        <v>61341.142</v>
      </c>
      <c r="C36" s="471">
        <v>46027.91</v>
      </c>
    </row>
    <row r="37" spans="1:3" s="690" customFormat="1" ht="15">
      <c r="A37" s="10" t="s">
        <v>1278</v>
      </c>
      <c r="B37" s="470">
        <v>0</v>
      </c>
      <c r="C37" s="471">
        <v>0</v>
      </c>
    </row>
    <row r="38" spans="1:3" s="448" customFormat="1" ht="15">
      <c r="A38" s="10" t="s">
        <v>1030</v>
      </c>
      <c r="B38" s="470">
        <v>0</v>
      </c>
      <c r="C38" s="471">
        <v>11688.892</v>
      </c>
    </row>
    <row r="39" spans="1:3" s="448" customFormat="1" ht="15">
      <c r="A39" s="10" t="s">
        <v>1031</v>
      </c>
      <c r="B39" s="470">
        <v>0</v>
      </c>
      <c r="C39" s="471">
        <v>11589.083</v>
      </c>
    </row>
    <row r="40" spans="1:3" s="448" customFormat="1" ht="15">
      <c r="A40" s="10" t="s">
        <v>1321</v>
      </c>
      <c r="B40" s="470">
        <v>0</v>
      </c>
      <c r="C40" s="471">
        <v>35640.41</v>
      </c>
    </row>
    <row r="41" spans="1:3" s="448" customFormat="1" ht="15">
      <c r="A41" s="10" t="s">
        <v>1035</v>
      </c>
      <c r="B41" s="470">
        <v>0</v>
      </c>
      <c r="C41" s="471">
        <v>0</v>
      </c>
    </row>
    <row r="42" spans="1:3" s="448" customFormat="1" ht="15">
      <c r="A42" s="10" t="s">
        <v>1032</v>
      </c>
      <c r="B42" s="470">
        <v>3202.5</v>
      </c>
      <c r="C42" s="471">
        <v>0</v>
      </c>
    </row>
    <row r="43" spans="1:3" s="448" customFormat="1" ht="15">
      <c r="A43" s="10" t="s">
        <v>1033</v>
      </c>
      <c r="B43" s="470">
        <v>0</v>
      </c>
      <c r="C43" s="471">
        <v>4574.175</v>
      </c>
    </row>
    <row r="44" spans="1:3" ht="15">
      <c r="A44" s="10" t="s">
        <v>145</v>
      </c>
      <c r="B44" s="470"/>
      <c r="C44" s="471"/>
    </row>
    <row r="45" spans="1:3" ht="15">
      <c r="A45" s="308" t="s">
        <v>66</v>
      </c>
      <c r="B45" s="470"/>
      <c r="C45" s="471"/>
    </row>
    <row r="46" spans="1:3" ht="15.75" thickBot="1">
      <c r="A46" s="23" t="s">
        <v>18</v>
      </c>
      <c r="B46" s="472">
        <f>SUM(B7:B45)</f>
        <v>1963908.596</v>
      </c>
      <c r="C46" s="473">
        <f>SUM(C7:C45)</f>
        <v>2481157.1410000003</v>
      </c>
    </row>
    <row r="47" spans="1:3" ht="15.75" thickTop="1">
      <c r="A47" s="23"/>
      <c r="B47" s="766"/>
      <c r="C47" s="767"/>
    </row>
    <row r="48" spans="1:3" ht="15">
      <c r="A48" s="762"/>
      <c r="B48" s="456"/>
      <c r="C48" s="456"/>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B7" sqref="B7"/>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NEGOFIN S.A.E.C.A.</v>
      </c>
      <c r="D1" s="141" t="s">
        <v>132</v>
      </c>
    </row>
    <row r="4" spans="1:12" ht="15">
      <c r="A4" s="901" t="s">
        <v>338</v>
      </c>
      <c r="B4" s="901"/>
      <c r="C4" s="901"/>
      <c r="D4" s="901"/>
      <c r="E4" s="248"/>
      <c r="F4" s="248"/>
      <c r="G4" s="248"/>
      <c r="H4" s="248"/>
      <c r="I4" s="248"/>
      <c r="J4" s="248"/>
      <c r="K4" s="248"/>
      <c r="L4" s="248"/>
    </row>
    <row r="5" spans="5:12" ht="15">
      <c r="E5" s="49"/>
      <c r="F5" s="49"/>
      <c r="G5" s="49"/>
      <c r="H5" s="49"/>
      <c r="I5" s="49"/>
      <c r="J5" s="49"/>
      <c r="K5" s="49"/>
      <c r="L5" s="49"/>
    </row>
    <row r="6" spans="1:12" s="292" customFormat="1" ht="15">
      <c r="A6" s="292" t="s">
        <v>852</v>
      </c>
      <c r="B6" s="392">
        <f>_xlfn.IFERROR(IF(Indice!B6="","2XX2",YEAR(Indice!B6)),"2XX2")</f>
        <v>2021</v>
      </c>
      <c r="C6" s="392">
        <f>_xlfn.IFERROR(YEAR(Indice!B6-365),"2XX1")</f>
        <v>2020</v>
      </c>
      <c r="E6" s="49"/>
      <c r="F6" s="49"/>
      <c r="G6" s="49"/>
      <c r="H6" s="49"/>
      <c r="I6" s="49"/>
      <c r="J6" s="49"/>
      <c r="K6" s="49"/>
      <c r="L6" s="49"/>
    </row>
    <row r="7" spans="1:12" s="292" customFormat="1" ht="15">
      <c r="A7" s="292" t="s">
        <v>853</v>
      </c>
      <c r="B7" s="456">
        <v>150000000</v>
      </c>
      <c r="C7" s="456">
        <v>150000000</v>
      </c>
      <c r="E7" s="49"/>
      <c r="F7" s="49"/>
      <c r="G7" s="49"/>
      <c r="H7" s="49"/>
      <c r="I7" s="49"/>
      <c r="J7" s="49"/>
      <c r="K7" s="49"/>
      <c r="L7" s="49"/>
    </row>
    <row r="8" spans="1:12" s="292" customFormat="1" ht="15">
      <c r="A8" s="292" t="s">
        <v>856</v>
      </c>
      <c r="B8" s="456">
        <v>134682000</v>
      </c>
      <c r="C8" s="456">
        <v>120000000</v>
      </c>
      <c r="E8" s="49"/>
      <c r="F8" s="49"/>
      <c r="G8" s="49"/>
      <c r="H8" s="49"/>
      <c r="I8" s="49"/>
      <c r="J8" s="49"/>
      <c r="K8" s="49"/>
      <c r="L8" s="49"/>
    </row>
    <row r="9" spans="1:12" s="448" customFormat="1" ht="15">
      <c r="A9" s="448" t="s">
        <v>1036</v>
      </c>
      <c r="B9" s="456">
        <v>884126</v>
      </c>
      <c r="C9" s="456">
        <v>884126</v>
      </c>
      <c r="E9" s="49"/>
      <c r="F9" s="49"/>
      <c r="G9" s="49"/>
      <c r="H9" s="49"/>
      <c r="I9" s="49"/>
      <c r="J9" s="49"/>
      <c r="K9" s="49"/>
      <c r="L9" s="49"/>
    </row>
    <row r="10" spans="1:12" s="762" customFormat="1" ht="15">
      <c r="A10" s="762" t="s">
        <v>1322</v>
      </c>
      <c r="B10" s="456">
        <v>53611.35</v>
      </c>
      <c r="C10" s="456">
        <v>0</v>
      </c>
      <c r="E10" s="49"/>
      <c r="F10" s="49"/>
      <c r="G10" s="49"/>
      <c r="H10" s="49"/>
      <c r="I10" s="49"/>
      <c r="J10" s="49"/>
      <c r="K10" s="49"/>
      <c r="L10" s="49"/>
    </row>
    <row r="11" spans="1:12" s="292" customFormat="1" ht="15">
      <c r="A11" s="49" t="s">
        <v>855</v>
      </c>
      <c r="B11" s="501">
        <v>134682</v>
      </c>
      <c r="C11" s="456">
        <v>120000</v>
      </c>
      <c r="E11" s="49"/>
      <c r="F11" s="49"/>
      <c r="G11" s="49"/>
      <c r="H11" s="49"/>
      <c r="I11" s="49"/>
      <c r="J11" s="49"/>
      <c r="K11" s="49"/>
      <c r="L11" s="49"/>
    </row>
    <row r="12" spans="1:12" s="292" customFormat="1" ht="15">
      <c r="A12" s="801" t="s">
        <v>854</v>
      </c>
      <c r="B12" s="802">
        <v>1000</v>
      </c>
      <c r="C12" s="509">
        <v>1000</v>
      </c>
      <c r="E12" s="49"/>
      <c r="F12" s="49"/>
      <c r="G12" s="49"/>
      <c r="H12" s="49"/>
      <c r="I12" s="49"/>
      <c r="J12" s="49"/>
      <c r="K12" s="49"/>
      <c r="L12" s="49"/>
    </row>
    <row r="13" spans="1:3" ht="15">
      <c r="A13" t="s">
        <v>3</v>
      </c>
      <c r="B13" s="456">
        <f>+B8+B9++B10</f>
        <v>135619737.35</v>
      </c>
      <c r="C13" s="456">
        <f>+C8+C9</f>
        <v>120884126</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F8"/>
  <sheetViews>
    <sheetView zoomScalePageLayoutView="0" workbookViewId="0" topLeftCell="A1">
      <selection activeCell="D2" sqref="D2"/>
    </sheetView>
  </sheetViews>
  <sheetFormatPr defaultColWidth="11.421875" defaultRowHeight="15"/>
  <cols>
    <col min="1" max="1" width="34.421875" style="24" customWidth="1"/>
    <col min="2" max="3" width="19.00390625" style="24" customWidth="1"/>
    <col min="4" max="25" width="11.421875" style="24" customWidth="1"/>
  </cols>
  <sheetData>
    <row r="1" spans="1:6" ht="15">
      <c r="A1" s="24" t="str">
        <f>Indice!C1</f>
        <v>NEGOFIN S.A.E.C.A.</v>
      </c>
      <c r="F1" s="146" t="s">
        <v>132</v>
      </c>
    </row>
    <row r="4" spans="1:6" ht="15">
      <c r="A4" s="305" t="s">
        <v>339</v>
      </c>
      <c r="B4" s="305"/>
      <c r="C4" s="305"/>
      <c r="D4" s="305"/>
      <c r="E4" s="248"/>
      <c r="F4" s="249"/>
    </row>
    <row r="6" spans="2:3" ht="15">
      <c r="B6" s="890" t="s">
        <v>313</v>
      </c>
      <c r="C6" s="890"/>
    </row>
    <row r="7" spans="2:3" ht="15">
      <c r="B7" s="392">
        <f>_xlfn.IFERROR(IF(Indice!B6="","2XX2",YEAR(Indice!B6)),"2XX2")</f>
        <v>2021</v>
      </c>
      <c r="C7" s="392">
        <f>+_xlfn.IFERROR(YEAR(Indice!B6-365),"2XX1")</f>
        <v>2020</v>
      </c>
    </row>
    <row r="8" ht="15">
      <c r="A8" s="147" t="s">
        <v>70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O22"/>
  <sheetViews>
    <sheetView zoomScalePageLayoutView="0" workbookViewId="0" topLeftCell="A10">
      <selection activeCell="G21" sqref="G21"/>
    </sheetView>
  </sheetViews>
  <sheetFormatPr defaultColWidth="11.421875" defaultRowHeight="15"/>
  <cols>
    <col min="1" max="1" width="24.8515625" style="121" customWidth="1"/>
    <col min="2" max="2" width="18.57421875" style="121" customWidth="1"/>
    <col min="3" max="3" width="16.7109375" style="121" customWidth="1"/>
    <col min="4" max="15" width="11.421875" style="121" customWidth="1"/>
  </cols>
  <sheetData>
    <row r="1" spans="1:6" ht="15">
      <c r="A1" s="121" t="str">
        <f>Indice!C1</f>
        <v>NEGOFIN S.A.E.C.A.</v>
      </c>
      <c r="F1" s="142" t="s">
        <v>132</v>
      </c>
    </row>
    <row r="3" spans="10:11" ht="15">
      <c r="J3" s="24"/>
      <c r="K3" s="24"/>
    </row>
    <row r="4" spans="1:13" ht="15">
      <c r="A4" s="894" t="s">
        <v>340</v>
      </c>
      <c r="B4" s="894"/>
      <c r="C4" s="894"/>
      <c r="D4" s="894"/>
      <c r="E4" s="894"/>
      <c r="F4" s="894"/>
      <c r="G4" s="145"/>
      <c r="H4" s="145"/>
      <c r="I4" s="145"/>
      <c r="J4" s="24"/>
      <c r="K4" s="24"/>
      <c r="L4" s="145"/>
      <c r="M4" s="145"/>
    </row>
    <row r="5" spans="10:11" ht="15">
      <c r="J5" s="24"/>
      <c r="K5" s="24"/>
    </row>
    <row r="6" spans="2:3" ht="15">
      <c r="B6" s="890" t="s">
        <v>313</v>
      </c>
      <c r="C6" s="890"/>
    </row>
    <row r="7" spans="2:3" ht="15">
      <c r="B7" s="392">
        <f>_xlfn.IFERROR(IF(Indice!B6="","2XX2",YEAR(Indice!B6)),"2XX2")</f>
        <v>2021</v>
      </c>
      <c r="C7" s="392">
        <f>_xlfn.IFERROR(YEAR(Indice!B6-365),"2XX1")</f>
        <v>2020</v>
      </c>
    </row>
    <row r="8" spans="1:3" ht="15">
      <c r="A8" s="330" t="s">
        <v>149</v>
      </c>
      <c r="B8" s="701">
        <v>1330629.258</v>
      </c>
      <c r="C8" s="701">
        <v>1334216.8</v>
      </c>
    </row>
    <row r="9" spans="1:15" s="292" customFormat="1" ht="15">
      <c r="A9" s="126"/>
      <c r="B9" s="121"/>
      <c r="C9" s="121"/>
      <c r="D9" s="121"/>
      <c r="E9" s="121"/>
      <c r="F9" s="121"/>
      <c r="G9" s="121"/>
      <c r="H9" s="121"/>
      <c r="I9" s="121"/>
      <c r="J9" s="121"/>
      <c r="K9" s="121"/>
      <c r="L9" s="121"/>
      <c r="M9" s="121"/>
      <c r="N9" s="121"/>
      <c r="O9" s="121"/>
    </row>
    <row r="10" spans="1:15" s="292" customFormat="1" ht="15">
      <c r="A10" s="126"/>
      <c r="B10" s="121"/>
      <c r="C10" s="121"/>
      <c r="D10" s="121"/>
      <c r="E10" s="121"/>
      <c r="F10" s="121"/>
      <c r="G10" s="121"/>
      <c r="H10" s="121"/>
      <c r="I10" s="121"/>
      <c r="J10" s="121"/>
      <c r="K10" s="121"/>
      <c r="L10" s="121"/>
      <c r="M10" s="121"/>
      <c r="N10" s="121"/>
      <c r="O10" s="121"/>
    </row>
    <row r="11" spans="1:15" s="292" customFormat="1" ht="15">
      <c r="A11" s="126"/>
      <c r="B11" s="121"/>
      <c r="C11" s="121"/>
      <c r="D11" s="121"/>
      <c r="E11" s="121"/>
      <c r="F11" s="121"/>
      <c r="G11" s="121"/>
      <c r="H11" s="121"/>
      <c r="I11" s="121"/>
      <c r="J11" s="121"/>
      <c r="K11" s="121"/>
      <c r="L11" s="121"/>
      <c r="M11" s="121"/>
      <c r="N11" s="121"/>
      <c r="O11" s="121"/>
    </row>
    <row r="12" spans="1:3" ht="15">
      <c r="A12" s="330" t="s">
        <v>150</v>
      </c>
      <c r="B12" s="701">
        <v>14286409.379</v>
      </c>
      <c r="C12" s="701">
        <v>12704334.252</v>
      </c>
    </row>
    <row r="13" spans="1:15" s="292" customFormat="1" ht="15">
      <c r="A13" s="126"/>
      <c r="B13" s="121"/>
      <c r="C13" s="121"/>
      <c r="D13" s="121"/>
      <c r="E13" s="121"/>
      <c r="F13" s="121"/>
      <c r="G13" s="121"/>
      <c r="H13" s="121"/>
      <c r="I13" s="121"/>
      <c r="J13" s="121"/>
      <c r="K13" s="121"/>
      <c r="L13" s="121"/>
      <c r="M13" s="121"/>
      <c r="N13" s="121"/>
      <c r="O13" s="121"/>
    </row>
    <row r="14" spans="1:15" s="292" customFormat="1" ht="15">
      <c r="A14" s="126"/>
      <c r="B14" s="121"/>
      <c r="C14" s="121"/>
      <c r="D14" s="121"/>
      <c r="E14" s="121"/>
      <c r="F14" s="121"/>
      <c r="G14" s="121"/>
      <c r="H14" s="121"/>
      <c r="I14" s="121"/>
      <c r="J14" s="121"/>
      <c r="K14" s="121"/>
      <c r="L14" s="121"/>
      <c r="M14" s="121"/>
      <c r="N14" s="121"/>
      <c r="O14" s="121"/>
    </row>
    <row r="15" spans="1:15" s="292" customFormat="1" ht="15">
      <c r="A15" s="126"/>
      <c r="B15" s="121"/>
      <c r="C15" s="121"/>
      <c r="D15" s="121"/>
      <c r="E15" s="121"/>
      <c r="F15" s="121"/>
      <c r="G15" s="121"/>
      <c r="H15" s="121"/>
      <c r="I15" s="121"/>
      <c r="J15" s="121"/>
      <c r="K15" s="121"/>
      <c r="L15" s="121"/>
      <c r="M15" s="121"/>
      <c r="N15" s="121"/>
      <c r="O15" s="121"/>
    </row>
    <row r="16" spans="1:3" ht="15">
      <c r="A16" s="330" t="s">
        <v>151</v>
      </c>
      <c r="B16" s="701"/>
      <c r="C16" s="701"/>
    </row>
    <row r="17" spans="1:15" s="292" customFormat="1" ht="15">
      <c r="A17" s="126"/>
      <c r="B17" s="121"/>
      <c r="C17" s="121"/>
      <c r="D17" s="121"/>
      <c r="E17" s="121"/>
      <c r="F17" s="121"/>
      <c r="G17" s="121"/>
      <c r="H17" s="121"/>
      <c r="I17" s="121"/>
      <c r="J17" s="121"/>
      <c r="K17" s="121"/>
      <c r="L17" s="121"/>
      <c r="M17" s="121"/>
      <c r="N17" s="121"/>
      <c r="O17" s="121"/>
    </row>
    <row r="18" spans="1:15" s="292" customFormat="1" ht="15">
      <c r="A18" s="126"/>
      <c r="B18" s="121"/>
      <c r="C18" s="121"/>
      <c r="D18" s="121"/>
      <c r="E18" s="121"/>
      <c r="F18" s="121"/>
      <c r="G18" s="121"/>
      <c r="H18" s="121"/>
      <c r="I18" s="121"/>
      <c r="J18" s="121"/>
      <c r="K18" s="121"/>
      <c r="L18" s="121"/>
      <c r="M18" s="121"/>
      <c r="N18" s="121"/>
      <c r="O18" s="121"/>
    </row>
    <row r="19" spans="1:15" s="292" customFormat="1" ht="15">
      <c r="A19" s="126"/>
      <c r="B19" s="510"/>
      <c r="C19" s="510"/>
      <c r="D19" s="121"/>
      <c r="E19" s="121"/>
      <c r="F19" s="121"/>
      <c r="G19" s="121"/>
      <c r="H19" s="121"/>
      <c r="I19" s="121"/>
      <c r="J19" s="121"/>
      <c r="K19" s="121"/>
      <c r="L19" s="121"/>
      <c r="M19" s="121"/>
      <c r="N19" s="121"/>
      <c r="O19" s="121"/>
    </row>
    <row r="20" spans="1:3" ht="15">
      <c r="A20" s="330" t="s">
        <v>152</v>
      </c>
      <c r="B20" s="701">
        <v>43280907.422</v>
      </c>
      <c r="C20" s="701">
        <v>3852480</v>
      </c>
    </row>
    <row r="21" ht="15">
      <c r="A21" s="329" t="s">
        <v>857</v>
      </c>
    </row>
    <row r="22" ht="15">
      <c r="A22" s="121" t="s">
        <v>858</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1">
      <selection activeCell="C9" sqref="C9"/>
    </sheetView>
  </sheetViews>
  <sheetFormatPr defaultColWidth="11.421875" defaultRowHeight="15"/>
  <cols>
    <col min="1" max="1" width="40.7109375" style="24" customWidth="1"/>
    <col min="2" max="2" width="19.00390625" style="24" customWidth="1"/>
    <col min="3" max="3" width="18.421875" style="24" customWidth="1"/>
    <col min="4" max="4" width="11.421875" style="24" customWidth="1"/>
    <col min="5" max="5" width="14.140625" style="24" bestFit="1" customWidth="1"/>
    <col min="6" max="32" width="11.421875" style="24" customWidth="1"/>
  </cols>
  <sheetData>
    <row r="1" spans="1:6" ht="15">
      <c r="A1" s="24" t="str">
        <f>Indice!C1</f>
        <v>NEGOFIN S.A.E.C.A.</v>
      </c>
      <c r="F1" s="146" t="s">
        <v>132</v>
      </c>
    </row>
    <row r="4" spans="1:6" ht="15">
      <c r="A4" s="305" t="s">
        <v>341</v>
      </c>
      <c r="B4" s="305"/>
      <c r="C4" s="305"/>
      <c r="D4" s="305"/>
      <c r="E4" s="305"/>
      <c r="F4" s="305"/>
    </row>
    <row r="6" spans="2:3" ht="15">
      <c r="B6" s="890" t="s">
        <v>313</v>
      </c>
      <c r="C6" s="890"/>
    </row>
    <row r="7" spans="1:3" ht="15">
      <c r="A7" s="147"/>
      <c r="B7" s="392">
        <f>_xlfn.IFERROR(IF(Indice!B6="","2XX2",YEAR(Indice!B6)),"2XX2")</f>
        <v>2021</v>
      </c>
      <c r="C7" s="392">
        <f>+_xlfn.IFERROR(YEAR(Indice!B6-365),"2XX1")</f>
        <v>2020</v>
      </c>
    </row>
    <row r="8" spans="1:3" ht="15">
      <c r="A8" s="24" t="s">
        <v>153</v>
      </c>
      <c r="B8" s="512">
        <v>0</v>
      </c>
      <c r="C8" s="512">
        <v>0</v>
      </c>
    </row>
    <row r="9" spans="1:5" ht="15">
      <c r="A9" s="24" t="s">
        <v>155</v>
      </c>
      <c r="B9" s="512">
        <v>34477855.736</v>
      </c>
      <c r="C9" s="512">
        <v>29626092.242</v>
      </c>
      <c r="E9" s="781"/>
    </row>
    <row r="10" spans="1:3" ht="15">
      <c r="A10" s="24" t="s">
        <v>317</v>
      </c>
      <c r="B10" s="513">
        <f>SUM($B$8:B9)</f>
        <v>34477855.736</v>
      </c>
      <c r="C10" s="513">
        <f>SUM($C$8:C9)</f>
        <v>29626092.242</v>
      </c>
    </row>
    <row r="14" spans="2:3" ht="15">
      <c r="B14" s="511"/>
      <c r="C14" s="511"/>
    </row>
    <row r="18" spans="2:3" ht="15">
      <c r="B18" s="511"/>
      <c r="C18" s="511"/>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B8" sqref="B8:C8"/>
    </sheetView>
  </sheetViews>
  <sheetFormatPr defaultColWidth="11.421875" defaultRowHeight="15"/>
  <cols>
    <col min="1" max="1" width="40.7109375" style="24" customWidth="1"/>
    <col min="2" max="3" width="19.00390625" style="24" customWidth="1"/>
    <col min="4" max="6" width="11.421875" style="24" customWidth="1"/>
    <col min="7" max="34" width="11.421875" style="121" customWidth="1"/>
  </cols>
  <sheetData>
    <row r="1" spans="1:6" ht="15">
      <c r="A1" s="24" t="str">
        <f>Indice!C1</f>
        <v>NEGOFIN S.A.E.C.A.</v>
      </c>
      <c r="F1" s="146" t="s">
        <v>132</v>
      </c>
    </row>
    <row r="4" spans="1:6" ht="15">
      <c r="A4" s="305" t="s">
        <v>342</v>
      </c>
      <c r="B4" s="305"/>
      <c r="C4" s="305"/>
      <c r="D4" s="305"/>
      <c r="E4" s="248"/>
      <c r="F4" s="249"/>
    </row>
    <row r="6" spans="2:3" ht="15">
      <c r="B6" s="890" t="s">
        <v>313</v>
      </c>
      <c r="C6" s="890"/>
    </row>
    <row r="7" spans="1:3" ht="15">
      <c r="A7" s="147"/>
      <c r="B7" s="392">
        <f>_xlfn.IFERROR(IF(Indice!B6="","2XX2",YEAR(Indice!B6)),"2XX2")</f>
        <v>2021</v>
      </c>
      <c r="C7" s="392">
        <f>+_xlfn.IFERROR(YEAR(Indice!B6-365),"2XX1")</f>
        <v>2020</v>
      </c>
    </row>
    <row r="8" spans="1:3" ht="15">
      <c r="A8" s="24" t="s">
        <v>83</v>
      </c>
      <c r="B8" s="728">
        <v>0</v>
      </c>
      <c r="C8" s="728">
        <v>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47"/>
  <sheetViews>
    <sheetView showGridLines="0" tabSelected="1" zoomScaleSheetLayoutView="70" zoomScalePageLayoutView="0" workbookViewId="0" topLeftCell="A1">
      <selection activeCell="D32" sqref="D32"/>
    </sheetView>
  </sheetViews>
  <sheetFormatPr defaultColWidth="11.421875" defaultRowHeight="15"/>
  <cols>
    <col min="1" max="1" width="66.00390625" style="33" customWidth="1"/>
    <col min="2" max="2" width="12.7109375" style="196" customWidth="1"/>
    <col min="3" max="3" width="25.421875" style="346" customWidth="1"/>
    <col min="4" max="4" width="24.7109375" style="346" customWidth="1"/>
    <col min="5" max="5" width="11.421875" style="2" customWidth="1"/>
    <col min="6" max="6" width="12.00390625" style="2" bestFit="1" customWidth="1"/>
    <col min="7" max="16384" width="11.421875" style="2" customWidth="1"/>
  </cols>
  <sheetData>
    <row r="1" spans="1:4" ht="15">
      <c r="A1" s="33" t="str">
        <f>Indice!C1</f>
        <v>NEGOFIN S.A.E.C.A.</v>
      </c>
      <c r="B1" s="197" t="s">
        <v>388</v>
      </c>
      <c r="D1" s="346" t="str">
        <f>'ER'!A4</f>
        <v> </v>
      </c>
    </row>
    <row r="4" ht="12.75">
      <c r="A4" s="33" t="s">
        <v>45</v>
      </c>
    </row>
    <row r="6" spans="1:3" ht="12.75">
      <c r="A6" s="69"/>
      <c r="B6" s="204"/>
      <c r="C6" s="347"/>
    </row>
    <row r="7" spans="1:4" ht="12.75">
      <c r="A7" s="812" t="s">
        <v>301</v>
      </c>
      <c r="B7" s="812"/>
      <c r="C7" s="812"/>
      <c r="D7" s="812"/>
    </row>
    <row r="8" spans="1:4" ht="12.75">
      <c r="A8" s="812" t="str">
        <f>_xlfn.IFERROR(IF(Indice!B6="","Al dia... de mes… de año 2XX2…","Al "&amp;DAY(Indice!B6)&amp;" de "&amp;VLOOKUP(MONTH(Indice!B6),Indice!S:T,2,0)&amp;" de "&amp;YEAR(Indice!B6)),"Al dia... de mes… de año 2XX2…")</f>
        <v>Al 30 de Septiembre de 2021</v>
      </c>
      <c r="B8" s="812"/>
      <c r="C8" s="812"/>
      <c r="D8" s="812"/>
    </row>
    <row r="9" spans="1:4" ht="12.75">
      <c r="A9" s="823" t="s">
        <v>302</v>
      </c>
      <c r="B9" s="823"/>
      <c r="C9" s="823"/>
      <c r="D9" s="823"/>
    </row>
    <row r="10" spans="1:4" ht="12.75">
      <c r="A10" s="823" t="s">
        <v>259</v>
      </c>
      <c r="B10" s="823"/>
      <c r="C10" s="823"/>
      <c r="D10" s="823"/>
    </row>
    <row r="11" spans="1:3" ht="12.75">
      <c r="A11" s="98"/>
      <c r="B11" s="215"/>
      <c r="C11" s="345"/>
    </row>
    <row r="12" spans="1:4" ht="15">
      <c r="A12" s="102"/>
      <c r="B12" s="199" t="s">
        <v>220</v>
      </c>
      <c r="C12" s="321">
        <f>_xlfn.IFERROR(IF(Indice!B6="","2XX2",YEAR(Indice!B6)),"2XX2")</f>
        <v>2021</v>
      </c>
      <c r="D12" s="321">
        <f>_xlfn.IFERROR(YEAR(Indice!B6-365),"2XX1")</f>
        <v>2020</v>
      </c>
    </row>
    <row r="13" spans="1:4" ht="15">
      <c r="A13" t="s">
        <v>63</v>
      </c>
      <c r="B13" s="214">
        <v>25</v>
      </c>
      <c r="C13" s="344">
        <f>'Nota 25'!B26</f>
        <v>205466320.855</v>
      </c>
      <c r="D13" s="344">
        <f>'Nota 25'!C26</f>
        <v>142592624.263</v>
      </c>
    </row>
    <row r="14" spans="1:6" ht="15">
      <c r="A14" t="s">
        <v>156</v>
      </c>
      <c r="B14" s="214">
        <v>26</v>
      </c>
      <c r="C14" s="344">
        <f>'Nota 26'!B21</f>
        <v>70667252.267</v>
      </c>
      <c r="D14" s="344">
        <f>'Nota 26'!C21</f>
        <v>57569450.631</v>
      </c>
      <c r="F14" s="17"/>
    </row>
    <row r="15" spans="1:4" ht="12.75">
      <c r="A15" s="69" t="s">
        <v>72</v>
      </c>
      <c r="B15" s="204"/>
      <c r="C15" s="345">
        <f>C13-C14</f>
        <v>134799068.588</v>
      </c>
      <c r="D15" s="345">
        <f>D13-D14</f>
        <v>85023173.63200001</v>
      </c>
    </row>
    <row r="16" spans="1:8" ht="15">
      <c r="A16" t="s">
        <v>260</v>
      </c>
      <c r="B16" s="214">
        <v>27</v>
      </c>
      <c r="C16" s="344">
        <f>'Nota 27'!B35</f>
        <v>107614.349</v>
      </c>
      <c r="D16" s="344">
        <f>'Nota 27'!E35</f>
        <v>122751.865</v>
      </c>
      <c r="F16" s="525"/>
      <c r="G16" s="525"/>
      <c r="H16" s="525"/>
    </row>
    <row r="17" spans="1:8" ht="15">
      <c r="A17" s="198" t="s">
        <v>262</v>
      </c>
      <c r="B17" s="214">
        <v>27</v>
      </c>
      <c r="C17" s="344">
        <f>'Nota 27'!C35</f>
        <v>100510921.937</v>
      </c>
      <c r="D17" s="344">
        <f>'Nota 27'!F35</f>
        <v>72554672.145</v>
      </c>
      <c r="F17" s="525"/>
      <c r="G17" s="525"/>
      <c r="H17" s="525"/>
    </row>
    <row r="18" spans="1:4" ht="15">
      <c r="A18" s="198" t="s">
        <v>264</v>
      </c>
      <c r="B18" s="214">
        <v>28</v>
      </c>
      <c r="C18" s="345">
        <f>'Nota 28'!B18</f>
        <v>10686315.023</v>
      </c>
      <c r="D18" s="345">
        <f>+'Nota 28'!C18</f>
        <v>9681712.321</v>
      </c>
    </row>
    <row r="19" spans="1:7" ht="12.75">
      <c r="A19" s="69" t="s">
        <v>158</v>
      </c>
      <c r="B19" s="204"/>
      <c r="C19" s="345">
        <f>+C15-C16-C17+C18</f>
        <v>44866847.32499999</v>
      </c>
      <c r="D19" s="345">
        <f>+D15-D16-D17+D18</f>
        <v>22027461.943000026</v>
      </c>
      <c r="E19" s="525"/>
      <c r="F19" s="525"/>
      <c r="G19" s="525"/>
    </row>
    <row r="20" spans="1:8" ht="15">
      <c r="A20" s="198" t="s">
        <v>419</v>
      </c>
      <c r="B20" s="214">
        <v>29</v>
      </c>
      <c r="C20" s="345">
        <f>'Nota 29'!B17</f>
        <v>15682617.046</v>
      </c>
      <c r="D20" s="345">
        <f>'Nota 29'!C17</f>
        <v>13788856.114</v>
      </c>
      <c r="E20" s="525"/>
      <c r="F20" s="525"/>
      <c r="G20" s="525"/>
      <c r="H20" s="525"/>
    </row>
    <row r="21" spans="1:8" ht="15">
      <c r="A21" s="198" t="s">
        <v>418</v>
      </c>
      <c r="B21" s="214">
        <v>29</v>
      </c>
      <c r="C21" s="345">
        <f>'Nota 29'!F16</f>
        <v>15673302.651999997</v>
      </c>
      <c r="D21" s="345">
        <f>'Nota 29'!G16</f>
        <v>16643662.362</v>
      </c>
      <c r="E21" s="525"/>
      <c r="F21" s="525"/>
      <c r="G21" s="525"/>
      <c r="H21" s="525"/>
    </row>
    <row r="22" spans="1:6" ht="12.75">
      <c r="A22" s="114" t="s">
        <v>62</v>
      </c>
      <c r="C22" s="345">
        <f>+C19+C20-C21</f>
        <v>44876161.719</v>
      </c>
      <c r="D22" s="345">
        <f>+D19+D20-D21</f>
        <v>19172655.695000026</v>
      </c>
      <c r="F22" s="525"/>
    </row>
    <row r="23" spans="1:7" ht="15">
      <c r="A23" s="198" t="s">
        <v>162</v>
      </c>
      <c r="B23" s="214">
        <v>30</v>
      </c>
      <c r="C23" s="345">
        <f>'Nota 30'!B16</f>
        <v>0</v>
      </c>
      <c r="D23" s="345">
        <f>'Nota 30'!C16</f>
        <v>0</v>
      </c>
      <c r="F23" s="525"/>
      <c r="G23" s="525"/>
    </row>
    <row r="24" spans="1:6" ht="25.5">
      <c r="A24" s="115" t="s">
        <v>420</v>
      </c>
      <c r="B24" s="204"/>
      <c r="C24" s="348">
        <f>C22+C23</f>
        <v>44876161.719</v>
      </c>
      <c r="D24" s="348">
        <f>D22+D23</f>
        <v>19172655.695000026</v>
      </c>
      <c r="F24" s="525"/>
    </row>
    <row r="25" spans="1:7" ht="15">
      <c r="A25" s="198" t="s">
        <v>163</v>
      </c>
      <c r="B25" s="214">
        <v>31</v>
      </c>
      <c r="C25" s="345">
        <f>'Nota 31'!B16</f>
        <v>0</v>
      </c>
      <c r="D25" s="345">
        <f>'Nota 31'!C16</f>
        <v>0</v>
      </c>
      <c r="F25" s="525"/>
      <c r="G25" s="525"/>
    </row>
    <row r="26" spans="1:4" ht="12.75">
      <c r="A26" s="115" t="s">
        <v>76</v>
      </c>
      <c r="B26" s="204"/>
      <c r="C26" s="348"/>
      <c r="D26" s="348"/>
    </row>
    <row r="27" spans="1:4" ht="15">
      <c r="A27" s="33" t="s">
        <v>46</v>
      </c>
      <c r="B27" s="197">
        <v>32</v>
      </c>
      <c r="C27" s="345">
        <f>'Nota 32'!B9</f>
        <v>10398305.983</v>
      </c>
      <c r="D27" s="345">
        <f>'Nota 32'!C9</f>
        <v>2006455.306</v>
      </c>
    </row>
    <row r="28" spans="1:4" ht="12.75">
      <c r="A28" s="69" t="s">
        <v>421</v>
      </c>
      <c r="B28" s="204"/>
      <c r="C28" s="348">
        <f>C26+C27</f>
        <v>10398305.983</v>
      </c>
      <c r="D28" s="348">
        <f>D26+D27</f>
        <v>2006455.306</v>
      </c>
    </row>
    <row r="29" spans="1:4" ht="15">
      <c r="A29" s="198" t="s">
        <v>73</v>
      </c>
      <c r="B29" s="214">
        <v>33</v>
      </c>
      <c r="C29" s="348">
        <f>'Nota 32'!B9</f>
        <v>10398305.983</v>
      </c>
      <c r="D29" s="348">
        <f>'Nota 32'!C9</f>
        <v>2006455.306</v>
      </c>
    </row>
    <row r="30" spans="1:4" ht="15">
      <c r="A30" s="198" t="s">
        <v>74</v>
      </c>
      <c r="B30" s="214">
        <v>34</v>
      </c>
      <c r="C30" s="345">
        <f>'Nota 34'!B12</f>
        <v>0</v>
      </c>
      <c r="D30" s="345">
        <f>'Nota 34'!C12</f>
        <v>0</v>
      </c>
    </row>
    <row r="31" spans="1:4" ht="15">
      <c r="A31" s="97" t="s">
        <v>273</v>
      </c>
      <c r="B31" s="331"/>
      <c r="C31" s="348">
        <f>+C24-C27</f>
        <v>34477855.736</v>
      </c>
      <c r="D31" s="348">
        <f>+D24-D27</f>
        <v>17166200.389000025</v>
      </c>
    </row>
    <row r="32" spans="1:4" ht="15">
      <c r="A32" s="97" t="s">
        <v>75</v>
      </c>
      <c r="B32" s="214">
        <v>35</v>
      </c>
      <c r="C32" s="345">
        <f>'Nota 35'!B10</f>
        <v>689.5571147200001</v>
      </c>
      <c r="D32" s="345">
        <f>'Nota 35'!C10</f>
        <v>343.3240077800005</v>
      </c>
    </row>
    <row r="34" spans="1:4" ht="12.75">
      <c r="A34" s="69"/>
      <c r="B34" s="204"/>
      <c r="D34" s="785"/>
    </row>
    <row r="35" ht="12.75">
      <c r="A35" s="33" t="s">
        <v>413</v>
      </c>
    </row>
    <row r="41" spans="1:4" ht="12.75">
      <c r="A41" s="100"/>
      <c r="B41" s="216"/>
      <c r="C41" s="822"/>
      <c r="D41" s="822"/>
    </row>
    <row r="42" spans="1:4" ht="12.75">
      <c r="A42" s="99"/>
      <c r="B42" s="217"/>
      <c r="D42" s="349"/>
    </row>
    <row r="47" spans="1:4" ht="12.75">
      <c r="A47" s="424"/>
      <c r="C47" s="822"/>
      <c r="D47" s="822"/>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7">
      <selection activeCell="C14" sqref="C14"/>
    </sheetView>
  </sheetViews>
  <sheetFormatPr defaultColWidth="11.421875" defaultRowHeight="15"/>
  <cols>
    <col min="1" max="1" width="45.57421875" style="121" customWidth="1"/>
    <col min="2" max="2" width="18.140625" style="121" customWidth="1"/>
    <col min="3" max="3" width="17.140625" style="121" customWidth="1"/>
    <col min="4" max="33" width="11.421875" style="121" customWidth="1"/>
  </cols>
  <sheetData>
    <row r="1" spans="1:5" ht="15">
      <c r="A1" s="121" t="str">
        <f>Indice!C1</f>
        <v>NEGOFIN S.A.E.C.A.</v>
      </c>
      <c r="E1" s="142" t="s">
        <v>148</v>
      </c>
    </row>
    <row r="5" spans="1:33" ht="15">
      <c r="A5" s="305" t="s">
        <v>343</v>
      </c>
      <c r="B5" s="305"/>
      <c r="C5" s="305"/>
      <c r="D5" s="305"/>
      <c r="E5" s="305"/>
      <c r="F5" s="305"/>
      <c r="G5" s="24"/>
      <c r="H5" s="24"/>
      <c r="I5" s="24"/>
      <c r="J5" s="24"/>
      <c r="K5" s="24"/>
      <c r="L5" s="24"/>
      <c r="M5" s="24"/>
      <c r="N5" s="24"/>
      <c r="O5" s="24"/>
      <c r="P5" s="24"/>
      <c r="Q5" s="24"/>
      <c r="R5" s="24"/>
      <c r="S5" s="24"/>
      <c r="T5" s="24"/>
      <c r="U5" s="24"/>
      <c r="V5" s="24"/>
      <c r="W5" s="24"/>
      <c r="X5" s="24"/>
      <c r="Y5" s="24"/>
      <c r="Z5" s="24"/>
      <c r="AA5" s="24"/>
      <c r="AB5" s="24"/>
      <c r="AC5" s="24"/>
      <c r="AD5" s="24"/>
      <c r="AE5" s="24"/>
      <c r="AF5" s="24"/>
      <c r="AG5"/>
    </row>
    <row r="8" spans="2:3" ht="15">
      <c r="B8" s="890" t="s">
        <v>313</v>
      </c>
      <c r="C8" s="890"/>
    </row>
    <row r="9" spans="2:33" ht="15">
      <c r="B9" s="392">
        <f>_xlfn.IFERROR(IF(Indice!B6="","2XX2",YEAR(Indice!B6)),"2XX2")</f>
        <v>2021</v>
      </c>
      <c r="C9" s="392">
        <f>+_xlfn.IFERROR(YEAR(Indice!B6-365),"2XX1")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row>
    <row r="10" spans="1:32" s="331" customFormat="1" ht="15">
      <c r="A10" s="147" t="s">
        <v>63</v>
      </c>
      <c r="B10" s="255"/>
      <c r="C10" s="25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3" ht="15">
      <c r="A11" s="147" t="s">
        <v>862</v>
      </c>
      <c r="B11" s="49"/>
      <c r="C11" s="49"/>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row>
    <row r="12" spans="1:32" s="331" customFormat="1" ht="15">
      <c r="A12" s="342" t="s">
        <v>864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row>
    <row r="13" spans="1:32" s="331" customFormat="1" ht="15">
      <c r="A13" s="24" t="s">
        <v>265</v>
      </c>
      <c r="B13" s="512">
        <v>205466320.855</v>
      </c>
      <c r="C13" s="512">
        <v>142592624.263</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row>
    <row r="14" spans="1:32" s="331" customFormat="1" ht="15">
      <c r="A14" s="331" t="s">
        <v>266</v>
      </c>
      <c r="B14" s="512">
        <v>0</v>
      </c>
      <c r="C14" s="512">
        <v>0</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row>
    <row r="15" spans="1:32" s="331" customFormat="1" ht="15">
      <c r="A15" s="342" t="s">
        <v>865</v>
      </c>
      <c r="B15" s="512">
        <v>0</v>
      </c>
      <c r="C15" s="512">
        <v>0</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row>
    <row r="16" spans="1:32" s="331" customFormat="1" ht="15">
      <c r="A16" s="24" t="s">
        <v>265</v>
      </c>
      <c r="B16" s="512">
        <v>0</v>
      </c>
      <c r="C16" s="512">
        <v>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row>
    <row r="17" spans="1:32" s="331" customFormat="1" ht="15">
      <c r="A17" s="331" t="s">
        <v>266</v>
      </c>
      <c r="B17" s="512">
        <v>0</v>
      </c>
      <c r="C17" s="512">
        <v>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1:32" s="331" customFormat="1" ht="15">
      <c r="A18" s="147" t="s">
        <v>863</v>
      </c>
      <c r="B18" s="512"/>
      <c r="C18" s="512"/>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row>
    <row r="19" spans="1:32" s="331" customFormat="1" ht="15">
      <c r="A19" s="342" t="s">
        <v>864</v>
      </c>
      <c r="B19" s="512">
        <v>0</v>
      </c>
      <c r="C19" s="512">
        <v>0</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row>
    <row r="20" spans="1:32" s="331" customFormat="1" ht="15">
      <c r="A20" s="24" t="s">
        <v>265</v>
      </c>
      <c r="B20" s="512">
        <v>0</v>
      </c>
      <c r="C20" s="512">
        <v>0</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1:32" s="331" customFormat="1" ht="15">
      <c r="A21" s="331" t="s">
        <v>266</v>
      </c>
      <c r="B21" s="512">
        <v>0</v>
      </c>
      <c r="C21" s="512">
        <v>0</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row>
    <row r="22" spans="1:32" s="331" customFormat="1" ht="15">
      <c r="A22" s="342" t="s">
        <v>865</v>
      </c>
      <c r="B22" s="512">
        <v>0</v>
      </c>
      <c r="C22" s="512">
        <v>0</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pans="1:32" s="331" customFormat="1" ht="15">
      <c r="A23" s="24" t="s">
        <v>265</v>
      </c>
      <c r="B23" s="512">
        <v>0</v>
      </c>
      <c r="C23" s="512">
        <v>0</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row>
    <row r="24" spans="1:32" s="331" customFormat="1" ht="15">
      <c r="A24" s="331" t="s">
        <v>266</v>
      </c>
      <c r="B24" s="512">
        <v>0</v>
      </c>
      <c r="C24" s="512">
        <v>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row>
    <row r="25" spans="1:32" s="331" customFormat="1" ht="15">
      <c r="A25" s="343" t="s">
        <v>866</v>
      </c>
      <c r="B25" s="512"/>
      <c r="C25" s="512"/>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33" ht="15">
      <c r="A26" s="147" t="s">
        <v>3</v>
      </c>
      <c r="B26" s="513">
        <f>SUM($B$11:B24)</f>
        <v>205466320.855</v>
      </c>
      <c r="C26" s="513">
        <f>SUM($C$11:C24)</f>
        <v>142592624.263</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row>
    <row r="27" spans="1:33" ht="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1">
      <selection activeCell="C13" sqref="C13"/>
    </sheetView>
  </sheetViews>
  <sheetFormatPr defaultColWidth="11.421875" defaultRowHeight="15"/>
  <cols>
    <col min="1" max="1" width="38.00390625" style="121" customWidth="1"/>
    <col min="2" max="2" width="18.140625" style="121" customWidth="1"/>
    <col min="3" max="3" width="17.140625" style="121" customWidth="1"/>
    <col min="4" max="6" width="11.421875" style="121" customWidth="1"/>
    <col min="7" max="7" width="12.7109375" style="121" bestFit="1" customWidth="1"/>
    <col min="8" max="31" width="11.421875" style="121" customWidth="1"/>
  </cols>
  <sheetData>
    <row r="1" spans="1:5" ht="15">
      <c r="A1" s="121" t="str">
        <f>Indice!C1</f>
        <v>NEGOFIN S.A.E.C.A.</v>
      </c>
      <c r="E1" s="142" t="s">
        <v>148</v>
      </c>
    </row>
    <row r="5" spans="1:31" ht="15">
      <c r="A5" s="894" t="s">
        <v>344</v>
      </c>
      <c r="B5" s="894"/>
      <c r="C5" s="894"/>
      <c r="D5" s="894"/>
      <c r="E5" s="894"/>
      <c r="F5" s="894"/>
      <c r="G5" s="24"/>
      <c r="H5" s="24"/>
      <c r="I5" s="24"/>
      <c r="J5" s="24"/>
      <c r="K5" s="24"/>
      <c r="L5" s="24"/>
      <c r="M5" s="24"/>
      <c r="N5" s="24"/>
      <c r="O5" s="24"/>
      <c r="P5" s="24"/>
      <c r="Q5" s="24"/>
      <c r="R5" s="24"/>
      <c r="S5" s="24"/>
      <c r="T5" s="24"/>
      <c r="U5" s="24"/>
      <c r="V5" s="24"/>
      <c r="W5" s="24"/>
      <c r="X5" s="24"/>
      <c r="Y5" s="24"/>
      <c r="Z5" s="24"/>
      <c r="AA5" s="24"/>
      <c r="AB5" s="24"/>
      <c r="AC5" s="24"/>
      <c r="AD5" s="24"/>
      <c r="AE5" s="24"/>
    </row>
    <row r="7" spans="2:3" ht="15">
      <c r="B7" s="902"/>
      <c r="C7" s="902"/>
    </row>
    <row r="8" spans="1:31" s="198" customFormat="1" ht="15">
      <c r="A8" s="121"/>
      <c r="B8" s="903" t="s">
        <v>261</v>
      </c>
      <c r="C8" s="903"/>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row>
    <row r="9" spans="1:31" ht="15">
      <c r="A9" s="147" t="s">
        <v>156</v>
      </c>
      <c r="B9" s="392">
        <f>_xlfn.IFERROR(IF(Indice!B6="","2XX2",YEAR(Indice!B6)),"2XX2")</f>
        <v>2021</v>
      </c>
      <c r="C9" s="392">
        <f>+_xlfn.IFERROR(YEAR(Indice!B6-365),"2XX1")</f>
        <v>2020</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row>
    <row r="10" spans="1:31" s="331" customFormat="1" ht="15">
      <c r="A10" s="147" t="s">
        <v>867</v>
      </c>
      <c r="B10" s="519"/>
      <c r="C10" s="519"/>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ht="15">
      <c r="A11" s="24" t="s">
        <v>267</v>
      </c>
      <c r="B11" s="512"/>
      <c r="C11" s="512"/>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
      <c r="A12" s="222" t="s">
        <v>268</v>
      </c>
      <c r="B12" s="501">
        <v>70667252.267</v>
      </c>
      <c r="C12" s="501">
        <v>57569450.631</v>
      </c>
      <c r="D12" s="24"/>
      <c r="E12" s="501"/>
      <c r="F12" s="24"/>
      <c r="G12" s="512"/>
      <c r="H12" s="512"/>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s="198" customFormat="1" ht="15">
      <c r="A13" s="222" t="s">
        <v>269</v>
      </c>
      <c r="B13" s="512">
        <v>0</v>
      </c>
      <c r="C13" s="512">
        <v>0</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s="198" customFormat="1" ht="15">
      <c r="A14" s="222" t="s">
        <v>270</v>
      </c>
      <c r="B14" s="512">
        <v>0</v>
      </c>
      <c r="C14" s="512">
        <v>0</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s="331" customFormat="1" ht="15">
      <c r="A15" s="147" t="s">
        <v>868</v>
      </c>
      <c r="B15" s="519"/>
      <c r="C15" s="519"/>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s="331" customFormat="1" ht="15">
      <c r="A16" s="24" t="s">
        <v>267</v>
      </c>
      <c r="B16" s="512">
        <v>0</v>
      </c>
      <c r="C16" s="512">
        <v>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s="331" customFormat="1" ht="15">
      <c r="A17" s="518" t="s">
        <v>268</v>
      </c>
      <c r="B17" s="512">
        <v>0</v>
      </c>
      <c r="C17" s="512">
        <v>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1" s="331" customFormat="1" ht="15">
      <c r="A18" s="222" t="s">
        <v>269</v>
      </c>
      <c r="B18" s="512">
        <v>0</v>
      </c>
      <c r="C18" s="512">
        <v>0</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31" s="331" customFormat="1" ht="15">
      <c r="A19" s="222" t="s">
        <v>270</v>
      </c>
      <c r="B19" s="512">
        <v>0</v>
      </c>
      <c r="C19" s="512">
        <v>0</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s="331" customFormat="1" ht="15">
      <c r="A20" s="343" t="s">
        <v>866</v>
      </c>
      <c r="B20" s="512"/>
      <c r="C20" s="512"/>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1:31" ht="15">
      <c r="A21" s="24" t="s">
        <v>271</v>
      </c>
      <c r="B21" s="520">
        <f>SUM($B$10:B20)</f>
        <v>70667252.267</v>
      </c>
      <c r="C21" s="520">
        <f>SUM($C$10:C20)</f>
        <v>57569450.631</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ht="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56"/>
  <sheetViews>
    <sheetView showGridLines="0" zoomScalePageLayoutView="0" workbookViewId="0" topLeftCell="A29">
      <selection activeCell="A34" sqref="A34"/>
    </sheetView>
  </sheetViews>
  <sheetFormatPr defaultColWidth="11.421875" defaultRowHeight="15"/>
  <cols>
    <col min="1" max="1" width="38.00390625" style="121" customWidth="1"/>
    <col min="2" max="7" width="23.00390625" style="121" customWidth="1"/>
    <col min="8" max="33" width="11.421875" style="121" customWidth="1"/>
  </cols>
  <sheetData>
    <row r="1" spans="1:7" ht="15">
      <c r="A1" s="121" t="str">
        <f>Indice!C1</f>
        <v>NEGOFIN S.A.E.C.A.</v>
      </c>
      <c r="G1" s="142" t="s">
        <v>148</v>
      </c>
    </row>
    <row r="5" spans="1:33" ht="15">
      <c r="A5" s="305" t="s">
        <v>345</v>
      </c>
      <c r="B5" s="305"/>
      <c r="C5" s="305"/>
      <c r="D5" s="305"/>
      <c r="E5" s="305"/>
      <c r="F5" s="305"/>
      <c r="G5" s="305"/>
      <c r="H5" s="305"/>
      <c r="I5" s="24"/>
      <c r="J5" s="24"/>
      <c r="K5" s="24"/>
      <c r="L5" s="24"/>
      <c r="M5" s="24"/>
      <c r="N5" s="24"/>
      <c r="O5" s="24"/>
      <c r="P5" s="24"/>
      <c r="Q5" s="24"/>
      <c r="R5" s="24"/>
      <c r="S5" s="24"/>
      <c r="T5" s="24"/>
      <c r="U5" s="24"/>
      <c r="V5" s="24"/>
      <c r="W5" s="24"/>
      <c r="X5" s="24"/>
      <c r="Y5" s="24"/>
      <c r="Z5" s="24"/>
      <c r="AA5" s="24"/>
      <c r="AB5" s="24"/>
      <c r="AC5" s="24"/>
      <c r="AD5" s="24"/>
      <c r="AE5" s="24"/>
      <c r="AF5" s="24"/>
      <c r="AG5" s="24"/>
    </row>
    <row r="6" spans="1:8" ht="15">
      <c r="A6" s="904" t="s">
        <v>195</v>
      </c>
      <c r="B6" s="904"/>
      <c r="C6" s="904"/>
      <c r="D6" s="904"/>
      <c r="E6" s="904"/>
      <c r="F6" s="904"/>
      <c r="G6" s="904"/>
      <c r="H6" s="904"/>
    </row>
    <row r="7" spans="1:33" s="174" customFormat="1" ht="1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row>
    <row r="8" spans="1:33" s="174" customFormat="1" ht="15">
      <c r="A8" s="173" t="s">
        <v>196</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row>
    <row r="9" spans="1:33" s="174" customFormat="1" ht="15">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row>
    <row r="10" spans="1:33" s="174" customFormat="1" ht="15.75" thickBot="1">
      <c r="A10" s="351" t="s">
        <v>261</v>
      </c>
      <c r="B10" s="350"/>
      <c r="D10" s="351"/>
      <c r="E10" s="351"/>
      <c r="F10" s="352"/>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1:33" s="174" customFormat="1" ht="15.75" thickBot="1">
      <c r="A11" s="905"/>
      <c r="B11" s="412"/>
      <c r="C11" s="413">
        <f>_xlfn.IFERROR(IF(Indice!B6="","2XX2",YEAR(Indice!B6)),"2XX2")</f>
        <v>2021</v>
      </c>
      <c r="D11" s="415"/>
      <c r="E11" s="416"/>
      <c r="F11" s="413">
        <f>+_xlfn.IFERROR(YEAR(Indice!B6-365),"2XX1")</f>
        <v>2020</v>
      </c>
      <c r="G11" s="414"/>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row>
    <row r="12" spans="1:33" s="174" customFormat="1" ht="15.75" thickBot="1">
      <c r="A12" s="906"/>
      <c r="B12" s="411" t="s">
        <v>197</v>
      </c>
      <c r="C12" s="411" t="s">
        <v>198</v>
      </c>
      <c r="D12" s="411" t="s">
        <v>3</v>
      </c>
      <c r="E12" s="411" t="s">
        <v>197</v>
      </c>
      <c r="F12" s="411" t="s">
        <v>198</v>
      </c>
      <c r="G12" s="411" t="s">
        <v>3</v>
      </c>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row>
    <row r="13" spans="1:33" s="174" customFormat="1" ht="15">
      <c r="A13" s="219" t="s">
        <v>199</v>
      </c>
      <c r="B13" s="515">
        <v>107614.349</v>
      </c>
      <c r="C13" s="515">
        <v>14015.684</v>
      </c>
      <c r="D13" s="515">
        <f aca="true" t="shared" si="0" ref="D13:D26">+C13+B13</f>
        <v>121630.033</v>
      </c>
      <c r="E13" s="515">
        <v>122751.865</v>
      </c>
      <c r="F13" s="787">
        <v>6427.946</v>
      </c>
      <c r="G13" s="515">
        <f>+F13+E13</f>
        <v>129179.811</v>
      </c>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row>
    <row r="14" spans="1:33" s="174" customFormat="1" ht="15">
      <c r="A14" s="220" t="s">
        <v>200</v>
      </c>
      <c r="B14" s="516">
        <v>0</v>
      </c>
      <c r="C14" s="516">
        <v>172420.101</v>
      </c>
      <c r="D14" s="516">
        <f t="shared" si="0"/>
        <v>172420.101</v>
      </c>
      <c r="E14" s="516">
        <v>0</v>
      </c>
      <c r="F14" s="726">
        <v>166772.939</v>
      </c>
      <c r="G14" s="515">
        <f aca="true" t="shared" si="1" ref="G14:G33">+F14+E14</f>
        <v>166772.939</v>
      </c>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row>
    <row r="15" spans="1:33" s="174" customFormat="1" ht="15">
      <c r="A15" s="220" t="s">
        <v>201</v>
      </c>
      <c r="B15" s="516">
        <v>0</v>
      </c>
      <c r="C15" s="516">
        <v>73883.356</v>
      </c>
      <c r="D15" s="516">
        <f t="shared" si="0"/>
        <v>73883.356</v>
      </c>
      <c r="E15" s="516">
        <v>0</v>
      </c>
      <c r="F15" s="726">
        <v>75493.197</v>
      </c>
      <c r="G15" s="515">
        <f t="shared" si="1"/>
        <v>75493.197</v>
      </c>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row>
    <row r="16" spans="1:33" s="174" customFormat="1" ht="15">
      <c r="A16" s="725" t="s">
        <v>202</v>
      </c>
      <c r="B16" s="516">
        <v>0</v>
      </c>
      <c r="C16" s="516">
        <v>0</v>
      </c>
      <c r="D16" s="516">
        <f t="shared" si="0"/>
        <v>0</v>
      </c>
      <c r="E16" s="516">
        <v>0</v>
      </c>
      <c r="F16" s="726">
        <v>0</v>
      </c>
      <c r="G16" s="515">
        <f t="shared" si="1"/>
        <v>0</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row>
    <row r="17" spans="1:33" s="174" customFormat="1" ht="15">
      <c r="A17" s="220" t="s">
        <v>203</v>
      </c>
      <c r="B17" s="516">
        <v>0</v>
      </c>
      <c r="C17" s="516">
        <v>3104995.722</v>
      </c>
      <c r="D17" s="516">
        <f t="shared" si="0"/>
        <v>3104995.722</v>
      </c>
      <c r="E17" s="516">
        <v>0</v>
      </c>
      <c r="F17" s="726">
        <v>2913344.34</v>
      </c>
      <c r="G17" s="515">
        <f t="shared" si="1"/>
        <v>2913344.34</v>
      </c>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row>
    <row r="18" spans="1:33" s="174" customFormat="1" ht="15">
      <c r="A18" s="220" t="s">
        <v>204</v>
      </c>
      <c r="B18" s="516">
        <v>0</v>
      </c>
      <c r="C18" s="516">
        <v>0</v>
      </c>
      <c r="D18" s="516">
        <f>+C18+B18</f>
        <v>0</v>
      </c>
      <c r="E18" s="516">
        <v>0</v>
      </c>
      <c r="F18" s="726">
        <v>0</v>
      </c>
      <c r="G18" s="515">
        <f t="shared" si="1"/>
        <v>0</v>
      </c>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row>
    <row r="19" spans="1:33" s="174" customFormat="1" ht="15">
      <c r="A19" s="220" t="s">
        <v>205</v>
      </c>
      <c r="B19" s="516">
        <v>0</v>
      </c>
      <c r="C19" s="516">
        <v>355731.902</v>
      </c>
      <c r="D19" s="516">
        <f t="shared" si="0"/>
        <v>355731.902</v>
      </c>
      <c r="E19" s="516">
        <v>0</v>
      </c>
      <c r="F19" s="726">
        <v>183829.893</v>
      </c>
      <c r="G19" s="515">
        <f t="shared" si="1"/>
        <v>183829.893</v>
      </c>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row>
    <row r="20" spans="1:33" s="174" customFormat="1" ht="15">
      <c r="A20" s="220" t="s">
        <v>206</v>
      </c>
      <c r="B20" s="516">
        <v>0</v>
      </c>
      <c r="C20" s="516">
        <v>425907.025</v>
      </c>
      <c r="D20" s="516">
        <f t="shared" si="0"/>
        <v>425907.025</v>
      </c>
      <c r="E20" s="516">
        <v>0</v>
      </c>
      <c r="F20" s="726">
        <v>300756.987</v>
      </c>
      <c r="G20" s="515">
        <f t="shared" si="1"/>
        <v>300756.987</v>
      </c>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row>
    <row r="21" spans="1:33" s="174" customFormat="1" ht="15">
      <c r="A21" s="220" t="s">
        <v>207</v>
      </c>
      <c r="B21" s="516">
        <v>0</v>
      </c>
      <c r="C21" s="726">
        <v>2405743.593</v>
      </c>
      <c r="D21" s="516">
        <f t="shared" si="0"/>
        <v>2405743.593</v>
      </c>
      <c r="E21" s="516">
        <v>0</v>
      </c>
      <c r="F21" s="726">
        <v>1695783.287</v>
      </c>
      <c r="G21" s="515">
        <f t="shared" si="1"/>
        <v>1695783.287</v>
      </c>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row>
    <row r="22" spans="1:33" s="174" customFormat="1" ht="15">
      <c r="A22" s="220" t="s">
        <v>208</v>
      </c>
      <c r="B22" s="516">
        <v>0</v>
      </c>
      <c r="C22" s="516">
        <v>51371.159</v>
      </c>
      <c r="D22" s="516">
        <f t="shared" si="0"/>
        <v>51371.159</v>
      </c>
      <c r="E22" s="516">
        <v>0</v>
      </c>
      <c r="F22" s="726">
        <v>42242.069</v>
      </c>
      <c r="G22" s="515">
        <f t="shared" si="1"/>
        <v>42242.069</v>
      </c>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row>
    <row r="23" spans="1:33" s="174" customFormat="1" ht="15">
      <c r="A23" s="725" t="s">
        <v>209</v>
      </c>
      <c r="B23" s="516">
        <v>0</v>
      </c>
      <c r="C23" s="726">
        <v>8108035.941</v>
      </c>
      <c r="D23" s="516">
        <f t="shared" si="0"/>
        <v>8108035.941</v>
      </c>
      <c r="E23" s="516">
        <v>0</v>
      </c>
      <c r="F23" s="726">
        <v>4774412.015</v>
      </c>
      <c r="G23" s="515">
        <f t="shared" si="1"/>
        <v>4774412.015</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row>
    <row r="24" spans="1:33" s="174" customFormat="1" ht="24">
      <c r="A24" s="220" t="s">
        <v>210</v>
      </c>
      <c r="B24" s="516">
        <v>0</v>
      </c>
      <c r="C24" s="516">
        <v>27351577.849</v>
      </c>
      <c r="D24" s="516">
        <f t="shared" si="0"/>
        <v>27351577.849</v>
      </c>
      <c r="E24" s="516">
        <v>0</v>
      </c>
      <c r="F24" s="726">
        <v>14412055.823</v>
      </c>
      <c r="G24" s="515">
        <f t="shared" si="1"/>
        <v>14412055.823</v>
      </c>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row>
    <row r="25" spans="1:33" s="174" customFormat="1" ht="15">
      <c r="A25" s="220" t="s">
        <v>211</v>
      </c>
      <c r="B25" s="516">
        <v>0</v>
      </c>
      <c r="C25" s="516">
        <v>12120464.729</v>
      </c>
      <c r="D25" s="516">
        <f t="shared" si="0"/>
        <v>12120464.729</v>
      </c>
      <c r="E25" s="516">
        <v>0</v>
      </c>
      <c r="F25" s="726">
        <v>11536667.134</v>
      </c>
      <c r="G25" s="515">
        <f t="shared" si="1"/>
        <v>11536667.134</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row>
    <row r="26" spans="1:33" s="174" customFormat="1" ht="15">
      <c r="A26" s="220" t="s">
        <v>212</v>
      </c>
      <c r="B26" s="516">
        <v>0</v>
      </c>
      <c r="C26" s="516">
        <v>2123556.428</v>
      </c>
      <c r="D26" s="516">
        <f t="shared" si="0"/>
        <v>2123556.428</v>
      </c>
      <c r="E26" s="516">
        <v>0</v>
      </c>
      <c r="F26" s="726">
        <v>1936886.857</v>
      </c>
      <c r="G26" s="515">
        <f t="shared" si="1"/>
        <v>1936886.857</v>
      </c>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row>
    <row r="27" spans="1:33" s="174" customFormat="1" ht="15">
      <c r="A27" s="220" t="s">
        <v>213</v>
      </c>
      <c r="B27" s="516">
        <v>0</v>
      </c>
      <c r="C27" s="516">
        <v>0</v>
      </c>
      <c r="D27" s="516">
        <f aca="true" t="shared" si="2" ref="D27:D34">+C27+B27</f>
        <v>0</v>
      </c>
      <c r="E27" s="516">
        <v>0</v>
      </c>
      <c r="F27" s="726">
        <v>0</v>
      </c>
      <c r="G27" s="515">
        <f t="shared" si="1"/>
        <v>0</v>
      </c>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row>
    <row r="28" spans="1:33" s="174" customFormat="1" ht="15">
      <c r="A28" s="220" t="s">
        <v>214</v>
      </c>
      <c r="B28" s="516">
        <v>0</v>
      </c>
      <c r="C28" s="516">
        <v>44752.86</v>
      </c>
      <c r="D28" s="516">
        <f t="shared" si="2"/>
        <v>44752.86</v>
      </c>
      <c r="E28" s="516">
        <v>0</v>
      </c>
      <c r="F28" s="726">
        <v>18636.864</v>
      </c>
      <c r="G28" s="515">
        <f t="shared" si="1"/>
        <v>18636.864</v>
      </c>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row>
    <row r="29" spans="1:33" s="174" customFormat="1" ht="15">
      <c r="A29" s="220" t="s">
        <v>215</v>
      </c>
      <c r="B29" s="516">
        <v>0</v>
      </c>
      <c r="C29" s="516">
        <v>454987.644</v>
      </c>
      <c r="D29" s="516">
        <f t="shared" si="2"/>
        <v>454987.644</v>
      </c>
      <c r="E29" s="516">
        <v>0</v>
      </c>
      <c r="F29" s="726">
        <v>2108.492</v>
      </c>
      <c r="G29" s="515">
        <f t="shared" si="1"/>
        <v>2108.492</v>
      </c>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row>
    <row r="30" spans="1:33" s="174" customFormat="1" ht="15">
      <c r="A30" s="220" t="s">
        <v>216</v>
      </c>
      <c r="B30" s="516">
        <v>0</v>
      </c>
      <c r="C30" s="516">
        <v>0</v>
      </c>
      <c r="D30" s="516">
        <f t="shared" si="2"/>
        <v>0</v>
      </c>
      <c r="E30" s="516">
        <v>0</v>
      </c>
      <c r="F30" s="726">
        <v>0</v>
      </c>
      <c r="G30" s="515">
        <f t="shared" si="1"/>
        <v>0</v>
      </c>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row>
    <row r="31" spans="1:33" s="174" customFormat="1" ht="15">
      <c r="A31" s="220" t="s">
        <v>875</v>
      </c>
      <c r="B31" s="516">
        <v>0</v>
      </c>
      <c r="C31" s="516">
        <v>453826.782</v>
      </c>
      <c r="D31" s="516">
        <f t="shared" si="2"/>
        <v>453826.782</v>
      </c>
      <c r="E31" s="516">
        <v>0</v>
      </c>
      <c r="F31" s="726">
        <v>1373921.298</v>
      </c>
      <c r="G31" s="515">
        <f t="shared" si="1"/>
        <v>1373921.298</v>
      </c>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row>
    <row r="32" spans="1:33" s="174" customFormat="1" ht="15">
      <c r="A32" s="220" t="s">
        <v>217</v>
      </c>
      <c r="B32" s="516">
        <v>0</v>
      </c>
      <c r="C32" s="516">
        <v>28239.913</v>
      </c>
      <c r="D32" s="516">
        <f t="shared" si="2"/>
        <v>28239.913</v>
      </c>
      <c r="E32" s="516">
        <v>0</v>
      </c>
      <c r="F32" s="726">
        <v>265338.702</v>
      </c>
      <c r="G32" s="515">
        <f t="shared" si="1"/>
        <v>265338.702</v>
      </c>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row>
    <row r="33" spans="1:33" s="174" customFormat="1" ht="15">
      <c r="A33" s="220" t="s">
        <v>7</v>
      </c>
      <c r="B33" s="516">
        <v>0</v>
      </c>
      <c r="C33" s="516">
        <v>43221411.249</v>
      </c>
      <c r="D33" s="516">
        <f t="shared" si="2"/>
        <v>43221411.249</v>
      </c>
      <c r="E33" s="516">
        <v>0</v>
      </c>
      <c r="F33" s="726">
        <v>32849994.302</v>
      </c>
      <c r="G33" s="515">
        <f t="shared" si="1"/>
        <v>32849994.302</v>
      </c>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row>
    <row r="34" spans="1:33" s="174" customFormat="1" ht="15">
      <c r="A34" s="353" t="s">
        <v>66</v>
      </c>
      <c r="B34" s="517"/>
      <c r="C34" s="517"/>
      <c r="D34" s="516">
        <f t="shared" si="2"/>
        <v>0</v>
      </c>
      <c r="E34" s="517"/>
      <c r="F34" s="517"/>
      <c r="G34" s="516">
        <f>+F34+E34</f>
        <v>0</v>
      </c>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row>
    <row r="35" spans="1:33" s="174" customFormat="1" ht="15.75" thickBot="1">
      <c r="A35" s="221" t="s">
        <v>3</v>
      </c>
      <c r="B35" s="757">
        <f>+SUM($B$13:B34)</f>
        <v>107614.349</v>
      </c>
      <c r="C35" s="757">
        <f>+SUM($C$13:C34)</f>
        <v>100510921.937</v>
      </c>
      <c r="D35" s="757">
        <f>+SUM($D$13:D34)</f>
        <v>100618536.28600001</v>
      </c>
      <c r="E35" s="757">
        <f>SUM(E13:E34)</f>
        <v>122751.865</v>
      </c>
      <c r="F35" s="757">
        <f>SUM(F13:F34)</f>
        <v>72554672.145</v>
      </c>
      <c r="G35" s="757">
        <f>+SUM($G$13:G34)</f>
        <v>72677424.01</v>
      </c>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row>
    <row r="36" spans="1:33" s="174" customFormat="1" ht="15">
      <c r="A36" s="173"/>
      <c r="B36" s="173"/>
      <c r="C36" s="360"/>
      <c r="D36" s="173"/>
      <c r="E36" s="173"/>
      <c r="F36" s="360"/>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s="174" customFormat="1" ht="15">
      <c r="A37" s="173"/>
      <c r="B37" s="173"/>
      <c r="C37" s="360"/>
      <c r="D37" s="360"/>
      <c r="E37" s="173"/>
      <c r="F37" s="456"/>
      <c r="G37" s="360"/>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row>
    <row r="38" spans="1:33" s="174" customFormat="1" ht="15">
      <c r="A38" s="173"/>
      <c r="B38" s="173"/>
      <c r="C38" s="784"/>
      <c r="D38" s="173"/>
      <c r="E38" s="173"/>
      <c r="F38" s="360"/>
      <c r="G38" s="784"/>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row>
    <row r="39" spans="1:33" s="174" customFormat="1" ht="15">
      <c r="A39" s="173"/>
      <c r="B39" s="173"/>
      <c r="C39" s="703"/>
      <c r="D39" s="173"/>
      <c r="E39" s="173"/>
      <c r="F39" s="691"/>
      <c r="G39" s="78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row>
    <row r="40" spans="1:33" s="174" customFormat="1" ht="15">
      <c r="A40" s="173"/>
      <c r="B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row>
    <row r="41" spans="1:33" s="174" customFormat="1" ht="15">
      <c r="A41" s="173"/>
      <c r="B41" s="173"/>
      <c r="D41" s="501"/>
      <c r="E41" s="501"/>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row>
    <row r="42" spans="1:33" s="144" customFormat="1" ht="15">
      <c r="A42" s="129"/>
      <c r="B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row>
    <row r="43" spans="1:33" s="144" customFormat="1" ht="15">
      <c r="A43" s="129"/>
      <c r="B43" s="129"/>
      <c r="C43" s="702"/>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row>
    <row r="44" ht="15">
      <c r="C44" s="451"/>
    </row>
    <row r="45" spans="3:4" ht="15">
      <c r="C45" s="693"/>
      <c r="D45" s="451"/>
    </row>
    <row r="46" ht="15">
      <c r="C46" s="693"/>
    </row>
    <row r="47" ht="15">
      <c r="D47" s="469"/>
    </row>
    <row r="50" spans="3:4" ht="15">
      <c r="C50" s="456"/>
      <c r="D50" s="456"/>
    </row>
    <row r="51" spans="3:4" ht="15">
      <c r="C51" s="456"/>
      <c r="D51" s="456"/>
    </row>
    <row r="52" spans="3:4" ht="15">
      <c r="C52" s="456"/>
      <c r="D52" s="456"/>
    </row>
    <row r="53" spans="3:4" ht="15">
      <c r="C53" s="456"/>
      <c r="D53" s="456"/>
    </row>
    <row r="54" spans="3:4" ht="15">
      <c r="C54" s="456"/>
      <c r="D54" s="456"/>
    </row>
    <row r="55" spans="3:4" ht="15">
      <c r="C55" s="456"/>
      <c r="D55" s="456"/>
    </row>
    <row r="56" spans="3:4" ht="15">
      <c r="C56" s="456"/>
      <c r="D56" s="456"/>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X27"/>
  <sheetViews>
    <sheetView showGridLines="0" zoomScalePageLayoutView="0" workbookViewId="0" topLeftCell="A4">
      <selection activeCell="C19" sqref="C19"/>
    </sheetView>
  </sheetViews>
  <sheetFormatPr defaultColWidth="11.421875" defaultRowHeight="15"/>
  <cols>
    <col min="1" max="1" width="38.00390625" style="121" customWidth="1"/>
    <col min="2" max="2" width="14.7109375" style="121" customWidth="1"/>
    <col min="3" max="3" width="15.7109375" style="121" customWidth="1"/>
    <col min="4" max="4" width="4.8515625" style="121" customWidth="1"/>
    <col min="5" max="5" width="14.57421875" style="121" bestFit="1" customWidth="1"/>
    <col min="6" max="6" width="13.28125" style="121" customWidth="1"/>
    <col min="7" max="7" width="14.57421875" style="121" customWidth="1"/>
    <col min="8" max="20" width="11.421875" style="121" customWidth="1"/>
  </cols>
  <sheetData>
    <row r="1" spans="1:5" ht="15">
      <c r="A1" s="121" t="str">
        <f>Indice!C1</f>
        <v>NEGOFIN S.A.E.C.A.</v>
      </c>
      <c r="E1" s="142" t="s">
        <v>148</v>
      </c>
    </row>
    <row r="4" spans="1:24" ht="15">
      <c r="A4" s="907" t="s">
        <v>346</v>
      </c>
      <c r="B4" s="907"/>
      <c r="C4" s="907"/>
      <c r="D4" s="907"/>
      <c r="E4" s="907"/>
      <c r="F4" s="151"/>
      <c r="U4" s="121"/>
      <c r="V4" s="121"/>
      <c r="W4" s="121"/>
      <c r="X4" s="121"/>
    </row>
    <row r="5" spans="1:24" ht="15">
      <c r="A5" s="148"/>
      <c r="B5" s="150"/>
      <c r="C5" s="149"/>
      <c r="D5" s="149"/>
      <c r="E5" s="149"/>
      <c r="F5" s="151"/>
      <c r="U5" s="121"/>
      <c r="V5" s="121"/>
      <c r="W5" s="121"/>
      <c r="X5" s="121"/>
    </row>
    <row r="6" spans="1:24" s="198" customFormat="1" ht="15">
      <c r="A6" s="354" t="s">
        <v>261</v>
      </c>
      <c r="B6" s="908"/>
      <c r="C6" s="908"/>
      <c r="D6" s="149"/>
      <c r="E6" s="149"/>
      <c r="F6" s="151"/>
      <c r="G6" s="121"/>
      <c r="H6" s="121"/>
      <c r="I6" s="121"/>
      <c r="J6" s="121"/>
      <c r="K6" s="121"/>
      <c r="L6" s="121"/>
      <c r="M6" s="121"/>
      <c r="N6" s="121"/>
      <c r="O6" s="121"/>
      <c r="P6" s="121"/>
      <c r="Q6" s="121"/>
      <c r="R6" s="121"/>
      <c r="S6" s="121"/>
      <c r="T6" s="121"/>
      <c r="U6" s="121"/>
      <c r="V6" s="121"/>
      <c r="W6" s="121"/>
      <c r="X6" s="121"/>
    </row>
    <row r="7" spans="1:24" ht="15">
      <c r="A7" s="148"/>
      <c r="D7" s="149"/>
      <c r="E7" s="149"/>
      <c r="F7" s="151"/>
      <c r="U7" s="121"/>
      <c r="V7" s="121"/>
      <c r="W7" s="121"/>
      <c r="X7" s="121"/>
    </row>
    <row r="8" spans="1:24" ht="15">
      <c r="A8" s="152" t="s">
        <v>157</v>
      </c>
      <c r="B8" s="392">
        <f>_xlfn.IFERROR(IF(Indice!B6="","2XX2",YEAR(Indice!B6)),"2XX2")</f>
        <v>2021</v>
      </c>
      <c r="C8" s="392">
        <f>+_xlfn.IFERROR(YEAR(Indice!B6-365),"2XX1")</f>
        <v>2020</v>
      </c>
      <c r="D8" s="149"/>
      <c r="E8" s="152" t="s">
        <v>263</v>
      </c>
      <c r="F8" s="392">
        <f>_xlfn.IFERROR(IF(Indice!B6="","2XX2",YEAR(Indice!B6)),"2XX2")</f>
        <v>2021</v>
      </c>
      <c r="G8" s="392">
        <f>+_xlfn.IFERROR(YEAR(Indice!B6-365),"2XX1")</f>
        <v>2020</v>
      </c>
      <c r="U8" s="121"/>
      <c r="V8" s="121"/>
      <c r="W8" s="121"/>
      <c r="X8" s="121"/>
    </row>
    <row r="9" spans="1:24" ht="15">
      <c r="A9" s="148" t="s">
        <v>154</v>
      </c>
      <c r="B9" s="148"/>
      <c r="C9" s="148"/>
      <c r="D9" s="149"/>
      <c r="E9" s="148" t="s">
        <v>154</v>
      </c>
      <c r="F9" s="148"/>
      <c r="G9" s="148"/>
      <c r="U9" s="121"/>
      <c r="V9" s="121"/>
      <c r="W9" s="121"/>
      <c r="X9" s="121"/>
    </row>
    <row r="10" spans="1:24" ht="15">
      <c r="A10" s="148" t="s">
        <v>1046</v>
      </c>
      <c r="B10" s="522">
        <v>83705.046</v>
      </c>
      <c r="C10" s="522">
        <v>24379.508</v>
      </c>
      <c r="D10" s="149"/>
      <c r="E10" s="148"/>
      <c r="F10" s="522">
        <v>0</v>
      </c>
      <c r="G10" s="522">
        <v>0</v>
      </c>
      <c r="U10" s="121"/>
      <c r="V10" s="121"/>
      <c r="W10" s="121"/>
      <c r="X10" s="121"/>
    </row>
    <row r="11" spans="1:24" ht="15">
      <c r="A11" s="148" t="s">
        <v>1047</v>
      </c>
      <c r="B11" s="522">
        <v>173776.577</v>
      </c>
      <c r="C11" s="522">
        <v>191939.303</v>
      </c>
      <c r="D11" s="149"/>
      <c r="E11" s="148"/>
      <c r="F11" s="522">
        <v>0</v>
      </c>
      <c r="G11" s="522">
        <v>0</v>
      </c>
      <c r="U11" s="121"/>
      <c r="V11" s="121"/>
      <c r="W11" s="121"/>
      <c r="X11" s="121"/>
    </row>
    <row r="12" spans="1:24" ht="15">
      <c r="A12" s="148" t="s">
        <v>1048</v>
      </c>
      <c r="B12" s="522">
        <v>131899.04</v>
      </c>
      <c r="C12" s="522">
        <v>188034.187</v>
      </c>
      <c r="D12" s="149"/>
      <c r="E12" s="148"/>
      <c r="F12" s="522">
        <v>0</v>
      </c>
      <c r="G12" s="522">
        <v>0</v>
      </c>
      <c r="U12" s="121"/>
      <c r="V12" s="121"/>
      <c r="W12" s="121"/>
      <c r="X12" s="121"/>
    </row>
    <row r="13" spans="1:24" ht="15">
      <c r="A13" s="148" t="s">
        <v>1049</v>
      </c>
      <c r="B13" s="522">
        <v>6079.246</v>
      </c>
      <c r="C13" s="522">
        <v>2188.58</v>
      </c>
      <c r="D13" s="149"/>
      <c r="E13" s="148"/>
      <c r="F13" s="522">
        <v>0</v>
      </c>
      <c r="G13" s="522">
        <v>0</v>
      </c>
      <c r="U13" s="121"/>
      <c r="V13" s="121"/>
      <c r="W13" s="121"/>
      <c r="X13" s="121"/>
    </row>
    <row r="14" spans="1:24" ht="15">
      <c r="A14" s="148" t="s">
        <v>1050</v>
      </c>
      <c r="B14" s="523">
        <v>26845.625</v>
      </c>
      <c r="C14" s="522">
        <v>27695.366</v>
      </c>
      <c r="D14" s="149"/>
      <c r="E14" s="148"/>
      <c r="F14" s="522">
        <v>0</v>
      </c>
      <c r="G14" s="522">
        <v>0</v>
      </c>
      <c r="U14" s="121"/>
      <c r="V14" s="121"/>
      <c r="W14" s="121"/>
      <c r="X14" s="121"/>
    </row>
    <row r="15" spans="1:24" ht="15">
      <c r="A15" s="148" t="s">
        <v>1051</v>
      </c>
      <c r="B15" s="523">
        <v>2101707.529</v>
      </c>
      <c r="C15" s="522">
        <v>1627052.377</v>
      </c>
      <c r="D15" s="149"/>
      <c r="E15" s="148"/>
      <c r="F15" s="522">
        <v>0</v>
      </c>
      <c r="G15" s="522">
        <v>0</v>
      </c>
      <c r="U15" s="121"/>
      <c r="V15" s="121"/>
      <c r="W15" s="121"/>
      <c r="X15" s="121"/>
    </row>
    <row r="16" spans="1:24" s="692" customFormat="1" ht="15">
      <c r="A16" s="148" t="s">
        <v>1283</v>
      </c>
      <c r="B16" s="523">
        <v>8115956.266</v>
      </c>
      <c r="C16" s="522">
        <v>7620024</v>
      </c>
      <c r="D16" s="149"/>
      <c r="E16" s="148"/>
      <c r="F16" s="522"/>
      <c r="G16" s="522"/>
      <c r="H16" s="121"/>
      <c r="I16" s="121"/>
      <c r="J16" s="121"/>
      <c r="K16" s="121"/>
      <c r="L16" s="121"/>
      <c r="M16" s="121"/>
      <c r="N16" s="121"/>
      <c r="O16" s="121"/>
      <c r="P16" s="121"/>
      <c r="Q16" s="121"/>
      <c r="R16" s="121"/>
      <c r="S16" s="121"/>
      <c r="T16" s="121"/>
      <c r="U16" s="121"/>
      <c r="V16" s="121"/>
      <c r="W16" s="121"/>
      <c r="X16" s="121"/>
    </row>
    <row r="17" spans="1:24" s="768" customFormat="1" ht="15">
      <c r="A17" s="782" t="s">
        <v>1323</v>
      </c>
      <c r="B17" s="523">
        <v>46345.694</v>
      </c>
      <c r="C17" s="522">
        <v>399</v>
      </c>
      <c r="D17" s="149"/>
      <c r="E17" s="148"/>
      <c r="F17" s="522"/>
      <c r="G17" s="522"/>
      <c r="H17" s="121"/>
      <c r="I17" s="121"/>
      <c r="J17" s="121"/>
      <c r="K17" s="121"/>
      <c r="L17" s="121"/>
      <c r="M17" s="121"/>
      <c r="N17" s="121"/>
      <c r="O17" s="121"/>
      <c r="P17" s="121"/>
      <c r="Q17" s="121"/>
      <c r="R17" s="121"/>
      <c r="S17" s="121"/>
      <c r="T17" s="121"/>
      <c r="U17" s="121"/>
      <c r="V17" s="121"/>
      <c r="W17" s="121"/>
      <c r="X17" s="121"/>
    </row>
    <row r="18" spans="1:24" ht="15">
      <c r="A18" s="152" t="s">
        <v>3</v>
      </c>
      <c r="B18" s="521">
        <f>SUM($B$9:B17)</f>
        <v>10686315.023</v>
      </c>
      <c r="C18" s="521">
        <f>SUM($C$9:C17)</f>
        <v>9681712.321</v>
      </c>
      <c r="D18" s="355"/>
      <c r="E18" s="417" t="s">
        <v>3</v>
      </c>
      <c r="F18" s="521">
        <f>SUM($F$9:F15)</f>
        <v>0</v>
      </c>
      <c r="G18" s="521">
        <f>SUM($G$9:G15)</f>
        <v>0</v>
      </c>
      <c r="U18" s="121"/>
      <c r="V18" s="121"/>
      <c r="W18" s="121"/>
      <c r="X18" s="121"/>
    </row>
    <row r="19" spans="4:24" s="198" customFormat="1" ht="15">
      <c r="D19" s="149"/>
      <c r="E19" s="149"/>
      <c r="F19" s="151"/>
      <c r="G19" s="121"/>
      <c r="H19" s="121"/>
      <c r="I19" s="121"/>
      <c r="J19" s="121"/>
      <c r="K19" s="121"/>
      <c r="L19" s="121"/>
      <c r="M19" s="121"/>
      <c r="N19" s="121"/>
      <c r="O19" s="121"/>
      <c r="P19" s="121"/>
      <c r="Q19" s="121"/>
      <c r="R19" s="121"/>
      <c r="S19" s="121"/>
      <c r="T19" s="121"/>
      <c r="U19" s="121"/>
      <c r="V19" s="121"/>
      <c r="W19" s="121"/>
      <c r="X19" s="121"/>
    </row>
    <row r="20" spans="2:24" s="198" customFormat="1" ht="15">
      <c r="B20" s="524"/>
      <c r="C20" s="524"/>
      <c r="D20" s="149"/>
      <c r="E20" s="149"/>
      <c r="F20" s="151"/>
      <c r="G20" s="121"/>
      <c r="H20" s="121"/>
      <c r="I20" s="121"/>
      <c r="J20" s="121"/>
      <c r="K20" s="121"/>
      <c r="L20" s="121"/>
      <c r="M20" s="121"/>
      <c r="N20" s="121"/>
      <c r="O20" s="121"/>
      <c r="P20" s="121"/>
      <c r="Q20" s="121"/>
      <c r="R20" s="121"/>
      <c r="S20" s="121"/>
      <c r="T20" s="121"/>
      <c r="U20" s="121"/>
      <c r="V20" s="121"/>
      <c r="W20" s="121"/>
      <c r="X20" s="121"/>
    </row>
    <row r="21" spans="2:24" s="198" customFormat="1" ht="15">
      <c r="B21" s="451"/>
      <c r="C21" s="451"/>
      <c r="D21" s="149"/>
      <c r="E21" s="149"/>
      <c r="F21" s="151"/>
      <c r="G21" s="121"/>
      <c r="H21" s="121"/>
      <c r="I21" s="121"/>
      <c r="J21" s="121"/>
      <c r="K21" s="121"/>
      <c r="L21" s="121"/>
      <c r="M21" s="121"/>
      <c r="N21" s="121"/>
      <c r="O21" s="121"/>
      <c r="P21" s="121"/>
      <c r="Q21" s="121"/>
      <c r="R21" s="121"/>
      <c r="S21" s="121"/>
      <c r="T21" s="121"/>
      <c r="U21" s="121"/>
      <c r="V21" s="121"/>
      <c r="W21" s="121"/>
      <c r="X21" s="121"/>
    </row>
    <row r="22" spans="4:24" s="198" customFormat="1" ht="15">
      <c r="D22" s="149"/>
      <c r="E22" s="149"/>
      <c r="F22" s="151"/>
      <c r="G22" s="121"/>
      <c r="H22" s="121"/>
      <c r="I22" s="121"/>
      <c r="J22" s="121"/>
      <c r="K22" s="121"/>
      <c r="L22" s="121"/>
      <c r="M22" s="121"/>
      <c r="N22" s="121"/>
      <c r="O22" s="121"/>
      <c r="P22" s="121"/>
      <c r="Q22" s="121"/>
      <c r="R22" s="121"/>
      <c r="S22" s="121"/>
      <c r="T22" s="121"/>
      <c r="U22" s="121"/>
      <c r="V22" s="121"/>
      <c r="W22" s="121"/>
      <c r="X22" s="121"/>
    </row>
    <row r="23" spans="4:24" s="198" customFormat="1" ht="15">
      <c r="D23" s="149"/>
      <c r="E23" s="149"/>
      <c r="F23" s="151"/>
      <c r="G23" s="121"/>
      <c r="H23" s="121"/>
      <c r="I23" s="121"/>
      <c r="J23" s="121"/>
      <c r="K23" s="121"/>
      <c r="L23" s="121"/>
      <c r="M23" s="121"/>
      <c r="N23" s="121"/>
      <c r="O23" s="121"/>
      <c r="P23" s="121"/>
      <c r="Q23" s="121"/>
      <c r="R23" s="121"/>
      <c r="S23" s="121"/>
      <c r="T23" s="121"/>
      <c r="U23" s="121"/>
      <c r="V23" s="121"/>
      <c r="W23" s="121"/>
      <c r="X23" s="121"/>
    </row>
    <row r="24" spans="4:24" s="198" customFormat="1" ht="15">
      <c r="D24" s="149"/>
      <c r="E24" s="149"/>
      <c r="F24" s="151"/>
      <c r="G24" s="121"/>
      <c r="H24" s="121"/>
      <c r="I24" s="121"/>
      <c r="J24" s="121"/>
      <c r="K24" s="121"/>
      <c r="L24" s="121"/>
      <c r="M24" s="121"/>
      <c r="N24" s="121"/>
      <c r="O24" s="121"/>
      <c r="P24" s="121"/>
      <c r="Q24" s="121"/>
      <c r="R24" s="121"/>
      <c r="S24" s="121"/>
      <c r="T24" s="121"/>
      <c r="U24" s="121"/>
      <c r="V24" s="121"/>
      <c r="W24" s="121"/>
      <c r="X24" s="121"/>
    </row>
    <row r="25" spans="4:24" s="198" customFormat="1" ht="15">
      <c r="D25" s="149"/>
      <c r="E25" s="149"/>
      <c r="F25" s="151"/>
      <c r="G25" s="121"/>
      <c r="H25" s="121"/>
      <c r="I25" s="121"/>
      <c r="J25" s="121"/>
      <c r="K25" s="121"/>
      <c r="L25" s="121"/>
      <c r="M25" s="121"/>
      <c r="N25" s="121"/>
      <c r="O25" s="121"/>
      <c r="P25" s="121"/>
      <c r="Q25" s="121"/>
      <c r="R25" s="121"/>
      <c r="S25" s="121"/>
      <c r="T25" s="121"/>
      <c r="U25" s="121"/>
      <c r="V25" s="121"/>
      <c r="W25" s="121"/>
      <c r="X25" s="121"/>
    </row>
    <row r="26" spans="4:24" s="198" customFormat="1" ht="15">
      <c r="D26" s="149"/>
      <c r="E26" s="149"/>
      <c r="F26" s="151"/>
      <c r="G26" s="121"/>
      <c r="H26" s="121"/>
      <c r="I26" s="121"/>
      <c r="J26" s="121"/>
      <c r="K26" s="121"/>
      <c r="L26" s="121"/>
      <c r="M26" s="121"/>
      <c r="N26" s="121"/>
      <c r="O26" s="121"/>
      <c r="P26" s="121"/>
      <c r="Q26" s="121"/>
      <c r="R26" s="121"/>
      <c r="S26" s="121"/>
      <c r="T26" s="121"/>
      <c r="U26" s="121"/>
      <c r="V26" s="121"/>
      <c r="W26" s="121"/>
      <c r="X26" s="121"/>
    </row>
    <row r="27" spans="4:24" s="198" customFormat="1" ht="15">
      <c r="D27" s="149"/>
      <c r="E27" s="149"/>
      <c r="F27" s="151"/>
      <c r="G27" s="121"/>
      <c r="H27" s="121"/>
      <c r="I27" s="121"/>
      <c r="J27" s="121"/>
      <c r="K27" s="121"/>
      <c r="L27" s="121"/>
      <c r="M27" s="121"/>
      <c r="N27" s="121"/>
      <c r="O27" s="121"/>
      <c r="P27" s="121"/>
      <c r="Q27" s="121"/>
      <c r="R27" s="121"/>
      <c r="S27" s="121"/>
      <c r="T27" s="121"/>
      <c r="U27" s="121"/>
      <c r="V27" s="121"/>
      <c r="W27" s="121"/>
      <c r="X27" s="121"/>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E20"/>
  <sheetViews>
    <sheetView showGridLines="0" zoomScalePageLayoutView="0" workbookViewId="0" topLeftCell="A1">
      <selection activeCell="G14" sqref="G14"/>
    </sheetView>
  </sheetViews>
  <sheetFormatPr defaultColWidth="11.421875" defaultRowHeight="15"/>
  <cols>
    <col min="1" max="1" width="35.8515625" style="121" customWidth="1"/>
    <col min="2" max="2" width="18.421875" style="121" customWidth="1"/>
    <col min="3" max="3" width="16.7109375" style="121" customWidth="1"/>
    <col min="4" max="4" width="11.421875" style="121" customWidth="1"/>
    <col min="5" max="5" width="30.421875" style="121" bestFit="1" customWidth="1"/>
    <col min="6" max="6" width="17.28125" style="121" customWidth="1"/>
    <col min="7" max="7" width="16.00390625" style="121" customWidth="1"/>
    <col min="8" max="15" width="11.421875" style="121" customWidth="1"/>
  </cols>
  <sheetData>
    <row r="1" spans="1:5" ht="15">
      <c r="A1" s="121" t="str">
        <f>Indice!C1</f>
        <v>NEGOFIN S.A.E.C.A.</v>
      </c>
      <c r="E1" s="142" t="s">
        <v>148</v>
      </c>
    </row>
    <row r="5" spans="1:30" ht="15">
      <c r="A5" s="305" t="s">
        <v>347</v>
      </c>
      <c r="B5" s="305"/>
      <c r="C5" s="305"/>
      <c r="D5" s="305"/>
      <c r="E5" s="305"/>
      <c r="F5" s="305"/>
      <c r="G5" s="305"/>
      <c r="H5" s="24"/>
      <c r="I5" s="24"/>
      <c r="J5" s="24"/>
      <c r="K5" s="24"/>
      <c r="L5" s="24"/>
      <c r="M5" s="24"/>
      <c r="N5" s="24"/>
      <c r="O5" s="24"/>
      <c r="P5" s="24"/>
      <c r="Q5" s="24"/>
      <c r="R5" s="24"/>
      <c r="S5" s="24"/>
      <c r="T5" s="24"/>
      <c r="U5" s="24"/>
      <c r="V5" s="24"/>
      <c r="W5" s="24"/>
      <c r="X5" s="24"/>
      <c r="Y5" s="24"/>
      <c r="Z5" s="24"/>
      <c r="AA5" s="24"/>
      <c r="AB5" s="24"/>
      <c r="AC5" s="24"/>
      <c r="AD5" s="24"/>
    </row>
    <row r="6" ht="15">
      <c r="A6" s="332" t="s">
        <v>261</v>
      </c>
    </row>
    <row r="7" ht="15">
      <c r="C7" s="332"/>
    </row>
    <row r="8" spans="1:31" ht="15">
      <c r="A8" s="147" t="s">
        <v>159</v>
      </c>
      <c r="B8" s="392">
        <f>_xlfn.IFERROR(IF(Indice!B6="","2XX2",YEAR(Indice!B6)),"2XX2")</f>
        <v>2021</v>
      </c>
      <c r="C8" s="392">
        <f>+_xlfn.IFERROR(YEAR(Indice!B6-365),"2XX1")</f>
        <v>2020</v>
      </c>
      <c r="D8" s="24"/>
      <c r="E8" s="147" t="s">
        <v>161</v>
      </c>
      <c r="F8" s="392">
        <f>_xlfn.IFERROR(IF(Indice!B6="","2XX2",YEAR(Indice!B6)),"2XX2")</f>
        <v>2021</v>
      </c>
      <c r="G8" s="392">
        <f>+_xlfn.IFERROR(YEAR(Indice!B6-365),"2XX1")</f>
        <v>2020</v>
      </c>
      <c r="H8" s="24"/>
      <c r="I8" s="24"/>
      <c r="J8" s="24"/>
      <c r="K8" s="24"/>
      <c r="L8" s="24"/>
      <c r="M8" s="24"/>
      <c r="N8" s="24"/>
      <c r="O8" s="24"/>
      <c r="P8" s="24"/>
      <c r="Q8" s="24"/>
      <c r="R8" s="24"/>
      <c r="S8" s="24"/>
      <c r="T8" s="24"/>
      <c r="U8" s="24"/>
      <c r="V8" s="24"/>
      <c r="W8" s="24"/>
      <c r="X8" s="24"/>
      <c r="Y8" s="24"/>
      <c r="Z8" s="24"/>
      <c r="AA8" s="24"/>
      <c r="AB8" s="24"/>
      <c r="AC8" s="24"/>
      <c r="AD8" s="24"/>
      <c r="AE8" s="24"/>
    </row>
    <row r="9" spans="1:31" ht="15">
      <c r="A9" s="24" t="s">
        <v>869</v>
      </c>
      <c r="B9" s="24"/>
      <c r="C9" s="24"/>
      <c r="D9" s="24"/>
      <c r="E9" s="24" t="s">
        <v>869</v>
      </c>
      <c r="F9" s="24"/>
      <c r="G9" s="24"/>
      <c r="H9" s="24"/>
      <c r="I9" s="24"/>
      <c r="J9" s="24"/>
      <c r="K9" s="24"/>
      <c r="L9" s="24"/>
      <c r="M9" s="24"/>
      <c r="N9" s="24"/>
      <c r="O9" s="24"/>
      <c r="P9" s="24"/>
      <c r="Q9" s="24"/>
      <c r="R9" s="24"/>
      <c r="S9" s="24"/>
      <c r="T9" s="24"/>
      <c r="U9" s="24"/>
      <c r="V9" s="24"/>
      <c r="W9" s="24"/>
      <c r="X9" s="24"/>
      <c r="Y9" s="24"/>
      <c r="Z9" s="24"/>
      <c r="AA9" s="24"/>
      <c r="AB9" s="24"/>
      <c r="AC9" s="24"/>
      <c r="AD9" s="24"/>
      <c r="AE9" s="24"/>
    </row>
    <row r="10" spans="1:31" s="198" customFormat="1" ht="15">
      <c r="A10" s="198" t="s">
        <v>1045</v>
      </c>
      <c r="B10" s="512">
        <v>9092566.181</v>
      </c>
      <c r="C10" s="512">
        <v>8497758.765</v>
      </c>
      <c r="D10" s="24"/>
      <c r="E10" s="24" t="s">
        <v>1042</v>
      </c>
      <c r="F10" s="512">
        <v>4921239.924</v>
      </c>
      <c r="G10" s="512">
        <v>9395221.209</v>
      </c>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s="448" customFormat="1" ht="15">
      <c r="A11" s="448" t="s">
        <v>1052</v>
      </c>
      <c r="B11" s="512">
        <v>6177958.886</v>
      </c>
      <c r="C11" s="512">
        <v>4708699.194</v>
      </c>
      <c r="D11" s="24"/>
      <c r="E11" s="24" t="s">
        <v>1043</v>
      </c>
      <c r="F11" s="512">
        <v>10143753.395</v>
      </c>
      <c r="G11" s="512">
        <v>6119517.397</v>
      </c>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s="198" customFormat="1" ht="15">
      <c r="A12" s="448" t="s">
        <v>1053</v>
      </c>
      <c r="B12" s="512">
        <v>52393.225</v>
      </c>
      <c r="C12" s="512">
        <v>80666.477</v>
      </c>
      <c r="D12" s="24"/>
      <c r="E12" s="121" t="s">
        <v>1044</v>
      </c>
      <c r="F12" s="512">
        <v>168801.178</v>
      </c>
      <c r="G12" s="512">
        <v>294196.226</v>
      </c>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5">
      <c r="A13" s="24" t="s">
        <v>1039</v>
      </c>
      <c r="B13" s="512">
        <v>295531.311</v>
      </c>
      <c r="C13" s="512">
        <v>292771.069</v>
      </c>
      <c r="D13" s="24"/>
      <c r="E13" s="121" t="s">
        <v>1284</v>
      </c>
      <c r="F13" s="512">
        <v>439508.155</v>
      </c>
      <c r="G13" s="512">
        <v>834727.53</v>
      </c>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s="692" customFormat="1" ht="15">
      <c r="A14" s="24" t="s">
        <v>1282</v>
      </c>
      <c r="B14" s="512">
        <v>16363.637</v>
      </c>
      <c r="C14" s="512">
        <v>0</v>
      </c>
      <c r="D14" s="24"/>
      <c r="E14" s="121"/>
      <c r="F14" s="121"/>
      <c r="G14" s="121"/>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ht="15">
      <c r="A15" s="24" t="s">
        <v>1040</v>
      </c>
      <c r="B15" s="512">
        <v>8793.124</v>
      </c>
      <c r="C15" s="512">
        <v>78561.363</v>
      </c>
      <c r="D15" s="24"/>
      <c r="E15" s="24"/>
      <c r="F15" s="512"/>
      <c r="G15" s="512"/>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ht="15">
      <c r="A16" s="121" t="s">
        <v>1041</v>
      </c>
      <c r="B16" s="512">
        <v>39010.682</v>
      </c>
      <c r="C16" s="512">
        <v>130399.246</v>
      </c>
      <c r="D16" s="24"/>
      <c r="E16" s="147" t="s">
        <v>272</v>
      </c>
      <c r="F16" s="521">
        <f>SUM($F9:F15)</f>
        <v>15673302.651999997</v>
      </c>
      <c r="G16" s="521">
        <f>SUM($G9:G15)</f>
        <v>16643662.362</v>
      </c>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ht="15">
      <c r="A17" s="147" t="s">
        <v>160</v>
      </c>
      <c r="B17" s="521">
        <f>SUM($B9:B16)</f>
        <v>15682617.046</v>
      </c>
      <c r="C17" s="521">
        <f>SUM($C9:C16)</f>
        <v>13788856.114</v>
      </c>
      <c r="D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 ht="15">
      <c r="A18" s="24"/>
      <c r="B18" s="154"/>
      <c r="C18" s="154"/>
    </row>
    <row r="19" spans="4:31" ht="15">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4:31" ht="15">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sheetData>
  <sheetProtection/>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7"/>
  <sheetViews>
    <sheetView zoomScalePageLayoutView="0" workbookViewId="0" topLeftCell="A1">
      <selection activeCell="A7" sqref="A7"/>
    </sheetView>
  </sheetViews>
  <sheetFormatPr defaultColWidth="11.421875" defaultRowHeight="15"/>
  <cols>
    <col min="1" max="1" width="38.00390625" style="121" customWidth="1"/>
    <col min="2" max="2" width="16.57421875" style="121" customWidth="1"/>
    <col min="3" max="3" width="18.421875" style="121" customWidth="1"/>
    <col min="4" max="25" width="11.421875" style="121" customWidth="1"/>
  </cols>
  <sheetData>
    <row r="1" spans="1:5" ht="15">
      <c r="A1" s="121" t="str">
        <f>Indice!C1</f>
        <v>NEGOFIN S.A.E.C.A.</v>
      </c>
      <c r="E1" s="142" t="s">
        <v>148</v>
      </c>
    </row>
    <row r="4" spans="1:28" s="331" customFormat="1" ht="15.75" customHeight="1">
      <c r="A4" s="336" t="s">
        <v>218</v>
      </c>
      <c r="B4" s="418"/>
      <c r="C4" s="418"/>
      <c r="D4" s="418"/>
      <c r="E4" s="418"/>
      <c r="F4" s="148"/>
      <c r="G4" s="151"/>
      <c r="H4" s="149"/>
      <c r="I4" s="121"/>
      <c r="J4" s="121"/>
      <c r="K4" s="121"/>
      <c r="L4" s="121"/>
      <c r="M4" s="121"/>
      <c r="N4" s="121"/>
      <c r="O4" s="121"/>
      <c r="P4" s="121"/>
      <c r="Q4" s="121"/>
      <c r="R4" s="121"/>
      <c r="S4" s="121"/>
      <c r="T4" s="121"/>
      <c r="U4" s="121"/>
      <c r="V4" s="121"/>
      <c r="W4" s="121"/>
      <c r="X4" s="121"/>
      <c r="Y4" s="121"/>
      <c r="Z4" s="121"/>
      <c r="AA4" s="121"/>
      <c r="AB4" s="121"/>
    </row>
    <row r="5" spans="1:28" s="198" customFormat="1" ht="15.75" customHeight="1">
      <c r="A5" s="419" t="s">
        <v>261</v>
      </c>
      <c r="B5" s="419"/>
      <c r="C5" s="223"/>
      <c r="D5" s="223"/>
      <c r="E5" s="223"/>
      <c r="F5" s="148"/>
      <c r="G5" s="151"/>
      <c r="H5" s="149"/>
      <c r="I5" s="121"/>
      <c r="J5" s="121"/>
      <c r="K5" s="121"/>
      <c r="L5" s="121"/>
      <c r="M5" s="121"/>
      <c r="N5" s="121"/>
      <c r="O5" s="121"/>
      <c r="P5" s="121"/>
      <c r="Q5" s="121"/>
      <c r="R5" s="121"/>
      <c r="S5" s="121"/>
      <c r="T5" s="121"/>
      <c r="U5" s="121"/>
      <c r="V5" s="121"/>
      <c r="W5" s="121"/>
      <c r="X5" s="121"/>
      <c r="Y5" s="121"/>
      <c r="Z5" s="121"/>
      <c r="AA5" s="121"/>
      <c r="AB5" s="121"/>
    </row>
    <row r="6" spans="1:28" ht="15">
      <c r="A6" s="148" t="s">
        <v>1224</v>
      </c>
      <c r="B6" s="908"/>
      <c r="C6" s="908"/>
      <c r="D6" s="149"/>
      <c r="E6" s="149"/>
      <c r="F6" s="148"/>
      <c r="G6" s="151"/>
      <c r="H6" s="149"/>
      <c r="Z6" s="121"/>
      <c r="AA6" s="121"/>
      <c r="AB6" s="121"/>
    </row>
    <row r="7" spans="1:28" ht="15">
      <c r="A7" s="148"/>
      <c r="D7" s="149"/>
      <c r="E7" s="149"/>
      <c r="F7" s="148"/>
      <c r="G7" s="151"/>
      <c r="H7" s="149"/>
      <c r="Z7" s="121"/>
      <c r="AA7" s="121"/>
      <c r="AB7" s="121"/>
    </row>
    <row r="8" spans="1:28" ht="15">
      <c r="A8" s="152" t="s">
        <v>162</v>
      </c>
      <c r="B8" s="392">
        <f>_xlfn.IFERROR(IF(Indice!B6="","2XX2",YEAR(Indice!B6)),"2XX2")</f>
        <v>2021</v>
      </c>
      <c r="C8" s="392">
        <f>+_xlfn.IFERROR(YEAR(Indice!B6-365),"2XX1")</f>
        <v>2020</v>
      </c>
      <c r="D8" s="149"/>
      <c r="E8" s="149"/>
      <c r="F8" s="148"/>
      <c r="G8" s="151"/>
      <c r="H8" s="149"/>
      <c r="Z8" s="121"/>
      <c r="AA8" s="121"/>
      <c r="AB8" s="121"/>
    </row>
    <row r="9" spans="1:28" ht="15">
      <c r="A9" s="148" t="s">
        <v>154</v>
      </c>
      <c r="B9" s="148"/>
      <c r="C9" s="148"/>
      <c r="D9" s="149"/>
      <c r="E9" s="149"/>
      <c r="F9" s="148"/>
      <c r="G9" s="151"/>
      <c r="H9" s="149"/>
      <c r="Z9" s="121"/>
      <c r="AA9" s="121"/>
      <c r="AB9" s="121"/>
    </row>
    <row r="10" spans="1:28" ht="15">
      <c r="A10" s="148"/>
      <c r="B10" s="148"/>
      <c r="C10" s="148"/>
      <c r="D10" s="149"/>
      <c r="E10" s="149"/>
      <c r="F10" s="148"/>
      <c r="G10" s="151"/>
      <c r="H10" s="149"/>
      <c r="Z10" s="121"/>
      <c r="AA10" s="121"/>
      <c r="AB10" s="121"/>
    </row>
    <row r="11" spans="1:28" ht="15">
      <c r="A11" s="148"/>
      <c r="B11" s="148"/>
      <c r="C11" s="148"/>
      <c r="D11" s="149"/>
      <c r="E11" s="149"/>
      <c r="F11" s="148"/>
      <c r="G11" s="151"/>
      <c r="H11" s="149"/>
      <c r="Z11" s="121"/>
      <c r="AA11" s="121"/>
      <c r="AB11" s="121"/>
    </row>
    <row r="12" spans="1:28" ht="15">
      <c r="A12" s="148"/>
      <c r="B12" s="148"/>
      <c r="C12" s="148"/>
      <c r="D12" s="149"/>
      <c r="E12" s="149"/>
      <c r="F12" s="148"/>
      <c r="G12" s="151"/>
      <c r="H12" s="149"/>
      <c r="Z12" s="121"/>
      <c r="AA12" s="121"/>
      <c r="AB12" s="121"/>
    </row>
    <row r="13" spans="1:28" ht="15">
      <c r="A13" s="148"/>
      <c r="B13" s="148"/>
      <c r="C13" s="148"/>
      <c r="D13" s="149"/>
      <c r="E13" s="149"/>
      <c r="F13" s="148"/>
      <c r="G13" s="151"/>
      <c r="H13" s="149"/>
      <c r="Z13" s="121"/>
      <c r="AA13" s="121"/>
      <c r="AB13" s="121"/>
    </row>
    <row r="14" spans="1:28" ht="15">
      <c r="A14" s="148"/>
      <c r="B14" s="150"/>
      <c r="C14" s="148"/>
      <c r="D14" s="149"/>
      <c r="E14" s="149"/>
      <c r="F14" s="148"/>
      <c r="G14" s="151"/>
      <c r="H14" s="149"/>
      <c r="Z14" s="121"/>
      <c r="AA14" s="121"/>
      <c r="AB14" s="121"/>
    </row>
    <row r="15" spans="1:28" ht="15">
      <c r="A15" s="148"/>
      <c r="B15" s="150"/>
      <c r="C15" s="148"/>
      <c r="D15" s="149"/>
      <c r="E15" s="149"/>
      <c r="F15" s="148"/>
      <c r="G15" s="151"/>
      <c r="H15" s="149"/>
      <c r="Z15" s="121"/>
      <c r="AA15" s="121"/>
      <c r="AB15" s="121"/>
    </row>
    <row r="16" spans="1:28" ht="15">
      <c r="A16" s="152" t="s">
        <v>3</v>
      </c>
      <c r="B16" s="153">
        <f>SUM($B9:B15)</f>
        <v>0</v>
      </c>
      <c r="C16" s="153">
        <f>SUM($C9:C15)</f>
        <v>0</v>
      </c>
      <c r="D16" s="149"/>
      <c r="E16" s="149"/>
      <c r="F16" s="148"/>
      <c r="G16" s="151"/>
      <c r="H16" s="149"/>
      <c r="Z16" s="121"/>
      <c r="AA16" s="121"/>
      <c r="AB16" s="121"/>
    </row>
    <row r="17" spans="1:28" ht="15">
      <c r="A17" s="148"/>
      <c r="B17" s="150"/>
      <c r="C17" s="149"/>
      <c r="D17" s="149"/>
      <c r="E17" s="149"/>
      <c r="F17" s="148"/>
      <c r="G17" s="151"/>
      <c r="H17" s="149"/>
      <c r="Z17" s="121"/>
      <c r="AA17" s="121"/>
      <c r="AB17" s="121"/>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F4" sqref="F4"/>
    </sheetView>
  </sheetViews>
  <sheetFormatPr defaultColWidth="11.421875" defaultRowHeight="15"/>
  <cols>
    <col min="1" max="1" width="38.00390625" style="121" customWidth="1"/>
    <col min="2" max="2" width="18.421875" style="121" customWidth="1"/>
    <col min="3" max="3" width="17.7109375" style="121" customWidth="1"/>
    <col min="4" max="22" width="11.421875" style="121" customWidth="1"/>
  </cols>
  <sheetData>
    <row r="1" spans="1:5" ht="15">
      <c r="A1" s="121" t="str">
        <f>Indice!C1</f>
        <v>NEGOFIN S.A.E.C.A.</v>
      </c>
      <c r="E1" s="142" t="s">
        <v>148</v>
      </c>
    </row>
    <row r="4" spans="1:8" ht="15">
      <c r="A4" s="336" t="s">
        <v>349</v>
      </c>
      <c r="B4" s="336"/>
      <c r="C4" s="336"/>
      <c r="D4" s="336"/>
      <c r="E4" s="336"/>
      <c r="F4" s="148"/>
      <c r="G4" s="151"/>
      <c r="H4" s="149"/>
    </row>
    <row r="5" spans="1:8" ht="15">
      <c r="A5" s="909" t="s">
        <v>261</v>
      </c>
      <c r="B5" s="909"/>
      <c r="C5" s="149"/>
      <c r="D5" s="149"/>
      <c r="E5" s="149"/>
      <c r="F5" s="148"/>
      <c r="G5" s="151"/>
      <c r="H5" s="149"/>
    </row>
    <row r="6" spans="1:22" s="198" customFormat="1" ht="15">
      <c r="A6" s="148" t="s">
        <v>1224</v>
      </c>
      <c r="B6" s="908"/>
      <c r="C6" s="908"/>
      <c r="D6" s="149"/>
      <c r="E6" s="149"/>
      <c r="F6" s="148"/>
      <c r="G6" s="151"/>
      <c r="H6" s="149"/>
      <c r="I6" s="121"/>
      <c r="J6" s="121"/>
      <c r="K6" s="121"/>
      <c r="L6" s="121"/>
      <c r="M6" s="121"/>
      <c r="N6" s="121"/>
      <c r="O6" s="121"/>
      <c r="P6" s="121"/>
      <c r="Q6" s="121"/>
      <c r="R6" s="121"/>
      <c r="S6" s="121"/>
      <c r="T6" s="121"/>
      <c r="U6" s="121"/>
      <c r="V6" s="121"/>
    </row>
    <row r="7" spans="1:8" ht="15">
      <c r="A7" s="148"/>
      <c r="D7" s="149"/>
      <c r="E7" s="149"/>
      <c r="F7" s="148"/>
      <c r="G7" s="151"/>
      <c r="H7" s="149"/>
    </row>
    <row r="8" spans="1:8" ht="15">
      <c r="A8" s="152" t="s">
        <v>163</v>
      </c>
      <c r="B8" s="392">
        <f>_xlfn.IFERROR(IF(Indice!B6="","2XX2",YEAR(Indice!B6)),"2XX2")</f>
        <v>2021</v>
      </c>
      <c r="C8" s="392">
        <f>+_xlfn.IFERROR(YEAR(Indice!B6-365),"2XX1")</f>
        <v>2020</v>
      </c>
      <c r="D8" s="149"/>
      <c r="E8" s="149"/>
      <c r="F8" s="148"/>
      <c r="G8" s="151"/>
      <c r="H8" s="149"/>
    </row>
    <row r="9" spans="1:8" ht="15">
      <c r="A9" s="148" t="s">
        <v>154</v>
      </c>
      <c r="B9" s="148"/>
      <c r="C9" s="148"/>
      <c r="D9" s="149"/>
      <c r="E9" s="149"/>
      <c r="F9" s="148"/>
      <c r="G9" s="151"/>
      <c r="H9" s="149"/>
    </row>
    <row r="10" spans="1:8" ht="15">
      <c r="A10" s="148"/>
      <c r="B10" s="148"/>
      <c r="C10" s="148"/>
      <c r="D10" s="149"/>
      <c r="E10" s="149"/>
      <c r="F10" s="148"/>
      <c r="G10" s="151"/>
      <c r="H10" s="149"/>
    </row>
    <row r="11" spans="1:8" ht="15">
      <c r="A11" s="148"/>
      <c r="B11" s="148"/>
      <c r="C11" s="148"/>
      <c r="D11" s="149"/>
      <c r="E11" s="149"/>
      <c r="F11" s="148"/>
      <c r="G11" s="151"/>
      <c r="H11" s="149"/>
    </row>
    <row r="12" spans="1:8" ht="15">
      <c r="A12" s="148"/>
      <c r="B12" s="148"/>
      <c r="C12" s="148"/>
      <c r="D12" s="149"/>
      <c r="E12" s="149"/>
      <c r="F12" s="148"/>
      <c r="G12" s="151"/>
      <c r="H12" s="149"/>
    </row>
    <row r="13" spans="1:8" ht="15">
      <c r="A13" s="148"/>
      <c r="B13" s="148"/>
      <c r="C13" s="148"/>
      <c r="D13" s="149"/>
      <c r="E13" s="149"/>
      <c r="F13" s="148"/>
      <c r="G13" s="151"/>
      <c r="H13" s="149"/>
    </row>
    <row r="14" spans="1:8" ht="15">
      <c r="A14" s="148"/>
      <c r="B14" s="150"/>
      <c r="C14" s="148"/>
      <c r="D14" s="149"/>
      <c r="E14" s="149"/>
      <c r="F14" s="148"/>
      <c r="G14" s="151"/>
      <c r="H14" s="149"/>
    </row>
    <row r="15" spans="1:8" ht="15">
      <c r="A15" s="148"/>
      <c r="B15" s="150"/>
      <c r="C15" s="148"/>
      <c r="D15" s="149"/>
      <c r="E15" s="149"/>
      <c r="F15" s="148"/>
      <c r="G15" s="151"/>
      <c r="H15" s="149"/>
    </row>
    <row r="16" spans="1:8" ht="15">
      <c r="A16" s="152" t="s">
        <v>3</v>
      </c>
      <c r="B16" s="153">
        <f>SUM($B9:B15)</f>
        <v>0</v>
      </c>
      <c r="C16" s="153">
        <f>SUM($C9:C15)</f>
        <v>0</v>
      </c>
      <c r="D16" s="149"/>
      <c r="E16" s="149"/>
      <c r="F16" s="148"/>
      <c r="G16" s="151"/>
      <c r="H16" s="149"/>
    </row>
    <row r="17" spans="1:8" ht="15">
      <c r="A17" s="148"/>
      <c r="B17" s="150"/>
      <c r="C17" s="149"/>
      <c r="D17" s="149"/>
      <c r="E17" s="149"/>
      <c r="F17" s="148"/>
      <c r="G17" s="151"/>
      <c r="H17" s="149"/>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PageLayoutView="0" workbookViewId="0" topLeftCell="A1">
      <selection activeCell="C9" sqref="C9"/>
    </sheetView>
  </sheetViews>
  <sheetFormatPr defaultColWidth="11.421875" defaultRowHeight="15"/>
  <cols>
    <col min="1" max="1" width="37.421875" style="121" customWidth="1"/>
    <col min="2" max="3" width="17.28125" style="121" customWidth="1"/>
    <col min="4" max="26" width="11.421875" style="121" customWidth="1"/>
  </cols>
  <sheetData>
    <row r="1" spans="1:5" ht="15">
      <c r="A1" s="121" t="str">
        <f>Indice!C1</f>
        <v>NEGOFIN S.A.E.C.A.</v>
      </c>
      <c r="E1" s="142" t="s">
        <v>148</v>
      </c>
    </row>
    <row r="4" spans="1:7" ht="15">
      <c r="A4" s="340" t="s">
        <v>351</v>
      </c>
      <c r="B4" s="340"/>
      <c r="C4" s="340"/>
      <c r="D4" s="340"/>
      <c r="E4" s="340"/>
      <c r="F4" s="148"/>
      <c r="G4" s="151"/>
    </row>
    <row r="5" spans="1:7" ht="15">
      <c r="A5" s="356" t="s">
        <v>243</v>
      </c>
      <c r="B5" s="150"/>
      <c r="C5" s="149"/>
      <c r="D5" s="149"/>
      <c r="E5" s="149"/>
      <c r="F5" s="148"/>
      <c r="G5" s="151"/>
    </row>
    <row r="6" spans="1:7" ht="15">
      <c r="A6" s="148"/>
      <c r="B6" s="908"/>
      <c r="C6" s="908"/>
      <c r="D6" s="149"/>
      <c r="E6" s="149"/>
      <c r="F6" s="148"/>
      <c r="G6" s="151"/>
    </row>
    <row r="7" spans="2:7" ht="15">
      <c r="B7" s="392">
        <f>_xlfn.IFERROR(IF(Indice!B6="","2XX2",YEAR(Indice!B6)),"2XX2")</f>
        <v>2021</v>
      </c>
      <c r="C7" s="392">
        <f>+_xlfn.IFERROR(YEAR(Indice!B6-365),"2XX1")</f>
        <v>2020</v>
      </c>
      <c r="D7" s="149"/>
      <c r="E7" s="149"/>
      <c r="F7" s="148"/>
      <c r="G7" s="151"/>
    </row>
    <row r="8" spans="1:7" ht="15">
      <c r="A8" s="152" t="s">
        <v>46</v>
      </c>
      <c r="B8" s="522">
        <v>10398305.983</v>
      </c>
      <c r="C8" s="522">
        <v>2006455.306</v>
      </c>
      <c r="D8" s="149"/>
      <c r="E8" s="149"/>
      <c r="F8" s="148"/>
      <c r="G8" s="151"/>
    </row>
    <row r="9" spans="1:7" ht="15">
      <c r="A9" s="152" t="s">
        <v>3</v>
      </c>
      <c r="B9" s="521">
        <f>SUM($B8:B8)</f>
        <v>10398305.983</v>
      </c>
      <c r="C9" s="521">
        <f>SUM($C8:C8)</f>
        <v>2006455.306</v>
      </c>
      <c r="D9" s="149"/>
      <c r="E9" s="149"/>
      <c r="F9" s="148"/>
      <c r="G9" s="151"/>
    </row>
    <row r="10" spans="1:7" ht="15">
      <c r="A10" s="148"/>
      <c r="B10" s="150"/>
      <c r="C10" s="149"/>
      <c r="D10" s="149"/>
      <c r="E10" s="149"/>
      <c r="F10" s="148"/>
      <c r="G10" s="151"/>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B13" sqref="B13"/>
    </sheetView>
  </sheetViews>
  <sheetFormatPr defaultColWidth="11.421875" defaultRowHeight="15"/>
  <cols>
    <col min="1" max="1" width="27.140625" style="121" customWidth="1"/>
    <col min="2" max="2" width="18.421875" style="121" customWidth="1"/>
    <col min="3" max="3" width="17.8515625" style="121" customWidth="1"/>
    <col min="4" max="22" width="11.421875" style="121" customWidth="1"/>
  </cols>
  <sheetData>
    <row r="1" spans="1:5" ht="15">
      <c r="A1" s="121" t="str">
        <f>Indice!C1</f>
        <v>NEGOFIN S.A.E.C.A.</v>
      </c>
      <c r="E1" s="142" t="s">
        <v>148</v>
      </c>
    </row>
    <row r="4" spans="1:8" ht="15">
      <c r="A4" s="336" t="s">
        <v>350</v>
      </c>
      <c r="B4" s="336"/>
      <c r="C4" s="336"/>
      <c r="D4" s="336"/>
      <c r="E4" s="336"/>
      <c r="F4" s="148"/>
      <c r="G4" s="151"/>
      <c r="H4" s="149"/>
    </row>
    <row r="5" spans="1:8" ht="15">
      <c r="A5" s="910" t="s">
        <v>243</v>
      </c>
      <c r="B5" s="910"/>
      <c r="C5" s="149"/>
      <c r="D5" s="149"/>
      <c r="E5" s="149"/>
      <c r="F5" s="148"/>
      <c r="G5" s="151"/>
      <c r="H5" s="149"/>
    </row>
    <row r="6" spans="1:8" ht="15">
      <c r="A6" s="148" t="s">
        <v>1224</v>
      </c>
      <c r="D6" s="149"/>
      <c r="E6" s="149"/>
      <c r="F6" s="148"/>
      <c r="G6" s="151"/>
      <c r="H6" s="149"/>
    </row>
    <row r="7" spans="2:8" ht="15">
      <c r="B7" s="392">
        <f>_xlfn.IFERROR(IF(Indice!B6="","2XX2",YEAR(Indice!B6)),"2XX2")</f>
        <v>2021</v>
      </c>
      <c r="C7" s="392">
        <f>+_xlfn.IFERROR(YEAR(Indice!B6-365),"2XX1")</f>
        <v>2020</v>
      </c>
      <c r="D7" s="149"/>
      <c r="E7" s="149"/>
      <c r="F7" s="148"/>
      <c r="G7" s="151"/>
      <c r="H7" s="149"/>
    </row>
    <row r="8" spans="1:8" ht="15">
      <c r="A8" s="152" t="s">
        <v>870</v>
      </c>
      <c r="D8" s="149"/>
      <c r="E8" s="149"/>
      <c r="F8" s="148"/>
      <c r="G8" s="151"/>
      <c r="H8" s="149"/>
    </row>
    <row r="9" spans="1:8" ht="15">
      <c r="A9" s="357" t="s">
        <v>871</v>
      </c>
      <c r="B9" s="148"/>
      <c r="C9" s="148"/>
      <c r="D9" s="149"/>
      <c r="E9" s="149"/>
      <c r="F9" s="148"/>
      <c r="G9" s="151"/>
      <c r="H9" s="149"/>
    </row>
    <row r="10" spans="1:8" ht="15">
      <c r="A10" s="148"/>
      <c r="B10" s="148"/>
      <c r="C10" s="148"/>
      <c r="D10" s="149"/>
      <c r="E10" s="149"/>
      <c r="F10" s="148"/>
      <c r="G10" s="151"/>
      <c r="H10" s="149"/>
    </row>
    <row r="11" spans="1:8" ht="15">
      <c r="A11" s="148"/>
      <c r="B11" s="148"/>
      <c r="C11" s="148"/>
      <c r="D11" s="149"/>
      <c r="E11" s="149"/>
      <c r="F11" s="148"/>
      <c r="G11" s="151"/>
      <c r="H11" s="149"/>
    </row>
    <row r="12" spans="1:8" ht="15">
      <c r="A12" s="148"/>
      <c r="B12" s="148"/>
      <c r="C12" s="148"/>
      <c r="D12" s="149"/>
      <c r="E12" s="149"/>
      <c r="F12" s="148"/>
      <c r="G12" s="151"/>
      <c r="H12" s="149"/>
    </row>
    <row r="13" spans="1:8" ht="15">
      <c r="A13" s="148"/>
      <c r="B13" s="150"/>
      <c r="C13" s="148"/>
      <c r="D13" s="149"/>
      <c r="E13" s="149"/>
      <c r="F13" s="148"/>
      <c r="G13" s="151"/>
      <c r="H13" s="149"/>
    </row>
    <row r="14" spans="1:8" ht="15">
      <c r="A14" s="148"/>
      <c r="B14" s="150"/>
      <c r="C14" s="148"/>
      <c r="D14" s="149"/>
      <c r="E14" s="149"/>
      <c r="F14" s="148"/>
      <c r="G14" s="151"/>
      <c r="H14" s="149"/>
    </row>
    <row r="15" spans="1:8" ht="15">
      <c r="A15" s="148" t="s">
        <v>3</v>
      </c>
      <c r="B15" s="153">
        <f>SUM($B8:B14)</f>
        <v>0</v>
      </c>
      <c r="C15" s="153">
        <f>SUM($C8:C14)</f>
        <v>0</v>
      </c>
      <c r="D15" s="149"/>
      <c r="E15" s="149"/>
      <c r="F15" s="148"/>
      <c r="G15" s="151"/>
      <c r="H15" s="149"/>
    </row>
    <row r="16" spans="1:8" ht="15">
      <c r="A16" s="148"/>
      <c r="B16" s="150"/>
      <c r="C16" s="149"/>
      <c r="D16" s="149"/>
      <c r="E16" s="149"/>
      <c r="F16" s="148"/>
      <c r="G16" s="151"/>
      <c r="H16" s="149"/>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E2" sqref="E2"/>
    </sheetView>
  </sheetViews>
  <sheetFormatPr defaultColWidth="11.421875" defaultRowHeight="15"/>
  <cols>
    <col min="1" max="1" width="51.28125" style="121" customWidth="1"/>
    <col min="2" max="2" width="18.140625" style="121" customWidth="1"/>
    <col min="3" max="3" width="17.57421875" style="121" customWidth="1"/>
    <col min="4" max="22" width="11.421875" style="121" customWidth="1"/>
  </cols>
  <sheetData>
    <row r="1" spans="1:5" ht="15">
      <c r="A1" s="121" t="str">
        <f>Indice!C1</f>
        <v>NEGOFIN S.A.E.C.A.</v>
      </c>
      <c r="E1" s="142" t="s">
        <v>148</v>
      </c>
    </row>
    <row r="4" spans="1:8" ht="15">
      <c r="A4" s="336" t="s">
        <v>352</v>
      </c>
      <c r="B4" s="336"/>
      <c r="C4" s="336"/>
      <c r="D4" s="336"/>
      <c r="E4" s="336"/>
      <c r="F4" s="148"/>
      <c r="G4" s="151"/>
      <c r="H4" s="149"/>
    </row>
    <row r="5" spans="1:8" ht="15">
      <c r="A5" s="910" t="s">
        <v>243</v>
      </c>
      <c r="B5" s="910"/>
      <c r="C5" s="149"/>
      <c r="D5" s="149"/>
      <c r="E5" s="149"/>
      <c r="F5" s="148"/>
      <c r="G5" s="151"/>
      <c r="H5" s="149"/>
    </row>
    <row r="6" spans="1:8" ht="15">
      <c r="A6" s="148" t="s">
        <v>1224</v>
      </c>
      <c r="D6" s="149"/>
      <c r="E6" s="149"/>
      <c r="F6" s="148"/>
      <c r="G6" s="151"/>
      <c r="H6" s="149"/>
    </row>
    <row r="7" spans="1:8" ht="25.5">
      <c r="A7" s="155" t="s">
        <v>74</v>
      </c>
      <c r="B7" s="392">
        <f>_xlfn.IFERROR(IF(Indice!B6="","2XX2",YEAR(Indice!B6)),"2XX2")</f>
        <v>2021</v>
      </c>
      <c r="C7" s="392">
        <f>+_xlfn.IFERROR(YEAR(Indice!B6-365),"2XX1")</f>
        <v>2020</v>
      </c>
      <c r="D7" s="149"/>
      <c r="E7" s="149"/>
      <c r="F7" s="148"/>
      <c r="G7" s="151"/>
      <c r="H7" s="149"/>
    </row>
    <row r="8" spans="4:8" ht="15">
      <c r="D8" s="149"/>
      <c r="E8" s="149"/>
      <c r="F8" s="148"/>
      <c r="G8" s="151"/>
      <c r="H8" s="149"/>
    </row>
    <row r="9" spans="1:8" ht="15">
      <c r="A9" s="148" t="s">
        <v>876</v>
      </c>
      <c r="B9" s="148"/>
      <c r="C9" s="148"/>
      <c r="D9" s="149"/>
      <c r="E9" s="149"/>
      <c r="F9" s="148"/>
      <c r="G9" s="151"/>
      <c r="H9" s="149"/>
    </row>
    <row r="10" spans="1:8" ht="15">
      <c r="A10" s="148" t="s">
        <v>62</v>
      </c>
      <c r="B10" s="148"/>
      <c r="C10" s="148"/>
      <c r="D10" s="149"/>
      <c r="E10" s="149"/>
      <c r="F10" s="148"/>
      <c r="G10" s="151"/>
      <c r="H10" s="149"/>
    </row>
    <row r="11" spans="1:8" ht="15">
      <c r="A11" s="254" t="s">
        <v>353</v>
      </c>
      <c r="B11" s="148"/>
      <c r="C11" s="148"/>
      <c r="D11" s="149"/>
      <c r="E11" s="149"/>
      <c r="F11" s="148"/>
      <c r="G11" s="151"/>
      <c r="H11" s="149"/>
    </row>
    <row r="12" spans="1:8" ht="15">
      <c r="A12" s="148" t="s">
        <v>3</v>
      </c>
      <c r="B12" s="153">
        <f>SUM($B8:B11)</f>
        <v>0</v>
      </c>
      <c r="C12" s="153">
        <f>SUM($C8:C11)</f>
        <v>0</v>
      </c>
      <c r="D12" s="149"/>
      <c r="E12" s="149"/>
      <c r="F12" s="148"/>
      <c r="G12" s="151"/>
      <c r="H12" s="149"/>
    </row>
    <row r="13" spans="1:8" ht="15">
      <c r="A13" s="148"/>
      <c r="B13" s="150"/>
      <c r="C13" s="149"/>
      <c r="D13" s="149"/>
      <c r="E13" s="149"/>
      <c r="F13" s="148"/>
      <c r="G13" s="151"/>
      <c r="H13" s="149"/>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40"/>
  <sheetViews>
    <sheetView showGridLines="0" zoomScale="77" zoomScaleNormal="77" zoomScalePageLayoutView="0" workbookViewId="0" topLeftCell="B13">
      <selection activeCell="W33" sqref="W33:W35"/>
    </sheetView>
  </sheetViews>
  <sheetFormatPr defaultColWidth="11.421875" defaultRowHeight="15"/>
  <cols>
    <col min="1" max="1" width="40.7109375" style="2" customWidth="1"/>
    <col min="2" max="2" width="0.85546875" style="2" customWidth="1"/>
    <col min="3" max="3" width="19.57421875" style="64" customWidth="1"/>
    <col min="4" max="4" width="2.57421875" style="64" hidden="1" customWidth="1"/>
    <col min="5" max="5" width="0.9921875" style="84" customWidth="1"/>
    <col min="6" max="6" width="18.140625" style="64" customWidth="1"/>
    <col min="7" max="7" width="1.28515625" style="64" customWidth="1"/>
    <col min="8" max="8" width="18.140625" style="64" customWidth="1"/>
    <col min="9" max="9" width="0.85546875" style="84" customWidth="1"/>
    <col min="10" max="10" width="18.8515625" style="64" customWidth="1"/>
    <col min="11" max="11" width="0.9921875" style="84" customWidth="1"/>
    <col min="12" max="12" width="20.00390625" style="64" customWidth="1"/>
    <col min="13" max="13" width="0.71875" style="84" customWidth="1"/>
    <col min="14" max="14" width="18.421875" style="64" customWidth="1"/>
    <col min="15" max="15" width="0.71875" style="84" customWidth="1"/>
    <col min="16" max="16" width="20.421875" style="64" customWidth="1"/>
    <col min="17" max="17" width="1.1484375" style="84" customWidth="1"/>
    <col min="18" max="18" width="19.7109375" style="64" customWidth="1"/>
    <col min="19" max="19" width="1.1484375" style="55" customWidth="1"/>
    <col min="20" max="20" width="13.57421875" style="55" customWidth="1"/>
    <col min="21" max="21" width="17.421875" style="2" bestFit="1" customWidth="1"/>
    <col min="22" max="22" width="1.1484375" style="2" customWidth="1"/>
    <col min="23" max="23" width="16.421875" style="2" customWidth="1"/>
    <col min="24" max="16384" width="11.421875" style="2" customWidth="1"/>
  </cols>
  <sheetData>
    <row r="1" spans="1:10" ht="15">
      <c r="A1" s="2" t="str">
        <f>Indice!C1</f>
        <v>NEGOFIN S.A.E.C.A.</v>
      </c>
      <c r="J1" s="322" t="s">
        <v>388</v>
      </c>
    </row>
    <row r="3" spans="16:21" ht="15">
      <c r="P3" s="363"/>
      <c r="U3" s="54"/>
    </row>
    <row r="4" spans="2:21" ht="15">
      <c r="B4" s="363"/>
      <c r="C4" s="363"/>
      <c r="D4" s="363"/>
      <c r="E4" s="363"/>
      <c r="F4" s="363" t="s">
        <v>877</v>
      </c>
      <c r="G4" s="363"/>
      <c r="H4" s="363"/>
      <c r="I4" s="363"/>
      <c r="J4" s="363"/>
      <c r="K4" s="363"/>
      <c r="L4" s="363"/>
      <c r="M4" s="363"/>
      <c r="N4" s="363"/>
      <c r="O4" s="363"/>
      <c r="P4" s="363"/>
      <c r="Q4" s="363"/>
      <c r="R4" s="363"/>
      <c r="U4" s="54"/>
    </row>
    <row r="5" spans="1:21" ht="15">
      <c r="A5" s="363"/>
      <c r="B5" s="363"/>
      <c r="C5" s="363"/>
      <c r="D5" s="363"/>
      <c r="E5" s="363"/>
      <c r="F5" s="363"/>
      <c r="G5" s="363"/>
      <c r="H5" s="363"/>
      <c r="I5" s="363"/>
      <c r="J5" s="363" t="str">
        <f>_xlfn.IFERROR(IF(Indice!B6="","Al dia... de mes… de año 2XX2…","Al "&amp;DAY(Indice!B6)&amp;" de "&amp;VLOOKUP(MONTH(Indice!B6),Indice!S:T,2,0)&amp;" de "&amp;YEAR(Indice!B6)),"Al dia... de mes… de año 2XX2…")</f>
        <v>Al 30 de Septiembre de 2021</v>
      </c>
      <c r="K5" s="363"/>
      <c r="L5" s="363"/>
      <c r="M5" s="363"/>
      <c r="N5" s="363"/>
      <c r="O5" s="363"/>
      <c r="P5" s="363"/>
      <c r="Q5" s="363"/>
      <c r="R5" s="363"/>
      <c r="U5" s="54"/>
    </row>
    <row r="6" spans="1:21" ht="14.25">
      <c r="A6" s="827" t="s">
        <v>303</v>
      </c>
      <c r="B6" s="827"/>
      <c r="C6" s="827"/>
      <c r="D6" s="827"/>
      <c r="E6" s="827"/>
      <c r="F6" s="827"/>
      <c r="G6" s="827"/>
      <c r="H6" s="827"/>
      <c r="I6" s="827"/>
      <c r="J6" s="827"/>
      <c r="K6" s="827"/>
      <c r="L6" s="827"/>
      <c r="M6" s="827"/>
      <c r="N6" s="827"/>
      <c r="O6" s="827"/>
      <c r="P6" s="827"/>
      <c r="Q6" s="827"/>
      <c r="R6" s="827"/>
      <c r="U6" s="54"/>
    </row>
    <row r="7" spans="1:21" ht="14.25">
      <c r="A7" s="827" t="s">
        <v>274</v>
      </c>
      <c r="B7" s="827"/>
      <c r="C7" s="827"/>
      <c r="D7" s="827"/>
      <c r="E7" s="827"/>
      <c r="F7" s="827"/>
      <c r="G7" s="827"/>
      <c r="H7" s="827"/>
      <c r="I7" s="827"/>
      <c r="J7" s="827"/>
      <c r="K7" s="827"/>
      <c r="L7" s="827"/>
      <c r="M7" s="827"/>
      <c r="N7" s="827"/>
      <c r="O7" s="827"/>
      <c r="P7" s="827"/>
      <c r="Q7" s="827"/>
      <c r="R7" s="827"/>
      <c r="U7" s="54"/>
    </row>
    <row r="8" spans="1:21" ht="14.25">
      <c r="A8" s="218"/>
      <c r="B8" s="218"/>
      <c r="C8" s="218"/>
      <c r="D8" s="218"/>
      <c r="E8" s="218"/>
      <c r="F8" s="218"/>
      <c r="G8" s="527"/>
      <c r="H8" s="527"/>
      <c r="I8" s="218"/>
      <c r="J8" s="218"/>
      <c r="K8" s="218"/>
      <c r="L8" s="218"/>
      <c r="M8" s="218"/>
      <c r="N8" s="218"/>
      <c r="O8" s="218"/>
      <c r="P8" s="218"/>
      <c r="Q8" s="218"/>
      <c r="R8" s="218"/>
      <c r="U8" s="54"/>
    </row>
    <row r="9" spans="1:21" ht="14.25">
      <c r="A9" s="218"/>
      <c r="B9" s="218"/>
      <c r="C9" s="218"/>
      <c r="D9" s="218"/>
      <c r="E9" s="218"/>
      <c r="F9" s="218"/>
      <c r="G9" s="527"/>
      <c r="H9" s="527"/>
      <c r="I9" s="218"/>
      <c r="J9" s="218"/>
      <c r="K9" s="218"/>
      <c r="L9" s="218"/>
      <c r="M9" s="218"/>
      <c r="N9" s="218"/>
      <c r="O9" s="218"/>
      <c r="P9" s="218"/>
      <c r="Q9" s="218"/>
      <c r="R9" s="218"/>
      <c r="U9" s="54"/>
    </row>
    <row r="10" spans="1:21" ht="18" customHeight="1">
      <c r="A10" s="65"/>
      <c r="B10" s="74"/>
      <c r="C10" s="824" t="s">
        <v>283</v>
      </c>
      <c r="D10" s="824"/>
      <c r="E10" s="824"/>
      <c r="F10" s="824"/>
      <c r="G10" s="528"/>
      <c r="H10" s="528"/>
      <c r="I10" s="85"/>
      <c r="J10" s="65"/>
      <c r="K10" s="85"/>
      <c r="L10" s="65"/>
      <c r="M10" s="85"/>
      <c r="N10" s="824" t="s">
        <v>424</v>
      </c>
      <c r="O10" s="824"/>
      <c r="P10" s="824"/>
      <c r="Q10" s="824"/>
      <c r="R10" s="824"/>
      <c r="U10" s="54"/>
    </row>
    <row r="11" spans="1:23" ht="15" customHeight="1">
      <c r="A11" s="828">
        <v>2020</v>
      </c>
      <c r="C11" s="825" t="s">
        <v>78</v>
      </c>
      <c r="D11" s="66" t="s">
        <v>47</v>
      </c>
      <c r="E11" s="86"/>
      <c r="F11" s="825" t="s">
        <v>79</v>
      </c>
      <c r="G11" s="542"/>
      <c r="H11" s="526" t="s">
        <v>1054</v>
      </c>
      <c r="I11" s="86"/>
      <c r="J11" s="825" t="s">
        <v>43</v>
      </c>
      <c r="K11" s="86"/>
      <c r="L11" s="825" t="s">
        <v>80</v>
      </c>
      <c r="M11" s="86"/>
      <c r="N11" s="825" t="s">
        <v>81</v>
      </c>
      <c r="O11" s="86"/>
      <c r="P11" s="825" t="s">
        <v>82</v>
      </c>
      <c r="Q11" s="546"/>
      <c r="R11" s="825" t="s">
        <v>44</v>
      </c>
      <c r="T11" s="825" t="s">
        <v>1056</v>
      </c>
      <c r="U11" s="825" t="s">
        <v>83</v>
      </c>
      <c r="V11" s="86"/>
      <c r="W11" s="825" t="s">
        <v>3</v>
      </c>
    </row>
    <row r="12" spans="1:23" ht="15.75" customHeight="1">
      <c r="A12" s="828"/>
      <c r="C12" s="826"/>
      <c r="D12" s="66" t="s">
        <v>48</v>
      </c>
      <c r="E12" s="86"/>
      <c r="F12" s="826"/>
      <c r="G12" s="543"/>
      <c r="H12" s="541" t="s">
        <v>1055</v>
      </c>
      <c r="I12" s="86"/>
      <c r="J12" s="826"/>
      <c r="K12" s="86"/>
      <c r="L12" s="826"/>
      <c r="M12" s="86"/>
      <c r="N12" s="826"/>
      <c r="O12" s="86"/>
      <c r="P12" s="826"/>
      <c r="Q12" s="546"/>
      <c r="R12" s="826" t="s">
        <v>3</v>
      </c>
      <c r="T12" s="826" t="s">
        <v>3</v>
      </c>
      <c r="U12" s="826"/>
      <c r="V12" s="86"/>
      <c r="W12" s="826"/>
    </row>
    <row r="13" spans="3:23" ht="7.5" customHeight="1">
      <c r="C13" s="531"/>
      <c r="D13" s="531"/>
      <c r="E13" s="532"/>
      <c r="F13" s="531"/>
      <c r="G13" s="544"/>
      <c r="H13" s="531"/>
      <c r="I13" s="532"/>
      <c r="J13" s="531"/>
      <c r="K13" s="532"/>
      <c r="L13" s="531"/>
      <c r="M13" s="532"/>
      <c r="N13" s="531"/>
      <c r="O13" s="532"/>
      <c r="P13" s="531"/>
      <c r="Q13" s="547"/>
      <c r="R13" s="531"/>
      <c r="S13" s="533"/>
      <c r="T13" s="531"/>
      <c r="U13" s="534"/>
      <c r="V13" s="525"/>
      <c r="W13" s="525"/>
    </row>
    <row r="14" spans="1:24" ht="12.75">
      <c r="A14" s="103" t="str">
        <f>_xlfn.IFERROR(IF(Indice!B6="","Saldo al .. de  de 20X0 ","Saldo al "&amp;DAY(Indice!B6)&amp;" de "&amp;VLOOKUP(MONTH(Indice!B6),Indice!S:T,2,0)&amp;" de "&amp;YEAR(Indice!B6-730)),"Saldo al .. de  de 20X0 ")</f>
        <v>Saldo al 30 de Septiembre de 2019</v>
      </c>
      <c r="B14" s="25"/>
      <c r="C14" s="535">
        <v>120000000</v>
      </c>
      <c r="D14" s="531">
        <v>0</v>
      </c>
      <c r="E14" s="532">
        <v>0</v>
      </c>
      <c r="F14" s="535">
        <v>0</v>
      </c>
      <c r="G14" s="545">
        <v>0</v>
      </c>
      <c r="H14" s="535">
        <v>884126</v>
      </c>
      <c r="I14" s="532">
        <v>0</v>
      </c>
      <c r="J14" s="535">
        <v>1334216.882</v>
      </c>
      <c r="K14" s="532">
        <v>0</v>
      </c>
      <c r="L14" s="535">
        <v>0</v>
      </c>
      <c r="M14" s="532">
        <v>0</v>
      </c>
      <c r="N14" s="535">
        <v>11145066.239</v>
      </c>
      <c r="O14" s="532"/>
      <c r="P14" s="535">
        <v>0</v>
      </c>
      <c r="Q14" s="547"/>
      <c r="R14" s="535">
        <f>13221480</f>
        <v>13221480</v>
      </c>
      <c r="S14" s="533"/>
      <c r="T14" s="535">
        <v>17166199.179</v>
      </c>
      <c r="U14" s="535">
        <v>0</v>
      </c>
      <c r="V14" s="533"/>
      <c r="W14" s="535">
        <f>SUM(C14:U14)</f>
        <v>163751088.29999998</v>
      </c>
      <c r="X14" s="55"/>
    </row>
    <row r="15" spans="1:24" ht="12.75">
      <c r="A15" s="2" t="s">
        <v>425</v>
      </c>
      <c r="C15" s="531"/>
      <c r="D15" s="531"/>
      <c r="E15" s="532"/>
      <c r="F15" s="531"/>
      <c r="G15" s="531"/>
      <c r="H15" s="531"/>
      <c r="I15" s="531"/>
      <c r="J15" s="531"/>
      <c r="K15" s="531">
        <v>0</v>
      </c>
      <c r="L15" s="531"/>
      <c r="M15" s="531"/>
      <c r="N15" s="531"/>
      <c r="O15" s="531"/>
      <c r="P15" s="531"/>
      <c r="Q15" s="544">
        <v>0</v>
      </c>
      <c r="R15" s="531">
        <v>0</v>
      </c>
      <c r="S15" s="531">
        <v>0</v>
      </c>
      <c r="T15" s="531">
        <v>0</v>
      </c>
      <c r="U15" s="531">
        <v>0</v>
      </c>
      <c r="V15" s="533"/>
      <c r="W15" s="535">
        <f aca="true" t="shared" si="0" ref="W15:W24">SUM(C15:U15)</f>
        <v>0</v>
      </c>
      <c r="X15" s="55"/>
    </row>
    <row r="16" spans="1:24" ht="12.75">
      <c r="A16" s="103" t="s">
        <v>77</v>
      </c>
      <c r="C16" s="535">
        <v>0</v>
      </c>
      <c r="D16" s="531"/>
      <c r="E16" s="532"/>
      <c r="F16" s="535">
        <v>0</v>
      </c>
      <c r="G16" s="535">
        <v>0</v>
      </c>
      <c r="H16" s="535">
        <v>0</v>
      </c>
      <c r="I16" s="535">
        <v>0</v>
      </c>
      <c r="J16" s="535">
        <v>0</v>
      </c>
      <c r="K16" s="532"/>
      <c r="L16" s="535"/>
      <c r="M16" s="532"/>
      <c r="N16" s="535">
        <v>0</v>
      </c>
      <c r="O16" s="531"/>
      <c r="P16" s="535"/>
      <c r="Q16" s="545">
        <v>0</v>
      </c>
      <c r="R16" s="535">
        <v>0</v>
      </c>
      <c r="S16" s="535">
        <v>0</v>
      </c>
      <c r="T16" s="535">
        <v>0</v>
      </c>
      <c r="U16" s="535">
        <v>0</v>
      </c>
      <c r="V16" s="533"/>
      <c r="W16" s="535">
        <f t="shared" si="0"/>
        <v>0</v>
      </c>
      <c r="X16" s="55"/>
    </row>
    <row r="17" spans="1:23" ht="25.5">
      <c r="A17" s="116" t="s">
        <v>280</v>
      </c>
      <c r="C17" s="531">
        <v>0</v>
      </c>
      <c r="D17" s="531"/>
      <c r="E17" s="532"/>
      <c r="F17" s="531"/>
      <c r="G17" s="544"/>
      <c r="H17" s="531"/>
      <c r="I17" s="532"/>
      <c r="J17" s="531">
        <v>0</v>
      </c>
      <c r="K17" s="532"/>
      <c r="L17" s="531">
        <v>0</v>
      </c>
      <c r="M17" s="532"/>
      <c r="N17" s="531">
        <v>0</v>
      </c>
      <c r="O17" s="532"/>
      <c r="P17" s="536"/>
      <c r="Q17" s="547"/>
      <c r="R17" s="531">
        <v>0</v>
      </c>
      <c r="S17" s="533"/>
      <c r="T17" s="531">
        <v>0</v>
      </c>
      <c r="U17" s="534"/>
      <c r="V17" s="525"/>
      <c r="W17" s="535">
        <f t="shared" si="0"/>
        <v>0</v>
      </c>
    </row>
    <row r="18" spans="1:23" ht="12.75">
      <c r="A18" s="103" t="s">
        <v>84</v>
      </c>
      <c r="C18" s="535">
        <v>14682000</v>
      </c>
      <c r="D18" s="531"/>
      <c r="E18" s="532"/>
      <c r="F18" s="535">
        <v>0</v>
      </c>
      <c r="G18" s="545"/>
      <c r="H18" s="535"/>
      <c r="I18" s="532"/>
      <c r="J18" s="535"/>
      <c r="K18" s="532"/>
      <c r="L18" s="535"/>
      <c r="M18" s="532"/>
      <c r="N18" s="535"/>
      <c r="O18" s="532"/>
      <c r="P18" s="535"/>
      <c r="Q18" s="532"/>
      <c r="R18" s="535"/>
      <c r="S18" s="533"/>
      <c r="T18" s="535"/>
      <c r="U18" s="535"/>
      <c r="V18" s="533"/>
      <c r="W18" s="535">
        <f t="shared" si="0"/>
        <v>14682000</v>
      </c>
    </row>
    <row r="19" spans="1:23" ht="38.25">
      <c r="A19" s="116" t="s">
        <v>281</v>
      </c>
      <c r="C19" s="531">
        <v>0</v>
      </c>
      <c r="D19" s="531"/>
      <c r="E19" s="532"/>
      <c r="F19" s="531">
        <v>0</v>
      </c>
      <c r="G19" s="544"/>
      <c r="H19" s="531"/>
      <c r="I19" s="532"/>
      <c r="J19" s="531">
        <v>0</v>
      </c>
      <c r="K19" s="532"/>
      <c r="L19" s="531"/>
      <c r="M19" s="532"/>
      <c r="N19" s="536"/>
      <c r="O19" s="532"/>
      <c r="P19" s="531"/>
      <c r="Q19" s="532"/>
      <c r="R19" s="536"/>
      <c r="S19" s="537"/>
      <c r="T19" s="536"/>
      <c r="U19" s="534"/>
      <c r="V19" s="525"/>
      <c r="W19" s="535">
        <f t="shared" si="0"/>
        <v>0</v>
      </c>
    </row>
    <row r="20" spans="1:23" ht="12.75">
      <c r="A20" s="103" t="s">
        <v>85</v>
      </c>
      <c r="C20" s="535">
        <v>0</v>
      </c>
      <c r="D20" s="531"/>
      <c r="E20" s="532"/>
      <c r="F20" s="535">
        <v>0</v>
      </c>
      <c r="G20" s="545"/>
      <c r="H20" s="535">
        <v>0</v>
      </c>
      <c r="I20" s="532"/>
      <c r="J20" s="535">
        <v>-3587.641</v>
      </c>
      <c r="K20" s="532"/>
      <c r="L20" s="535"/>
      <c r="M20" s="532"/>
      <c r="N20" s="535"/>
      <c r="O20" s="532"/>
      <c r="P20" s="535"/>
      <c r="Q20" s="532"/>
      <c r="R20" s="535"/>
      <c r="S20" s="533"/>
      <c r="T20" s="535"/>
      <c r="U20" s="535"/>
      <c r="V20" s="533"/>
      <c r="W20" s="535">
        <f t="shared" si="0"/>
        <v>-3587.641</v>
      </c>
    </row>
    <row r="21" spans="1:23" ht="12.75">
      <c r="A21" s="103" t="s">
        <v>1057</v>
      </c>
      <c r="C21" s="535"/>
      <c r="D21" s="531"/>
      <c r="E21" s="532"/>
      <c r="F21" s="535"/>
      <c r="G21" s="545"/>
      <c r="H21" s="535"/>
      <c r="I21" s="532"/>
      <c r="J21" s="535"/>
      <c r="K21" s="532"/>
      <c r="L21" s="535"/>
      <c r="M21" s="532"/>
      <c r="N21" s="535">
        <v>3141343.14</v>
      </c>
      <c r="O21" s="532"/>
      <c r="P21" s="535"/>
      <c r="Q21" s="532"/>
      <c r="R21" s="535"/>
      <c r="S21" s="533"/>
      <c r="T21" s="535"/>
      <c r="U21" s="535"/>
      <c r="V21" s="533"/>
      <c r="W21" s="535">
        <f t="shared" si="0"/>
        <v>3141343.14</v>
      </c>
    </row>
    <row r="22" spans="1:23" ht="12.75">
      <c r="A22" s="103" t="s">
        <v>86</v>
      </c>
      <c r="C22" s="535"/>
      <c r="D22" s="531"/>
      <c r="E22" s="532"/>
      <c r="F22" s="535"/>
      <c r="G22" s="545"/>
      <c r="H22" s="535"/>
      <c r="I22" s="532"/>
      <c r="J22" s="535"/>
      <c r="K22" s="532"/>
      <c r="L22" s="535">
        <v>0</v>
      </c>
      <c r="M22" s="532"/>
      <c r="N22" s="535"/>
      <c r="O22" s="532"/>
      <c r="P22" s="535"/>
      <c r="Q22" s="532"/>
      <c r="R22" s="535"/>
      <c r="S22" s="533"/>
      <c r="T22" s="535"/>
      <c r="U22" s="535"/>
      <c r="V22" s="533"/>
      <c r="W22" s="535">
        <f t="shared" si="0"/>
        <v>0</v>
      </c>
    </row>
    <row r="23" spans="1:23" ht="12.75">
      <c r="A23" s="103" t="s">
        <v>87</v>
      </c>
      <c r="C23" s="535"/>
      <c r="D23" s="531"/>
      <c r="E23" s="532"/>
      <c r="F23" s="535">
        <v>53611.35</v>
      </c>
      <c r="G23" s="545"/>
      <c r="H23" s="535"/>
      <c r="I23" s="532"/>
      <c r="J23" s="535"/>
      <c r="K23" s="532"/>
      <c r="L23" s="535"/>
      <c r="M23" s="532"/>
      <c r="N23" s="535"/>
      <c r="O23" s="532"/>
      <c r="P23" s="535">
        <v>43280907.422</v>
      </c>
      <c r="Q23" s="532"/>
      <c r="R23" s="535">
        <f>-13221480</f>
        <v>-13221480</v>
      </c>
      <c r="S23" s="533"/>
      <c r="T23" s="535">
        <f>34477855.736-17166199.179</f>
        <v>17311656.557</v>
      </c>
      <c r="U23" s="535">
        <v>0</v>
      </c>
      <c r="V23" s="533"/>
      <c r="W23" s="535">
        <f>SUM(C23:U23)</f>
        <v>47424695.328999996</v>
      </c>
    </row>
    <row r="24" spans="3:23" ht="12.75">
      <c r="C24" s="531"/>
      <c r="D24" s="531"/>
      <c r="E24" s="532"/>
      <c r="F24" s="531"/>
      <c r="G24" s="544"/>
      <c r="H24" s="531"/>
      <c r="I24" s="532"/>
      <c r="J24" s="531"/>
      <c r="K24" s="532"/>
      <c r="L24" s="531"/>
      <c r="M24" s="532"/>
      <c r="N24" s="531"/>
      <c r="O24" s="532"/>
      <c r="P24" s="531"/>
      <c r="Q24" s="532"/>
      <c r="R24" s="531"/>
      <c r="S24" s="533"/>
      <c r="T24" s="531"/>
      <c r="U24" s="534"/>
      <c r="V24" s="525"/>
      <c r="W24" s="535">
        <f t="shared" si="0"/>
        <v>0</v>
      </c>
    </row>
    <row r="25" spans="1:23" ht="12.75">
      <c r="A25" s="103" t="str">
        <f>_xlfn.IFERROR(IF(Indice!B6="","Saldo al .. de  de 20X1 ","Saldo al "&amp;DAY(Indice!B6)&amp;" de "&amp;VLOOKUP(MONTH(Indice!B6),Indice!S:T,2,0)&amp;" de "&amp;YEAR(Indice!B6-365)),"Saldo al .. de  de 20X1 ")</f>
        <v>Saldo al 30 de Septiembre de 2020</v>
      </c>
      <c r="B25" s="25"/>
      <c r="C25" s="538">
        <f>+C14+C15+C16-C17-C20+C18</f>
        <v>134682000</v>
      </c>
      <c r="D25" s="538">
        <f>+D14+D15+D16-D17-D20+D18</f>
        <v>0</v>
      </c>
      <c r="E25" s="538">
        <f>+E14+E15+E16-E17-E20+E18</f>
        <v>0</v>
      </c>
      <c r="F25" s="538">
        <f>+F14+F15+F16-F17-F20+F18+F23</f>
        <v>53611.35</v>
      </c>
      <c r="G25" s="538">
        <f>+G14+G15+G16-G17-G20</f>
        <v>0</v>
      </c>
      <c r="H25" s="538">
        <f>+H14+H15+H16-H17-H20</f>
        <v>884126</v>
      </c>
      <c r="I25" s="538">
        <f>+I14+I15+I16-I17-I20</f>
        <v>0</v>
      </c>
      <c r="J25" s="538">
        <f>+J14+J20+J22</f>
        <v>1330629.241</v>
      </c>
      <c r="K25" s="538">
        <f aca="true" t="shared" si="1" ref="K25:S25">+K14+K15+K16-K17-K20</f>
        <v>0</v>
      </c>
      <c r="L25" s="538">
        <f t="shared" si="1"/>
        <v>0</v>
      </c>
      <c r="M25" s="538">
        <f t="shared" si="1"/>
        <v>0</v>
      </c>
      <c r="N25" s="538">
        <f>+N14+N21</f>
        <v>14286409.379</v>
      </c>
      <c r="O25" s="538">
        <f t="shared" si="1"/>
        <v>0</v>
      </c>
      <c r="P25" s="538">
        <f>+P23</f>
        <v>43280907.422</v>
      </c>
      <c r="Q25" s="538">
        <f t="shared" si="1"/>
        <v>0</v>
      </c>
      <c r="R25" s="538">
        <f>+R14+R23</f>
        <v>0</v>
      </c>
      <c r="S25" s="538">
        <f t="shared" si="1"/>
        <v>0</v>
      </c>
      <c r="T25" s="538">
        <f>+T14+T23</f>
        <v>34477855.736</v>
      </c>
      <c r="U25" s="538">
        <f>+U14+U15+U16-U17-U20</f>
        <v>0</v>
      </c>
      <c r="V25" s="537"/>
      <c r="W25" s="535">
        <f>SUM(W14:W24)</f>
        <v>228995539.12799996</v>
      </c>
    </row>
    <row r="26" spans="1:23" ht="41.25" customHeight="1">
      <c r="A26" s="116" t="s">
        <v>282</v>
      </c>
      <c r="C26" s="531"/>
      <c r="D26" s="531"/>
      <c r="E26" s="532"/>
      <c r="F26" s="531"/>
      <c r="G26" s="544"/>
      <c r="H26" s="531"/>
      <c r="I26" s="532"/>
      <c r="J26" s="531"/>
      <c r="K26" s="532"/>
      <c r="L26" s="531"/>
      <c r="M26" s="532"/>
      <c r="N26" s="531"/>
      <c r="O26" s="532"/>
      <c r="P26" s="536"/>
      <c r="Q26" s="532"/>
      <c r="R26" s="531"/>
      <c r="S26" s="533"/>
      <c r="T26" s="531"/>
      <c r="U26" s="539"/>
      <c r="V26" s="525"/>
      <c r="W26" s="535">
        <f aca="true" t="shared" si="2" ref="W26:W31">SUM(C26:U26)</f>
        <v>0</v>
      </c>
    </row>
    <row r="27" spans="1:23" ht="12.75">
      <c r="A27" s="103" t="s">
        <v>85</v>
      </c>
      <c r="B27" s="63"/>
      <c r="C27" s="535"/>
      <c r="D27" s="531"/>
      <c r="E27" s="532"/>
      <c r="F27" s="535"/>
      <c r="G27" s="545"/>
      <c r="H27" s="535"/>
      <c r="I27" s="532"/>
      <c r="J27" s="535"/>
      <c r="K27" s="532"/>
      <c r="L27" s="535"/>
      <c r="M27" s="532"/>
      <c r="N27" s="535"/>
      <c r="O27" s="532"/>
      <c r="P27" s="535"/>
      <c r="Q27" s="532"/>
      <c r="R27" s="535"/>
      <c r="S27" s="533"/>
      <c r="T27" s="535"/>
      <c r="U27" s="535"/>
      <c r="V27" s="533"/>
      <c r="W27" s="535">
        <f t="shared" si="2"/>
        <v>0</v>
      </c>
    </row>
    <row r="28" spans="1:23" ht="12.75">
      <c r="A28" s="63" t="s">
        <v>88</v>
      </c>
      <c r="B28" s="63"/>
      <c r="C28" s="531"/>
      <c r="D28" s="531"/>
      <c r="E28" s="532"/>
      <c r="F28" s="531"/>
      <c r="G28" s="544"/>
      <c r="H28" s="531"/>
      <c r="I28" s="532"/>
      <c r="J28" s="531"/>
      <c r="K28" s="532"/>
      <c r="L28" s="531"/>
      <c r="M28" s="532"/>
      <c r="N28" s="536"/>
      <c r="O28" s="532"/>
      <c r="P28" s="531"/>
      <c r="Q28" s="532"/>
      <c r="R28" s="531"/>
      <c r="S28" s="533"/>
      <c r="T28" s="531"/>
      <c r="U28" s="525"/>
      <c r="V28" s="531"/>
      <c r="W28" s="535">
        <f t="shared" si="2"/>
        <v>0</v>
      </c>
    </row>
    <row r="29" spans="1:23" ht="12.75">
      <c r="A29" s="103" t="s">
        <v>87</v>
      </c>
      <c r="C29" s="535"/>
      <c r="D29" s="531"/>
      <c r="E29" s="532"/>
      <c r="F29" s="535"/>
      <c r="G29" s="545"/>
      <c r="H29" s="535"/>
      <c r="I29" s="532"/>
      <c r="J29" s="535"/>
      <c r="K29" s="532"/>
      <c r="L29" s="535"/>
      <c r="M29" s="532"/>
      <c r="N29" s="535">
        <v>0</v>
      </c>
      <c r="O29" s="532"/>
      <c r="P29" s="535">
        <v>0</v>
      </c>
      <c r="Q29" s="532"/>
      <c r="R29" s="535">
        <v>0</v>
      </c>
      <c r="S29" s="533"/>
      <c r="T29" s="535">
        <v>0</v>
      </c>
      <c r="U29" s="535"/>
      <c r="V29" s="533"/>
      <c r="W29" s="535">
        <f t="shared" si="2"/>
        <v>0</v>
      </c>
    </row>
    <row r="30" spans="3:23" ht="12.75">
      <c r="C30" s="531"/>
      <c r="D30" s="531"/>
      <c r="E30" s="532"/>
      <c r="F30" s="531"/>
      <c r="G30" s="544"/>
      <c r="H30" s="531"/>
      <c r="I30" s="532"/>
      <c r="J30" s="531"/>
      <c r="K30" s="532"/>
      <c r="L30" s="531"/>
      <c r="M30" s="532"/>
      <c r="N30" s="531"/>
      <c r="O30" s="532"/>
      <c r="P30" s="531"/>
      <c r="Q30" s="532"/>
      <c r="R30" s="531"/>
      <c r="S30" s="533"/>
      <c r="T30" s="531"/>
      <c r="U30" s="534"/>
      <c r="V30" s="525"/>
      <c r="W30" s="535">
        <f t="shared" si="2"/>
        <v>0</v>
      </c>
    </row>
    <row r="31" spans="1:23" ht="12.75">
      <c r="A31" s="103" t="str">
        <f>_xlfn.IFERROR(IF(Indice!B6="","Saldo al .. de  de 20X2 ","Saldo al "&amp;DAY(Indice!B6)&amp;" de "&amp;VLOOKUP(MONTH(Indice!B6),Indice!S:T,2,0)&amp;" de "&amp;YEAR(Indice!B6)),"Saldo al .. de  de 20X2 ")</f>
        <v>Saldo al 30 de Septiembre de 2021</v>
      </c>
      <c r="B31" s="25"/>
      <c r="C31" s="538">
        <f aca="true" t="shared" si="3" ref="C31:H31">C25+C26+C27-C28+C29</f>
        <v>134682000</v>
      </c>
      <c r="D31" s="538">
        <f t="shared" si="3"/>
        <v>0</v>
      </c>
      <c r="E31" s="538">
        <f t="shared" si="3"/>
        <v>0</v>
      </c>
      <c r="F31" s="538">
        <f t="shared" si="3"/>
        <v>53611.35</v>
      </c>
      <c r="G31" s="538">
        <f t="shared" si="3"/>
        <v>0</v>
      </c>
      <c r="H31" s="538">
        <f t="shared" si="3"/>
        <v>884126</v>
      </c>
      <c r="I31" s="540"/>
      <c r="J31" s="538">
        <f>J25+J26+J27+J28+J29</f>
        <v>1330629.241</v>
      </c>
      <c r="K31" s="540"/>
      <c r="L31" s="538">
        <f>L25+L26+L27+L28+L29</f>
        <v>0</v>
      </c>
      <c r="M31" s="540"/>
      <c r="N31" s="538">
        <f>N25+N26+N27+N28+N29</f>
        <v>14286409.379</v>
      </c>
      <c r="O31" s="540"/>
      <c r="P31" s="538">
        <f>P25+P26+P27+P28+P29</f>
        <v>43280907.422</v>
      </c>
      <c r="Q31" s="540"/>
      <c r="R31" s="538">
        <f>R25+R26+R27+R28+R29</f>
        <v>0</v>
      </c>
      <c r="S31" s="533"/>
      <c r="T31" s="538">
        <f>T25+T26+T27+T28+T29</f>
        <v>34477855.736</v>
      </c>
      <c r="U31" s="538">
        <f>U25+U26+U27+U28+U29</f>
        <v>0</v>
      </c>
      <c r="V31" s="537"/>
      <c r="W31" s="535">
        <f t="shared" si="2"/>
        <v>228995539.128</v>
      </c>
    </row>
    <row r="32" spans="1:23" ht="12.75">
      <c r="A32" s="25"/>
      <c r="B32" s="25"/>
      <c r="C32" s="60"/>
      <c r="D32" s="59"/>
      <c r="E32" s="87"/>
      <c r="F32" s="60"/>
      <c r="G32" s="60"/>
      <c r="H32" s="60"/>
      <c r="I32" s="87"/>
      <c r="J32" s="60"/>
      <c r="K32" s="87"/>
      <c r="L32" s="60"/>
      <c r="M32" s="87"/>
      <c r="N32" s="60"/>
      <c r="O32" s="87"/>
      <c r="P32" s="60"/>
      <c r="Q32" s="87"/>
      <c r="R32" s="60"/>
      <c r="U32" s="56"/>
      <c r="W32" s="525"/>
    </row>
    <row r="33" spans="1:23" ht="12.75">
      <c r="A33" s="2" t="s">
        <v>413</v>
      </c>
      <c r="C33" s="57"/>
      <c r="D33" s="57"/>
      <c r="E33" s="88"/>
      <c r="F33" s="57"/>
      <c r="G33" s="57"/>
      <c r="H33" s="57"/>
      <c r="I33" s="88"/>
      <c r="J33" s="2"/>
      <c r="K33" s="30"/>
      <c r="M33" s="88"/>
      <c r="N33" s="57"/>
      <c r="O33" s="88"/>
      <c r="P33" s="57"/>
      <c r="Q33" s="88"/>
      <c r="R33" s="57"/>
      <c r="W33" s="525"/>
    </row>
    <row r="34" spans="3:23" ht="12.75">
      <c r="C34" s="57"/>
      <c r="D34" s="57"/>
      <c r="E34" s="88"/>
      <c r="F34" s="57"/>
      <c r="G34" s="57"/>
      <c r="H34" s="57"/>
      <c r="I34" s="88"/>
      <c r="J34" s="2"/>
      <c r="K34" s="30"/>
      <c r="M34" s="88"/>
      <c r="N34" s="57"/>
      <c r="O34" s="88"/>
      <c r="P34" s="57"/>
      <c r="Q34" s="88"/>
      <c r="R34" s="57"/>
      <c r="W34" s="525"/>
    </row>
    <row r="35" spans="3:18" ht="12.75">
      <c r="C35" s="57"/>
      <c r="D35" s="57"/>
      <c r="E35" s="88"/>
      <c r="F35" s="57"/>
      <c r="G35" s="57"/>
      <c r="H35" s="57"/>
      <c r="I35" s="88"/>
      <c r="J35" s="2"/>
      <c r="K35" s="30"/>
      <c r="M35" s="88"/>
      <c r="N35" s="57"/>
      <c r="O35" s="88"/>
      <c r="P35" s="57"/>
      <c r="Q35" s="88"/>
      <c r="R35" s="57"/>
    </row>
    <row r="36" spans="3:18" ht="12.75">
      <c r="C36" s="57"/>
      <c r="D36" s="57"/>
      <c r="E36" s="88"/>
      <c r="F36" s="57"/>
      <c r="G36" s="57"/>
      <c r="H36" s="57"/>
      <c r="I36" s="88"/>
      <c r="J36" s="2"/>
      <c r="K36" s="30"/>
      <c r="M36" s="88"/>
      <c r="N36" s="57"/>
      <c r="O36" s="88"/>
      <c r="P36" s="57"/>
      <c r="Q36" s="88"/>
      <c r="R36" s="57"/>
    </row>
    <row r="37" spans="3:18" ht="12.75">
      <c r="C37" s="57"/>
      <c r="D37" s="57"/>
      <c r="E37" s="88"/>
      <c r="F37" s="57"/>
      <c r="G37" s="57"/>
      <c r="H37" s="57"/>
      <c r="I37" s="88"/>
      <c r="J37" s="2"/>
      <c r="K37" s="30"/>
      <c r="M37" s="88"/>
      <c r="N37" s="57"/>
      <c r="O37" s="88"/>
      <c r="P37" s="57"/>
      <c r="Q37" s="88"/>
      <c r="R37" s="57"/>
    </row>
    <row r="39" spans="3:18" ht="12.75">
      <c r="C39" s="57"/>
      <c r="D39" s="57"/>
      <c r="E39" s="88"/>
      <c r="F39" s="57"/>
      <c r="G39" s="57"/>
      <c r="H39" s="57"/>
      <c r="I39" s="88"/>
      <c r="J39" s="2"/>
      <c r="K39" s="30"/>
      <c r="M39" s="88"/>
      <c r="N39" s="57"/>
      <c r="O39" s="88"/>
      <c r="P39" s="57"/>
      <c r="Q39" s="88"/>
      <c r="R39" s="57"/>
    </row>
    <row r="40" spans="6:12" ht="12.75">
      <c r="F40" s="57"/>
      <c r="G40" s="57"/>
      <c r="H40" s="57"/>
      <c r="J40" s="2"/>
      <c r="K40" s="30"/>
      <c r="L40" s="58"/>
    </row>
  </sheetData>
  <sheetProtection/>
  <mergeCells count="15">
    <mergeCell ref="L11:L12"/>
    <mergeCell ref="N11:N12"/>
    <mergeCell ref="P11:P12"/>
    <mergeCell ref="R11:R12"/>
    <mergeCell ref="A11:A12"/>
    <mergeCell ref="C10:F10"/>
    <mergeCell ref="N10:R10"/>
    <mergeCell ref="T11:T12"/>
    <mergeCell ref="U11:U12"/>
    <mergeCell ref="W11:W12"/>
    <mergeCell ref="A6:R6"/>
    <mergeCell ref="A7:R7"/>
    <mergeCell ref="C11:C12"/>
    <mergeCell ref="F11:F12"/>
    <mergeCell ref="J11:J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40.xml><?xml version="1.0" encoding="utf-8"?>
<worksheet xmlns="http://schemas.openxmlformats.org/spreadsheetml/2006/main" xmlns:r="http://schemas.openxmlformats.org/officeDocument/2006/relationships">
  <dimension ref="A1:N22"/>
  <sheetViews>
    <sheetView zoomScalePageLayoutView="0" workbookViewId="0" topLeftCell="A1">
      <selection activeCell="E24" sqref="E24"/>
    </sheetView>
  </sheetViews>
  <sheetFormatPr defaultColWidth="11.421875" defaultRowHeight="15"/>
  <cols>
    <col min="1" max="1" width="42.140625" style="121" customWidth="1"/>
    <col min="2" max="5" width="24.421875" style="121" customWidth="1"/>
    <col min="6" max="6" width="12.8515625" style="121" customWidth="1"/>
    <col min="7" max="7" width="11.421875" style="121" customWidth="1"/>
    <col min="8" max="8" width="17.28125" style="121" customWidth="1"/>
    <col min="9" max="14" width="11.421875" style="121" customWidth="1"/>
    <col min="15" max="16384" width="11.421875" style="331" customWidth="1"/>
  </cols>
  <sheetData>
    <row r="1" spans="1:5" ht="15">
      <c r="A1" s="121" t="str">
        <f>Indice!C1</f>
        <v>NEGOFIN S.A.E.C.A.</v>
      </c>
      <c r="E1" s="142" t="s">
        <v>148</v>
      </c>
    </row>
    <row r="2" ht="15">
      <c r="C2" s="129"/>
    </row>
    <row r="4" spans="1:9" ht="15">
      <c r="A4" s="276" t="s">
        <v>354</v>
      </c>
      <c r="B4" s="276"/>
      <c r="C4" s="276"/>
      <c r="D4" s="276"/>
      <c r="E4" s="276"/>
      <c r="F4" s="276"/>
      <c r="G4" s="276"/>
      <c r="H4" s="276"/>
      <c r="I4" s="276"/>
    </row>
    <row r="5" spans="1:9" ht="27" customHeight="1">
      <c r="A5" s="359" t="s">
        <v>194</v>
      </c>
      <c r="B5" s="359"/>
      <c r="C5" s="359"/>
      <c r="D5" s="359"/>
      <c r="E5" s="359"/>
      <c r="F5" s="359"/>
      <c r="G5" s="359"/>
      <c r="H5" s="359"/>
      <c r="I5" s="359"/>
    </row>
    <row r="6" spans="1:2" ht="15" customHeight="1">
      <c r="A6" s="359" t="s">
        <v>194</v>
      </c>
      <c r="B6" s="255"/>
    </row>
    <row r="7" spans="2:3" ht="15" customHeight="1">
      <c r="B7" s="392">
        <f>_xlfn.IFERROR(IF(Indice!B6="","2XX2",YEAR(Indice!B6)),"2XX2")</f>
        <v>2021</v>
      </c>
      <c r="C7" s="392">
        <f>+_xlfn.IFERROR(YEAR(Indice!B6-365),"2XX1")</f>
        <v>2020</v>
      </c>
    </row>
    <row r="8" spans="1:9" s="121" customFormat="1" ht="15" customHeight="1">
      <c r="A8" s="173" t="s">
        <v>873</v>
      </c>
      <c r="B8" s="803">
        <v>50000</v>
      </c>
      <c r="C8" s="803">
        <v>50000</v>
      </c>
      <c r="D8" s="358"/>
      <c r="E8" s="358"/>
      <c r="F8" s="358"/>
      <c r="G8" s="358"/>
      <c r="H8" s="358"/>
      <c r="I8" s="358"/>
    </row>
    <row r="9" spans="1:3" ht="15" customHeight="1">
      <c r="A9" s="331" t="s">
        <v>872</v>
      </c>
      <c r="B9" s="804">
        <f>'ER'!C31</f>
        <v>34477855.736</v>
      </c>
      <c r="C9" s="804">
        <f>'ER'!D31</f>
        <v>17166200.389000025</v>
      </c>
    </row>
    <row r="10" spans="1:9" ht="15" customHeight="1">
      <c r="A10" s="361" t="s">
        <v>874</v>
      </c>
      <c r="B10" s="362">
        <f>_xlfn.IFERROR(B9/B8,0)</f>
        <v>689.5571147200001</v>
      </c>
      <c r="C10" s="362">
        <f>_xlfn.IFERROR(C9/C8,0)</f>
        <v>343.3240077800005</v>
      </c>
      <c r="D10" s="358"/>
      <c r="E10" s="358"/>
      <c r="F10" s="358"/>
      <c r="G10" s="358"/>
      <c r="H10" s="358"/>
      <c r="I10" s="358"/>
    </row>
    <row r="11" ht="15" customHeight="1"/>
    <row r="12" spans="1:9" ht="15" customHeight="1">
      <c r="A12" s="358"/>
      <c r="B12" s="358"/>
      <c r="C12" s="358"/>
      <c r="D12" s="358"/>
      <c r="E12" s="358"/>
      <c r="F12" s="358"/>
      <c r="G12" s="358"/>
      <c r="H12" s="358"/>
      <c r="I12" s="358"/>
    </row>
    <row r="13" ht="15" customHeight="1"/>
    <row r="15" spans="1:3" ht="72.75">
      <c r="A15" s="359" t="s">
        <v>194</v>
      </c>
      <c r="B15" s="359"/>
      <c r="C15" s="359"/>
    </row>
    <row r="16" ht="15">
      <c r="B16" s="255"/>
    </row>
    <row r="17" spans="2:3" ht="15">
      <c r="B17" s="392">
        <v>2021</v>
      </c>
      <c r="C17" s="392">
        <v>2020</v>
      </c>
    </row>
    <row r="18" spans="1:3" ht="15">
      <c r="A18" s="173" t="s">
        <v>873</v>
      </c>
      <c r="B18" s="805">
        <v>50000</v>
      </c>
      <c r="C18" s="805">
        <v>50000</v>
      </c>
    </row>
    <row r="19" spans="1:14" s="723" customFormat="1" ht="15">
      <c r="A19" s="173" t="s">
        <v>873</v>
      </c>
      <c r="B19" s="805">
        <v>84682</v>
      </c>
      <c r="C19" s="805">
        <v>70000</v>
      </c>
      <c r="D19" s="121"/>
      <c r="E19" s="121"/>
      <c r="F19" s="121"/>
      <c r="G19" s="121"/>
      <c r="H19" s="121"/>
      <c r="I19" s="121"/>
      <c r="J19" s="121"/>
      <c r="K19" s="121"/>
      <c r="L19" s="121"/>
      <c r="M19" s="121"/>
      <c r="N19" s="121"/>
    </row>
    <row r="20" spans="1:3" ht="15">
      <c r="A20" s="97" t="s">
        <v>1311</v>
      </c>
      <c r="B20" s="360">
        <f>13221480/3</f>
        <v>4407160</v>
      </c>
      <c r="C20" s="360">
        <f>13221480/3</f>
        <v>4407160</v>
      </c>
    </row>
    <row r="21" spans="1:14" s="723" customFormat="1" ht="15">
      <c r="A21" s="361" t="s">
        <v>874</v>
      </c>
      <c r="B21" s="360">
        <f>+B9-B20</f>
        <v>30070695.736</v>
      </c>
      <c r="C21" s="360">
        <f>+C9-C20</f>
        <v>12759040.389000025</v>
      </c>
      <c r="D21" s="121"/>
      <c r="E21" s="121"/>
      <c r="F21" s="121"/>
      <c r="G21" s="121"/>
      <c r="H21" s="121"/>
      <c r="I21" s="121"/>
      <c r="J21" s="121"/>
      <c r="K21" s="121"/>
      <c r="L21" s="121"/>
      <c r="M21" s="121"/>
      <c r="N21" s="121"/>
    </row>
    <row r="22" spans="1:3" ht="15">
      <c r="A22" s="331"/>
      <c r="B22" s="758">
        <f>+B21/B18</f>
        <v>601.41391472</v>
      </c>
      <c r="C22" s="758">
        <f>+C21/C18</f>
        <v>255.1808077800005</v>
      </c>
    </row>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4">
      <selection activeCell="A8" sqref="A8"/>
    </sheetView>
  </sheetViews>
  <sheetFormatPr defaultColWidth="11.421875" defaultRowHeight="15"/>
  <cols>
    <col min="1" max="3" width="24.421875" style="121" customWidth="1"/>
    <col min="4" max="4" width="27.140625" style="121" customWidth="1"/>
    <col min="5" max="5" width="24.421875" style="121" customWidth="1"/>
    <col min="6" max="6" width="12.8515625" style="121" customWidth="1"/>
    <col min="7" max="7" width="11.421875" style="121" customWidth="1"/>
    <col min="8" max="8" width="17.28125" style="121" customWidth="1"/>
    <col min="9" max="14" width="11.421875" style="121" customWidth="1"/>
  </cols>
  <sheetData>
    <row r="1" spans="1:5" ht="15">
      <c r="A1" s="121" t="str">
        <f>Indice!C1</f>
        <v>NEGOFIN S.A.E.C.A.</v>
      </c>
      <c r="E1" s="142" t="s">
        <v>388</v>
      </c>
    </row>
    <row r="2" ht="15">
      <c r="C2" s="129"/>
    </row>
    <row r="4" spans="1:9" s="49" customFormat="1" ht="15">
      <c r="A4" s="889" t="s">
        <v>387</v>
      </c>
      <c r="B4" s="889"/>
      <c r="C4" s="889"/>
      <c r="D4" s="889"/>
      <c r="E4" s="889"/>
      <c r="F4" s="277"/>
      <c r="G4" s="277"/>
      <c r="H4" s="277"/>
      <c r="I4" s="277"/>
    </row>
    <row r="6" spans="1:14" s="174" customFormat="1" ht="15">
      <c r="A6" s="911" t="s">
        <v>185</v>
      </c>
      <c r="B6" s="911"/>
      <c r="C6" s="911"/>
      <c r="D6" s="911"/>
      <c r="E6" s="911"/>
      <c r="F6" s="911"/>
      <c r="G6" s="911"/>
      <c r="H6" s="911"/>
      <c r="I6" s="911"/>
      <c r="J6" s="173"/>
      <c r="K6" s="173"/>
      <c r="L6" s="173"/>
      <c r="M6" s="173"/>
      <c r="N6" s="173"/>
    </row>
    <row r="7" spans="1:14" s="174" customFormat="1" ht="15">
      <c r="A7" s="173" t="s">
        <v>1224</v>
      </c>
      <c r="B7" s="173"/>
      <c r="C7" s="173"/>
      <c r="D7" s="173"/>
      <c r="E7" s="173"/>
      <c r="F7" s="173"/>
      <c r="G7" s="173"/>
      <c r="H7" s="173"/>
      <c r="I7" s="173"/>
      <c r="J7" s="173"/>
      <c r="K7" s="173"/>
      <c r="L7" s="173"/>
      <c r="M7" s="173"/>
      <c r="N7" s="173"/>
    </row>
    <row r="8" spans="1:14" s="174" customFormat="1" ht="15.75" thickBot="1">
      <c r="A8" s="421" t="str">
        <f>_xlfn.IFERROR("Al "&amp;DAY(Indice!B6)&amp;" de "&amp;VLOOKUP(MONTH(Indice!B6),Indice!S:T,2,0)&amp;" de "&amp;YEAR(Indice!B6-365),"Al dia... de mes… de año 2XX1…")</f>
        <v>Al 30 de Septiembre de 2020</v>
      </c>
      <c r="B8" s="421"/>
      <c r="C8" s="421"/>
      <c r="D8" s="421"/>
      <c r="E8" s="421"/>
      <c r="F8" s="421"/>
      <c r="G8" s="421"/>
      <c r="H8" s="173"/>
      <c r="I8" s="173"/>
      <c r="J8" s="173"/>
      <c r="K8" s="173"/>
      <c r="L8" s="173"/>
      <c r="M8" s="173"/>
      <c r="N8" s="173"/>
    </row>
    <row r="9" spans="1:14" s="174" customFormat="1" ht="15.75" thickBot="1">
      <c r="A9" s="175" t="s">
        <v>186</v>
      </c>
      <c r="B9" s="176" t="s">
        <v>187</v>
      </c>
      <c r="C9" s="175" t="s">
        <v>118</v>
      </c>
      <c r="D9" s="175" t="s">
        <v>188</v>
      </c>
      <c r="E9" s="175" t="s">
        <v>189</v>
      </c>
      <c r="F9" s="173"/>
      <c r="G9" s="173"/>
      <c r="H9" s="173"/>
      <c r="I9" s="173"/>
      <c r="J9" s="173"/>
      <c r="K9" s="173"/>
      <c r="L9" s="173"/>
      <c r="M9" s="173"/>
      <c r="N9" s="173"/>
    </row>
    <row r="10" spans="1:14" s="174" customFormat="1" ht="15">
      <c r="A10" s="177"/>
      <c r="B10" s="178"/>
      <c r="C10" s="179"/>
      <c r="D10" s="179"/>
      <c r="E10" s="180"/>
      <c r="F10" s="173"/>
      <c r="G10" s="173"/>
      <c r="H10" s="173"/>
      <c r="I10" s="173"/>
      <c r="J10" s="173"/>
      <c r="K10" s="173"/>
      <c r="L10" s="173"/>
      <c r="M10" s="173"/>
      <c r="N10" s="173"/>
    </row>
    <row r="11" spans="1:14" s="174" customFormat="1" ht="15" customHeight="1">
      <c r="A11" s="181"/>
      <c r="B11" s="182"/>
      <c r="C11" s="183"/>
      <c r="D11" s="183"/>
      <c r="E11" s="184"/>
      <c r="F11" s="173"/>
      <c r="G11" s="173"/>
      <c r="H11" s="173"/>
      <c r="I11" s="173"/>
      <c r="J11" s="173"/>
      <c r="K11" s="173"/>
      <c r="L11" s="173"/>
      <c r="M11" s="173"/>
      <c r="N11" s="173"/>
    </row>
    <row r="12" spans="1:14" s="174" customFormat="1" ht="15">
      <c r="A12" s="181"/>
      <c r="B12" s="182"/>
      <c r="C12" s="183"/>
      <c r="D12" s="183"/>
      <c r="E12" s="184"/>
      <c r="F12" s="173"/>
      <c r="G12" s="173"/>
      <c r="H12" s="173"/>
      <c r="I12" s="173"/>
      <c r="J12" s="173"/>
      <c r="K12" s="173"/>
      <c r="L12" s="173"/>
      <c r="M12" s="173"/>
      <c r="N12" s="173"/>
    </row>
    <row r="13" spans="1:14" s="174" customFormat="1" ht="15.75" thickBot="1">
      <c r="A13" s="185"/>
      <c r="B13" s="186"/>
      <c r="C13" s="187"/>
      <c r="D13" s="187"/>
      <c r="E13" s="188"/>
      <c r="F13" s="173"/>
      <c r="G13" s="173"/>
      <c r="H13" s="173"/>
      <c r="I13" s="173"/>
      <c r="J13" s="173"/>
      <c r="K13" s="173"/>
      <c r="L13" s="173"/>
      <c r="M13" s="173"/>
      <c r="N13" s="173"/>
    </row>
    <row r="14" spans="1:14" s="174" customFormat="1" ht="15">
      <c r="A14" s="173"/>
      <c r="B14" s="173"/>
      <c r="C14" s="173"/>
      <c r="D14" s="173"/>
      <c r="E14" s="173"/>
      <c r="F14" s="173"/>
      <c r="G14" s="173"/>
      <c r="H14" s="173"/>
      <c r="I14" s="173"/>
      <c r="J14" s="173"/>
      <c r="K14" s="173"/>
      <c r="L14" s="173"/>
      <c r="M14" s="173"/>
      <c r="N14" s="173"/>
    </row>
    <row r="15" spans="1:14" s="174" customFormat="1" ht="15.75" thickBot="1">
      <c r="A15" s="421" t="str">
        <f>_xlfn.IFERROR("Al "&amp;DAY(Indice!B6)&amp;" de "&amp;VLOOKUP(MONTH(Indice!B6),Indice!S:T,2,0)&amp;" de "&amp;YEAR(Indice!B6-1),"Al dia... de mes… de año 2XX2…")</f>
        <v>Al 30 de Septiembre de 2021</v>
      </c>
      <c r="B15" s="420"/>
      <c r="C15" s="420"/>
      <c r="D15" s="420"/>
      <c r="E15" s="420"/>
      <c r="F15" s="173"/>
      <c r="G15" s="173"/>
      <c r="H15" s="173"/>
      <c r="I15" s="173"/>
      <c r="J15" s="173"/>
      <c r="K15" s="173"/>
      <c r="L15" s="173"/>
      <c r="M15" s="173"/>
      <c r="N15" s="173"/>
    </row>
    <row r="16" spans="1:14" s="174" customFormat="1" ht="30" customHeight="1" thickBot="1">
      <c r="A16" s="175" t="s">
        <v>186</v>
      </c>
      <c r="B16" s="176" t="s">
        <v>187</v>
      </c>
      <c r="C16" s="175" t="s">
        <v>118</v>
      </c>
      <c r="D16" s="175" t="s">
        <v>188</v>
      </c>
      <c r="E16" s="175" t="s">
        <v>189</v>
      </c>
      <c r="F16" s="173"/>
      <c r="G16" s="173"/>
      <c r="H16" s="173"/>
      <c r="I16" s="173"/>
      <c r="J16" s="173"/>
      <c r="K16" s="173"/>
      <c r="L16" s="173"/>
      <c r="M16" s="173"/>
      <c r="N16" s="173"/>
    </row>
    <row r="17" spans="1:14" s="174" customFormat="1" ht="15">
      <c r="A17" s="177"/>
      <c r="B17" s="178"/>
      <c r="C17" s="179"/>
      <c r="D17" s="179"/>
      <c r="E17" s="180"/>
      <c r="F17" s="173"/>
      <c r="G17" s="173"/>
      <c r="H17" s="173"/>
      <c r="I17" s="173"/>
      <c r="J17" s="173"/>
      <c r="K17" s="173"/>
      <c r="L17" s="173"/>
      <c r="M17" s="173"/>
      <c r="N17" s="173"/>
    </row>
    <row r="18" spans="1:14" s="174" customFormat="1" ht="15">
      <c r="A18" s="181"/>
      <c r="B18" s="182"/>
      <c r="C18" s="183"/>
      <c r="D18" s="183"/>
      <c r="E18" s="184"/>
      <c r="F18" s="173"/>
      <c r="G18" s="173"/>
      <c r="H18" s="173"/>
      <c r="I18" s="173"/>
      <c r="J18" s="173"/>
      <c r="K18" s="173"/>
      <c r="L18" s="173"/>
      <c r="M18" s="173"/>
      <c r="N18" s="173"/>
    </row>
    <row r="19" spans="1:14" s="174" customFormat="1" ht="15">
      <c r="A19" s="181"/>
      <c r="B19" s="182"/>
      <c r="C19" s="183"/>
      <c r="D19" s="183"/>
      <c r="E19" s="184"/>
      <c r="F19" s="173"/>
      <c r="G19" s="173"/>
      <c r="H19" s="173"/>
      <c r="I19" s="173"/>
      <c r="J19" s="173"/>
      <c r="K19" s="173"/>
      <c r="L19" s="173"/>
      <c r="M19" s="173"/>
      <c r="N19" s="173"/>
    </row>
    <row r="20" spans="1:14" s="174" customFormat="1" ht="15.75" thickBot="1">
      <c r="A20" s="185"/>
      <c r="B20" s="186"/>
      <c r="C20" s="187"/>
      <c r="D20" s="187"/>
      <c r="E20" s="188"/>
      <c r="F20" s="173"/>
      <c r="G20" s="173"/>
      <c r="H20" s="173"/>
      <c r="I20" s="173"/>
      <c r="J20" s="173"/>
      <c r="K20" s="173"/>
      <c r="L20" s="173"/>
      <c r="M20" s="173"/>
      <c r="N20" s="173"/>
    </row>
    <row r="21" spans="1:14" s="174" customFormat="1" ht="15">
      <c r="A21" s="173"/>
      <c r="B21" s="173"/>
      <c r="C21" s="173"/>
      <c r="D21" s="173"/>
      <c r="E21" s="173"/>
      <c r="F21" s="173"/>
      <c r="G21" s="173"/>
      <c r="H21" s="173"/>
      <c r="I21" s="173"/>
      <c r="J21" s="173"/>
      <c r="K21" s="173"/>
      <c r="L21" s="173"/>
      <c r="M21" s="173"/>
      <c r="N21" s="173"/>
    </row>
    <row r="22" spans="1:14" s="174" customFormat="1" ht="15">
      <c r="A22" s="173"/>
      <c r="B22" s="173"/>
      <c r="C22" s="173"/>
      <c r="D22" s="173"/>
      <c r="E22" s="173"/>
      <c r="F22" s="173"/>
      <c r="G22" s="173"/>
      <c r="H22" s="173"/>
      <c r="I22" s="173"/>
      <c r="J22" s="173"/>
      <c r="K22" s="173"/>
      <c r="L22" s="173"/>
      <c r="M22" s="173"/>
      <c r="N22" s="173"/>
    </row>
    <row r="23" spans="1:14" s="174" customFormat="1" ht="15">
      <c r="A23" s="173"/>
      <c r="B23" s="173"/>
      <c r="C23" s="173"/>
      <c r="D23" s="173"/>
      <c r="E23" s="173"/>
      <c r="F23" s="173"/>
      <c r="G23" s="173"/>
      <c r="H23" s="173"/>
      <c r="I23" s="173"/>
      <c r="J23" s="173"/>
      <c r="K23" s="173"/>
      <c r="L23" s="173"/>
      <c r="M23" s="173"/>
      <c r="N23" s="173"/>
    </row>
    <row r="24" spans="1:14" s="174" customFormat="1" ht="15">
      <c r="A24" s="173"/>
      <c r="B24" s="173"/>
      <c r="C24" s="173"/>
      <c r="D24" s="173"/>
      <c r="E24" s="173"/>
      <c r="F24" s="173"/>
      <c r="G24" s="173"/>
      <c r="H24" s="173"/>
      <c r="I24" s="173"/>
      <c r="J24" s="173"/>
      <c r="K24" s="173"/>
      <c r="L24" s="173"/>
      <c r="M24" s="173"/>
      <c r="N24" s="173"/>
    </row>
    <row r="25" spans="1:14" s="174" customFormat="1" ht="15">
      <c r="A25" s="173"/>
      <c r="B25" s="173"/>
      <c r="C25" s="173"/>
      <c r="D25" s="173"/>
      <c r="E25" s="173"/>
      <c r="F25" s="173"/>
      <c r="G25" s="173"/>
      <c r="H25" s="173"/>
      <c r="I25" s="173"/>
      <c r="J25" s="173"/>
      <c r="K25" s="173"/>
      <c r="L25" s="173"/>
      <c r="M25" s="173"/>
      <c r="N25" s="173"/>
    </row>
    <row r="26" spans="1:14" s="174" customFormat="1" ht="15">
      <c r="A26" s="173"/>
      <c r="B26" s="173"/>
      <c r="C26" s="173"/>
      <c r="D26" s="173"/>
      <c r="E26" s="173"/>
      <c r="F26" s="173"/>
      <c r="G26" s="173"/>
      <c r="H26" s="173"/>
      <c r="I26" s="173"/>
      <c r="J26" s="173"/>
      <c r="K26" s="173"/>
      <c r="L26" s="173"/>
      <c r="M26" s="173"/>
      <c r="N26" s="173"/>
    </row>
    <row r="27" spans="1:14" s="174" customFormat="1" ht="15">
      <c r="A27" s="173"/>
      <c r="B27" s="173"/>
      <c r="C27" s="173"/>
      <c r="D27" s="173"/>
      <c r="E27" s="173"/>
      <c r="F27" s="173"/>
      <c r="G27" s="173"/>
      <c r="H27" s="173"/>
      <c r="I27" s="173"/>
      <c r="J27" s="173"/>
      <c r="K27" s="173"/>
      <c r="L27" s="173"/>
      <c r="M27" s="173"/>
      <c r="N27" s="173"/>
    </row>
    <row r="28" spans="1:14" s="174" customFormat="1" ht="15">
      <c r="A28" s="173"/>
      <c r="B28" s="173"/>
      <c r="C28" s="173"/>
      <c r="D28" s="173"/>
      <c r="E28" s="173"/>
      <c r="F28" s="173"/>
      <c r="G28" s="173"/>
      <c r="H28" s="173"/>
      <c r="I28" s="173"/>
      <c r="J28" s="173"/>
      <c r="K28" s="173"/>
      <c r="L28" s="173"/>
      <c r="M28" s="173"/>
      <c r="N28" s="173"/>
    </row>
    <row r="29" spans="1:14" s="174" customFormat="1" ht="15">
      <c r="A29" s="173"/>
      <c r="B29" s="173"/>
      <c r="C29" s="173"/>
      <c r="D29" s="173"/>
      <c r="E29" s="173"/>
      <c r="F29" s="173"/>
      <c r="G29" s="173"/>
      <c r="H29" s="173"/>
      <c r="I29" s="173"/>
      <c r="J29" s="173"/>
      <c r="K29" s="173"/>
      <c r="L29" s="173"/>
      <c r="M29" s="173"/>
      <c r="N29" s="173"/>
    </row>
    <row r="30" spans="1:14" s="174" customFormat="1" ht="15">
      <c r="A30" s="173"/>
      <c r="B30" s="173"/>
      <c r="C30" s="173"/>
      <c r="D30" s="173"/>
      <c r="E30" s="173"/>
      <c r="F30" s="173"/>
      <c r="G30" s="173"/>
      <c r="H30" s="173"/>
      <c r="I30" s="173"/>
      <c r="J30" s="173"/>
      <c r="K30" s="173"/>
      <c r="L30" s="173"/>
      <c r="M30" s="173"/>
      <c r="N30" s="173"/>
    </row>
    <row r="31" spans="1:14" s="174" customFormat="1" ht="15">
      <c r="A31" s="173"/>
      <c r="B31" s="173"/>
      <c r="C31" s="173"/>
      <c r="D31" s="173"/>
      <c r="E31" s="173"/>
      <c r="F31" s="173"/>
      <c r="G31" s="173"/>
      <c r="H31" s="173"/>
      <c r="I31" s="173"/>
      <c r="J31" s="173"/>
      <c r="K31" s="173"/>
      <c r="L31" s="173"/>
      <c r="M31" s="173"/>
      <c r="N31" s="173"/>
    </row>
    <row r="32" spans="1:14" s="174" customFormat="1" ht="15">
      <c r="A32" s="173"/>
      <c r="B32" s="173"/>
      <c r="C32" s="173"/>
      <c r="D32" s="173"/>
      <c r="E32" s="173"/>
      <c r="F32" s="173"/>
      <c r="G32" s="173"/>
      <c r="H32" s="173"/>
      <c r="I32" s="173"/>
      <c r="J32" s="173"/>
      <c r="K32" s="173"/>
      <c r="L32" s="173"/>
      <c r="M32" s="173"/>
      <c r="N32" s="173"/>
    </row>
    <row r="33" spans="1:14" s="174" customFormat="1" ht="15">
      <c r="A33" s="173"/>
      <c r="B33" s="173"/>
      <c r="C33" s="173"/>
      <c r="D33" s="173"/>
      <c r="E33" s="173"/>
      <c r="F33" s="173"/>
      <c r="G33" s="173"/>
      <c r="H33" s="173"/>
      <c r="I33" s="173"/>
      <c r="J33" s="173"/>
      <c r="K33" s="173"/>
      <c r="L33" s="173"/>
      <c r="M33" s="173"/>
      <c r="N33" s="173"/>
    </row>
    <row r="34" spans="1:14" s="174" customFormat="1" ht="15">
      <c r="A34" s="173"/>
      <c r="B34" s="173"/>
      <c r="C34" s="173"/>
      <c r="D34" s="173"/>
      <c r="E34" s="173"/>
      <c r="F34" s="173"/>
      <c r="G34" s="173"/>
      <c r="H34" s="173"/>
      <c r="I34" s="173"/>
      <c r="J34" s="173"/>
      <c r="K34" s="173"/>
      <c r="L34" s="173"/>
      <c r="M34" s="173"/>
      <c r="N34" s="173"/>
    </row>
    <row r="35" spans="1:14" s="174" customFormat="1" ht="15">
      <c r="A35" s="173"/>
      <c r="B35" s="173"/>
      <c r="C35" s="173"/>
      <c r="D35" s="173"/>
      <c r="E35" s="173"/>
      <c r="F35" s="173"/>
      <c r="G35" s="173"/>
      <c r="H35" s="173"/>
      <c r="I35" s="173"/>
      <c r="J35" s="173"/>
      <c r="K35" s="173"/>
      <c r="L35" s="173"/>
      <c r="M35" s="173"/>
      <c r="N35" s="173"/>
    </row>
    <row r="36" spans="1:14" s="174" customFormat="1" ht="15">
      <c r="A36" s="173"/>
      <c r="B36" s="173"/>
      <c r="C36" s="173"/>
      <c r="D36" s="173"/>
      <c r="E36" s="173"/>
      <c r="F36" s="173"/>
      <c r="G36" s="173"/>
      <c r="H36" s="173"/>
      <c r="I36" s="173"/>
      <c r="J36" s="173"/>
      <c r="K36" s="173"/>
      <c r="L36" s="173"/>
      <c r="M36" s="173"/>
      <c r="N36" s="173"/>
    </row>
    <row r="37" spans="1:14" s="174" customFormat="1" ht="15">
      <c r="A37" s="173"/>
      <c r="B37" s="173"/>
      <c r="C37" s="173"/>
      <c r="D37" s="173"/>
      <c r="E37" s="173"/>
      <c r="F37" s="173"/>
      <c r="G37" s="173"/>
      <c r="H37" s="173"/>
      <c r="I37" s="173"/>
      <c r="J37" s="173"/>
      <c r="K37" s="173"/>
      <c r="L37" s="173"/>
      <c r="M37" s="173"/>
      <c r="N37" s="173"/>
    </row>
    <row r="38" spans="1:14" s="174" customFormat="1" ht="15">
      <c r="A38" s="173"/>
      <c r="B38" s="173"/>
      <c r="C38" s="173"/>
      <c r="D38" s="173"/>
      <c r="E38" s="173"/>
      <c r="F38" s="173"/>
      <c r="G38" s="173"/>
      <c r="H38" s="173"/>
      <c r="I38" s="173"/>
      <c r="J38" s="173"/>
      <c r="K38" s="173"/>
      <c r="L38" s="173"/>
      <c r="M38" s="173"/>
      <c r="N38" s="173"/>
    </row>
    <row r="39" spans="1:14" s="174" customFormat="1" ht="15">
      <c r="A39" s="173"/>
      <c r="B39" s="173"/>
      <c r="C39" s="173"/>
      <c r="D39" s="173"/>
      <c r="E39" s="173"/>
      <c r="F39" s="173"/>
      <c r="G39" s="173"/>
      <c r="H39" s="173"/>
      <c r="I39" s="173"/>
      <c r="J39" s="173"/>
      <c r="K39" s="173"/>
      <c r="L39" s="173"/>
      <c r="M39" s="173"/>
      <c r="N39" s="173"/>
    </row>
    <row r="40" spans="1:14" s="174" customFormat="1" ht="15">
      <c r="A40" s="173"/>
      <c r="B40" s="173"/>
      <c r="C40" s="173"/>
      <c r="D40" s="173"/>
      <c r="E40" s="173"/>
      <c r="F40" s="173"/>
      <c r="G40" s="173"/>
      <c r="H40" s="173"/>
      <c r="I40" s="173"/>
      <c r="J40" s="173"/>
      <c r="K40" s="173"/>
      <c r="L40" s="173"/>
      <c r="M40" s="173"/>
      <c r="N40" s="173"/>
    </row>
    <row r="41" spans="1:14" s="174" customFormat="1" ht="15">
      <c r="A41" s="173"/>
      <c r="B41" s="173"/>
      <c r="C41" s="173"/>
      <c r="D41" s="173"/>
      <c r="E41" s="173"/>
      <c r="F41" s="173"/>
      <c r="G41" s="173"/>
      <c r="H41" s="173"/>
      <c r="I41" s="173"/>
      <c r="J41" s="173"/>
      <c r="K41" s="173"/>
      <c r="L41" s="173"/>
      <c r="M41" s="173"/>
      <c r="N41" s="173"/>
    </row>
    <row r="42" spans="1:14" s="174" customFormat="1" ht="15">
      <c r="A42" s="173"/>
      <c r="B42" s="173"/>
      <c r="C42" s="173"/>
      <c r="D42" s="173"/>
      <c r="E42" s="173"/>
      <c r="F42" s="173"/>
      <c r="G42" s="173"/>
      <c r="H42" s="173"/>
      <c r="I42" s="173"/>
      <c r="J42" s="173"/>
      <c r="K42" s="173"/>
      <c r="L42" s="173"/>
      <c r="M42" s="173"/>
      <c r="N42" s="173"/>
    </row>
    <row r="43" spans="1:14" s="174" customFormat="1" ht="15">
      <c r="A43" s="173"/>
      <c r="B43" s="173"/>
      <c r="C43" s="173"/>
      <c r="D43" s="173"/>
      <c r="E43" s="173"/>
      <c r="F43" s="173"/>
      <c r="G43" s="173"/>
      <c r="H43" s="173"/>
      <c r="I43" s="173"/>
      <c r="J43" s="173"/>
      <c r="K43" s="173"/>
      <c r="L43" s="173"/>
      <c r="M43" s="173"/>
      <c r="N43" s="173"/>
    </row>
    <row r="44" spans="1:14" s="174" customFormat="1" ht="15">
      <c r="A44" s="173"/>
      <c r="B44" s="173"/>
      <c r="C44" s="173"/>
      <c r="D44" s="173"/>
      <c r="E44" s="173"/>
      <c r="F44" s="173"/>
      <c r="G44" s="173"/>
      <c r="H44" s="173"/>
      <c r="I44" s="173"/>
      <c r="J44" s="173"/>
      <c r="K44" s="173"/>
      <c r="L44" s="173"/>
      <c r="M44" s="173"/>
      <c r="N44" s="173"/>
    </row>
    <row r="45" spans="1:14" s="174" customFormat="1" ht="15">
      <c r="A45" s="173"/>
      <c r="B45" s="173"/>
      <c r="C45" s="173"/>
      <c r="D45" s="173"/>
      <c r="E45" s="173"/>
      <c r="F45" s="173"/>
      <c r="G45" s="173"/>
      <c r="H45" s="173"/>
      <c r="I45" s="173"/>
      <c r="J45" s="173"/>
      <c r="K45" s="173"/>
      <c r="L45" s="173"/>
      <c r="M45" s="173"/>
      <c r="N45" s="173"/>
    </row>
    <row r="46" spans="1:14" s="174" customFormat="1" ht="15">
      <c r="A46" s="173"/>
      <c r="B46" s="173"/>
      <c r="C46" s="173"/>
      <c r="D46" s="173"/>
      <c r="E46" s="173"/>
      <c r="F46" s="173"/>
      <c r="G46" s="173"/>
      <c r="H46" s="173"/>
      <c r="I46" s="173"/>
      <c r="J46" s="173"/>
      <c r="K46" s="173"/>
      <c r="L46" s="173"/>
      <c r="M46" s="173"/>
      <c r="N46" s="173"/>
    </row>
    <row r="47" spans="1:14" s="174" customFormat="1" ht="15">
      <c r="A47" s="173"/>
      <c r="B47" s="173"/>
      <c r="C47" s="173"/>
      <c r="D47" s="173"/>
      <c r="E47" s="173"/>
      <c r="F47" s="173"/>
      <c r="G47" s="173"/>
      <c r="H47" s="173"/>
      <c r="I47" s="173"/>
      <c r="J47" s="173"/>
      <c r="K47" s="173"/>
      <c r="L47" s="173"/>
      <c r="M47" s="173"/>
      <c r="N47" s="173"/>
    </row>
    <row r="48" spans="1:14" s="174" customFormat="1" ht="15">
      <c r="A48" s="173"/>
      <c r="B48" s="173"/>
      <c r="C48" s="173"/>
      <c r="D48" s="173"/>
      <c r="E48" s="173"/>
      <c r="F48" s="173"/>
      <c r="G48" s="173"/>
      <c r="H48" s="173"/>
      <c r="I48" s="173"/>
      <c r="J48" s="173"/>
      <c r="K48" s="173"/>
      <c r="L48" s="173"/>
      <c r="M48" s="173"/>
      <c r="N48" s="173"/>
    </row>
    <row r="49" spans="1:14" s="174" customFormat="1" ht="15">
      <c r="A49" s="173"/>
      <c r="B49" s="173"/>
      <c r="C49" s="173"/>
      <c r="D49" s="173"/>
      <c r="E49" s="173"/>
      <c r="F49" s="173"/>
      <c r="G49" s="173"/>
      <c r="H49" s="173"/>
      <c r="I49" s="173"/>
      <c r="J49" s="173"/>
      <c r="K49" s="173"/>
      <c r="L49" s="173"/>
      <c r="M49" s="173"/>
      <c r="N49" s="173"/>
    </row>
    <row r="50" spans="1:14" s="174" customFormat="1" ht="15">
      <c r="A50" s="173"/>
      <c r="B50" s="173"/>
      <c r="C50" s="173"/>
      <c r="D50" s="173"/>
      <c r="E50" s="173"/>
      <c r="F50" s="173"/>
      <c r="G50" s="173"/>
      <c r="H50" s="173"/>
      <c r="I50" s="173"/>
      <c r="J50" s="173"/>
      <c r="K50" s="173"/>
      <c r="L50" s="173"/>
      <c r="M50" s="173"/>
      <c r="N50" s="173"/>
    </row>
    <row r="51" spans="1:14" s="174" customFormat="1" ht="15">
      <c r="A51" s="173"/>
      <c r="B51" s="173"/>
      <c r="C51" s="173"/>
      <c r="D51" s="173"/>
      <c r="E51" s="173"/>
      <c r="F51" s="173"/>
      <c r="G51" s="173"/>
      <c r="H51" s="173"/>
      <c r="I51" s="173"/>
      <c r="J51" s="173"/>
      <c r="K51" s="173"/>
      <c r="L51" s="173"/>
      <c r="M51" s="173"/>
      <c r="N51" s="173"/>
    </row>
    <row r="52" spans="1:14" s="174" customFormat="1" ht="15">
      <c r="A52" s="173"/>
      <c r="B52" s="173"/>
      <c r="C52" s="173"/>
      <c r="D52" s="173"/>
      <c r="E52" s="173"/>
      <c r="F52" s="173"/>
      <c r="G52" s="173"/>
      <c r="H52" s="173"/>
      <c r="I52" s="173"/>
      <c r="J52" s="173"/>
      <c r="K52" s="173"/>
      <c r="L52" s="173"/>
      <c r="M52" s="173"/>
      <c r="N52" s="173"/>
    </row>
    <row r="53" spans="1:14" s="174" customFormat="1" ht="15">
      <c r="A53" s="173"/>
      <c r="B53" s="173"/>
      <c r="C53" s="173"/>
      <c r="D53" s="173"/>
      <c r="E53" s="173"/>
      <c r="F53" s="173"/>
      <c r="G53" s="173"/>
      <c r="H53" s="173"/>
      <c r="I53" s="173"/>
      <c r="J53" s="173"/>
      <c r="K53" s="173"/>
      <c r="L53" s="173"/>
      <c r="M53" s="173"/>
      <c r="N53" s="173"/>
    </row>
    <row r="54" spans="1:14" s="174" customFormat="1" ht="15">
      <c r="A54" s="173"/>
      <c r="B54" s="173"/>
      <c r="C54" s="173"/>
      <c r="D54" s="173"/>
      <c r="E54" s="173"/>
      <c r="F54" s="173"/>
      <c r="G54" s="173"/>
      <c r="H54" s="173"/>
      <c r="I54" s="173"/>
      <c r="J54" s="173"/>
      <c r="K54" s="173"/>
      <c r="L54" s="173"/>
      <c r="M54" s="173"/>
      <c r="N54" s="173"/>
    </row>
    <row r="55" spans="1:14" s="174" customFormat="1" ht="15">
      <c r="A55" s="173"/>
      <c r="B55" s="173"/>
      <c r="C55" s="173"/>
      <c r="D55" s="173"/>
      <c r="E55" s="173"/>
      <c r="F55" s="173"/>
      <c r="G55" s="173"/>
      <c r="H55" s="173"/>
      <c r="I55" s="173"/>
      <c r="J55" s="173"/>
      <c r="K55" s="173"/>
      <c r="L55" s="173"/>
      <c r="M55" s="173"/>
      <c r="N55" s="173"/>
    </row>
    <row r="56" spans="1:14" s="174" customFormat="1" ht="15">
      <c r="A56" s="173"/>
      <c r="B56" s="173"/>
      <c r="C56" s="173"/>
      <c r="D56" s="173"/>
      <c r="E56" s="173"/>
      <c r="F56" s="173"/>
      <c r="G56" s="173"/>
      <c r="H56" s="173"/>
      <c r="I56" s="173"/>
      <c r="J56" s="173"/>
      <c r="K56" s="173"/>
      <c r="L56" s="173"/>
      <c r="M56" s="173"/>
      <c r="N56" s="173"/>
    </row>
    <row r="57" spans="1:14" s="174" customFormat="1" ht="15">
      <c r="A57" s="173"/>
      <c r="B57" s="173"/>
      <c r="C57" s="173"/>
      <c r="D57" s="173"/>
      <c r="E57" s="173"/>
      <c r="F57" s="173"/>
      <c r="G57" s="173"/>
      <c r="H57" s="173"/>
      <c r="I57" s="173"/>
      <c r="J57" s="173"/>
      <c r="K57" s="173"/>
      <c r="L57" s="173"/>
      <c r="M57" s="173"/>
      <c r="N57" s="173"/>
    </row>
    <row r="58" spans="1:14" s="174" customFormat="1" ht="15">
      <c r="A58" s="173"/>
      <c r="B58" s="173"/>
      <c r="C58" s="173"/>
      <c r="D58" s="173"/>
      <c r="E58" s="173"/>
      <c r="F58" s="173"/>
      <c r="G58" s="173"/>
      <c r="H58" s="173"/>
      <c r="I58" s="173"/>
      <c r="J58" s="173"/>
      <c r="K58" s="173"/>
      <c r="L58" s="173"/>
      <c r="M58" s="173"/>
      <c r="N58" s="173"/>
    </row>
    <row r="59" spans="1:14" s="174" customFormat="1" ht="15">
      <c r="A59" s="173"/>
      <c r="B59" s="173"/>
      <c r="C59" s="173"/>
      <c r="D59" s="173"/>
      <c r="E59" s="173"/>
      <c r="F59" s="173"/>
      <c r="G59" s="173"/>
      <c r="H59" s="173"/>
      <c r="I59" s="173"/>
      <c r="J59" s="173"/>
      <c r="K59" s="173"/>
      <c r="L59" s="173"/>
      <c r="M59" s="173"/>
      <c r="N59" s="173"/>
    </row>
    <row r="60" spans="1:14" s="174" customFormat="1" ht="15">
      <c r="A60" s="173"/>
      <c r="B60" s="173"/>
      <c r="C60" s="173"/>
      <c r="D60" s="173"/>
      <c r="E60" s="173"/>
      <c r="F60" s="173"/>
      <c r="G60" s="173"/>
      <c r="H60" s="173"/>
      <c r="I60" s="173"/>
      <c r="J60" s="173"/>
      <c r="K60" s="173"/>
      <c r="L60" s="173"/>
      <c r="M60" s="173"/>
      <c r="N60" s="173"/>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A15" sqref="A15:H15"/>
    </sheetView>
  </sheetViews>
  <sheetFormatPr defaultColWidth="11.421875" defaultRowHeight="15"/>
  <cols>
    <col min="1" max="5" width="24.421875" style="121" customWidth="1"/>
    <col min="6" max="6" width="12.8515625" style="121" customWidth="1"/>
    <col min="7" max="7" width="11.421875" style="121" customWidth="1"/>
    <col min="8" max="8" width="17.28125" style="121" customWidth="1"/>
    <col min="9" max="14" width="11.421875" style="121" customWidth="1"/>
  </cols>
  <sheetData>
    <row r="1" spans="1:5" ht="15">
      <c r="A1" s="121" t="str">
        <f>Indice!C1</f>
        <v>NEGOFIN S.A.E.C.A.</v>
      </c>
      <c r="E1" s="142" t="s">
        <v>388</v>
      </c>
    </row>
    <row r="2" ht="15">
      <c r="C2" s="129"/>
    </row>
    <row r="4" spans="1:9" ht="15">
      <c r="A4" s="276" t="s">
        <v>389</v>
      </c>
      <c r="B4" s="276"/>
      <c r="C4" s="276"/>
      <c r="D4" s="276"/>
      <c r="E4" s="276"/>
      <c r="F4" s="276"/>
      <c r="G4" s="276"/>
      <c r="H4" s="276"/>
      <c r="I4" s="277"/>
    </row>
    <row r="5" spans="1:9" ht="15">
      <c r="A5" s="904" t="s">
        <v>190</v>
      </c>
      <c r="B5" s="904"/>
      <c r="C5" s="904"/>
      <c r="D5" s="904"/>
      <c r="E5" s="904"/>
      <c r="F5" s="904"/>
      <c r="G5" s="904"/>
      <c r="H5" s="904"/>
      <c r="I5" s="904"/>
    </row>
    <row r="6" spans="1:14" s="174" customFormat="1" ht="15" customHeight="1">
      <c r="A6" s="911"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2021 son:</v>
      </c>
      <c r="B6" s="911"/>
      <c r="C6" s="911"/>
      <c r="D6" s="911"/>
      <c r="E6" s="911"/>
      <c r="F6" s="911"/>
      <c r="G6" s="911"/>
      <c r="H6" s="911"/>
      <c r="I6" s="911"/>
      <c r="J6" s="173"/>
      <c r="K6" s="173"/>
      <c r="L6" s="173"/>
      <c r="M6" s="173"/>
      <c r="N6" s="173"/>
    </row>
    <row r="7" spans="1:14" s="174" customFormat="1" ht="15">
      <c r="A7" s="173" t="s">
        <v>191</v>
      </c>
      <c r="B7" s="173"/>
      <c r="C7" s="173"/>
      <c r="D7" s="173"/>
      <c r="E7" s="173"/>
      <c r="F7" s="173"/>
      <c r="G7" s="173"/>
      <c r="H7" s="173"/>
      <c r="I7" s="173"/>
      <c r="J7" s="173"/>
      <c r="K7" s="173"/>
      <c r="L7" s="173"/>
      <c r="M7" s="173"/>
      <c r="N7" s="173"/>
    </row>
    <row r="8" s="173" customFormat="1" ht="15">
      <c r="A8" s="173" t="s">
        <v>192</v>
      </c>
    </row>
    <row r="9" spans="1:14" s="174" customFormat="1" ht="15">
      <c r="A9" s="173"/>
      <c r="B9" s="173"/>
      <c r="C9" s="173"/>
      <c r="D9" s="173"/>
      <c r="E9" s="173"/>
      <c r="F9" s="173"/>
      <c r="G9" s="173"/>
      <c r="H9" s="173"/>
      <c r="I9" s="173"/>
      <c r="J9" s="173"/>
      <c r="K9" s="173"/>
      <c r="L9" s="173"/>
      <c r="M9" s="173"/>
      <c r="N9" s="173"/>
    </row>
    <row r="10" spans="2:14" s="174" customFormat="1" ht="15">
      <c r="B10" s="173"/>
      <c r="C10" s="173"/>
      <c r="D10" s="173"/>
      <c r="E10" s="173"/>
      <c r="F10" s="173"/>
      <c r="G10" s="173"/>
      <c r="H10" s="173"/>
      <c r="I10" s="173"/>
      <c r="J10" s="173"/>
      <c r="K10" s="173"/>
      <c r="L10" s="173"/>
      <c r="M10" s="173"/>
      <c r="N10" s="173"/>
    </row>
    <row r="11" spans="1:14" s="174" customFormat="1" ht="15">
      <c r="A11" s="913"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2021 no existen situaciones contingentes, ni reclamos que pudieran resultar en la generación de obligaciones para la Sociedad adicionales a las que se presentan en estos estados financieros.</v>
      </c>
      <c r="B11" s="913"/>
      <c r="C11" s="913"/>
      <c r="D11" s="913"/>
      <c r="E11" s="913"/>
      <c r="F11" s="913"/>
      <c r="G11" s="913"/>
      <c r="H11" s="913"/>
      <c r="I11" s="173"/>
      <c r="J11" s="173"/>
      <c r="K11" s="173"/>
      <c r="L11" s="173"/>
      <c r="M11" s="173"/>
      <c r="N11" s="173"/>
    </row>
    <row r="12" spans="1:14" s="174" customFormat="1" ht="16.5" customHeight="1">
      <c r="A12" s="913"/>
      <c r="B12" s="913"/>
      <c r="C12" s="913"/>
      <c r="D12" s="913"/>
      <c r="E12" s="913"/>
      <c r="F12" s="913"/>
      <c r="G12" s="913"/>
      <c r="H12" s="913"/>
      <c r="I12" s="287"/>
      <c r="J12" s="173"/>
      <c r="K12" s="173"/>
      <c r="L12" s="173"/>
      <c r="M12" s="173"/>
      <c r="N12" s="173"/>
    </row>
    <row r="13" spans="1:14" s="174" customFormat="1" ht="15">
      <c r="A13" s="173"/>
      <c r="B13" s="173"/>
      <c r="C13" s="173"/>
      <c r="D13" s="173"/>
      <c r="E13" s="173"/>
      <c r="F13" s="173"/>
      <c r="G13" s="173"/>
      <c r="H13" s="173"/>
      <c r="I13" s="173"/>
      <c r="J13" s="173"/>
      <c r="K13" s="173"/>
      <c r="L13" s="173"/>
      <c r="M13" s="173"/>
      <c r="N13" s="173"/>
    </row>
    <row r="14" spans="1:14" s="174" customFormat="1" ht="15">
      <c r="A14" s="173"/>
      <c r="B14" s="173"/>
      <c r="C14" s="173"/>
      <c r="D14" s="173"/>
      <c r="E14" s="173"/>
      <c r="F14" s="173"/>
      <c r="G14" s="173"/>
      <c r="H14" s="173"/>
      <c r="I14" s="173"/>
      <c r="J14" s="173"/>
      <c r="K14" s="173"/>
      <c r="L14" s="173"/>
      <c r="M14" s="173"/>
      <c r="N14" s="173"/>
    </row>
    <row r="15" spans="1:14" s="174" customFormat="1" ht="21" customHeight="1">
      <c r="A15" s="912" t="s">
        <v>412</v>
      </c>
      <c r="B15" s="912"/>
      <c r="C15" s="912"/>
      <c r="D15" s="912"/>
      <c r="E15" s="912"/>
      <c r="F15" s="912"/>
      <c r="G15" s="912"/>
      <c r="H15" s="912"/>
      <c r="I15" s="288"/>
      <c r="J15" s="173"/>
      <c r="K15" s="173"/>
      <c r="L15" s="173"/>
      <c r="M15" s="173"/>
      <c r="N15" s="173"/>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1">
      <selection activeCell="H5" sqref="H5"/>
    </sheetView>
  </sheetViews>
  <sheetFormatPr defaultColWidth="11.421875" defaultRowHeight="15"/>
  <cols>
    <col min="1" max="1" width="47.8515625" style="121" customWidth="1"/>
    <col min="2" max="2" width="22.57421875" style="121" customWidth="1"/>
    <col min="3" max="3" width="26.140625" style="121" customWidth="1"/>
    <col min="4" max="51" width="11.421875" style="121" customWidth="1"/>
  </cols>
  <sheetData>
    <row r="1" spans="1:4" ht="15">
      <c r="A1" s="121" t="str">
        <f>Indice!C1</f>
        <v>NEGOFIN S.A.E.C.A.</v>
      </c>
      <c r="D1" s="142" t="s">
        <v>905</v>
      </c>
    </row>
    <row r="4" spans="1:7" ht="15">
      <c r="A4" s="914" t="s">
        <v>395</v>
      </c>
      <c r="B4" s="914"/>
      <c r="C4" s="914"/>
      <c r="D4" s="914"/>
      <c r="E4" s="914"/>
      <c r="F4" s="914"/>
      <c r="G4" s="914"/>
    </row>
    <row r="5" ht="15">
      <c r="A5" s="274" t="s">
        <v>243</v>
      </c>
    </row>
    <row r="6" spans="1:11" ht="59.25" customHeight="1">
      <c r="A6" s="915" t="s">
        <v>409</v>
      </c>
      <c r="B6" s="915"/>
      <c r="C6" s="915"/>
      <c r="D6" s="915"/>
      <c r="E6" s="915"/>
      <c r="F6" s="915"/>
      <c r="G6" s="915"/>
      <c r="H6" s="285"/>
      <c r="I6" s="285"/>
      <c r="J6" s="285"/>
      <c r="K6" s="285"/>
    </row>
    <row r="7" spans="1:11" ht="55.5" customHeight="1">
      <c r="A7" s="916" t="s">
        <v>396</v>
      </c>
      <c r="B7" s="916"/>
      <c r="C7" s="916"/>
      <c r="D7" s="916"/>
      <c r="E7" s="916"/>
      <c r="F7" s="916"/>
      <c r="G7" s="916"/>
      <c r="H7" s="285"/>
      <c r="I7" s="285"/>
      <c r="J7" s="285"/>
      <c r="K7" s="285"/>
    </row>
    <row r="8" ht="15.75">
      <c r="A8" s="278"/>
    </row>
    <row r="9" spans="1:11" s="121" customFormat="1" ht="21.75" customHeight="1">
      <c r="A9" s="917" t="s">
        <v>397</v>
      </c>
      <c r="B9" s="917"/>
      <c r="C9" s="917"/>
      <c r="D9" s="917"/>
      <c r="E9" s="917"/>
      <c r="F9" s="917"/>
      <c r="G9" s="917"/>
      <c r="H9" s="286"/>
      <c r="I9" s="286"/>
      <c r="J9" s="286"/>
      <c r="K9" s="286"/>
    </row>
    <row r="11" spans="1:51" s="338" customFormat="1" ht="15" customHeight="1">
      <c r="A11" s="341"/>
      <c r="B11" s="392">
        <f>_xlfn.IFERROR(IF(Indice!B6="","2XX2",YEAR(Indice!B6)),"2XX2")</f>
        <v>2021</v>
      </c>
      <c r="C11" s="392">
        <f>+_xlfn.IFERROR(YEAR(Indice!B6-365),"2XX1")</f>
        <v>2020</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row>
    <row r="12" spans="1:3" ht="15.75">
      <c r="A12" s="279" t="s">
        <v>398</v>
      </c>
      <c r="B12" s="280"/>
      <c r="C12" s="280"/>
    </row>
    <row r="13" spans="1:3" ht="15.75">
      <c r="A13" s="279" t="s">
        <v>399</v>
      </c>
      <c r="B13" s="280"/>
      <c r="C13" s="280"/>
    </row>
    <row r="14" spans="1:3" ht="15.75">
      <c r="A14" s="279" t="s">
        <v>126</v>
      </c>
      <c r="B14" s="280"/>
      <c r="C14" s="280"/>
    </row>
    <row r="15" spans="1:3" ht="15.75">
      <c r="A15" s="279" t="s">
        <v>400</v>
      </c>
      <c r="B15" s="280"/>
      <c r="C15" s="280"/>
    </row>
    <row r="16" spans="1:3" ht="15.75">
      <c r="A16" s="279" t="s">
        <v>401</v>
      </c>
      <c r="B16" s="281"/>
      <c r="C16" s="280"/>
    </row>
    <row r="17" spans="1:3" ht="15.75">
      <c r="A17" s="279" t="s">
        <v>125</v>
      </c>
      <c r="B17" s="281"/>
      <c r="C17" s="280"/>
    </row>
    <row r="18" spans="1:3" ht="15.75">
      <c r="A18" s="279" t="s">
        <v>402</v>
      </c>
      <c r="B18" s="281"/>
      <c r="C18" s="280"/>
    </row>
    <row r="19" spans="1:3" ht="15.75">
      <c r="A19" s="279" t="s">
        <v>403</v>
      </c>
      <c r="B19" s="281"/>
      <c r="C19" s="280"/>
    </row>
    <row r="20" spans="1:3" ht="15.75">
      <c r="A20" s="279" t="s">
        <v>404</v>
      </c>
      <c r="B20" s="281"/>
      <c r="C20" s="280"/>
    </row>
    <row r="21" spans="1:3" ht="15.75">
      <c r="A21" s="279" t="s">
        <v>405</v>
      </c>
      <c r="B21" s="281"/>
      <c r="C21" s="280"/>
    </row>
    <row r="22" spans="1:3" ht="15.75">
      <c r="A22" s="279" t="s">
        <v>406</v>
      </c>
      <c r="B22" s="281"/>
      <c r="C22" s="280"/>
    </row>
    <row r="23" spans="1:3" ht="31.5">
      <c r="A23" s="279" t="s">
        <v>407</v>
      </c>
      <c r="B23" s="281"/>
      <c r="C23" s="280"/>
    </row>
    <row r="24" spans="1:3" ht="15.75">
      <c r="A24" s="279" t="s">
        <v>408</v>
      </c>
      <c r="B24" s="281"/>
      <c r="C24" s="280"/>
    </row>
    <row r="25" spans="1:3" ht="15.75">
      <c r="A25" s="282" t="s">
        <v>3</v>
      </c>
      <c r="B25" s="283"/>
      <c r="C25" s="284"/>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E11" sqref="E11"/>
    </sheetView>
  </sheetViews>
  <sheetFormatPr defaultColWidth="11.421875" defaultRowHeight="15"/>
  <cols>
    <col min="1" max="5" width="24.421875" style="121" customWidth="1"/>
    <col min="6" max="6" width="12.8515625" style="121" customWidth="1"/>
    <col min="7" max="7" width="11.421875" style="121" customWidth="1"/>
    <col min="8" max="8" width="17.28125" style="121" customWidth="1"/>
    <col min="9" max="14" width="11.421875" style="121" customWidth="1"/>
  </cols>
  <sheetData>
    <row r="1" spans="1:5" ht="15">
      <c r="A1" s="121" t="str">
        <f>Indice!C1</f>
        <v>NEGOFIN S.A.E.C.A.</v>
      </c>
      <c r="E1" s="142" t="s">
        <v>388</v>
      </c>
    </row>
    <row r="2" ht="15">
      <c r="C2" s="129"/>
    </row>
    <row r="5" spans="1:9" ht="15">
      <c r="A5" s="276" t="s">
        <v>410</v>
      </c>
      <c r="B5" s="276"/>
      <c r="C5" s="276"/>
      <c r="D5" s="276"/>
      <c r="E5" s="276"/>
      <c r="F5" s="276"/>
      <c r="G5" s="276"/>
      <c r="H5" s="276"/>
      <c r="I5" s="276"/>
    </row>
    <row r="6" spans="1:14" s="190" customFormat="1" ht="17.25" customHeight="1">
      <c r="A6" s="904" t="s">
        <v>193</v>
      </c>
      <c r="B6" s="904"/>
      <c r="C6" s="904"/>
      <c r="D6" s="904"/>
      <c r="E6" s="904"/>
      <c r="F6" s="904"/>
      <c r="G6" s="904"/>
      <c r="H6" s="904"/>
      <c r="I6" s="904"/>
      <c r="J6" s="189"/>
      <c r="K6" s="189"/>
      <c r="L6" s="189"/>
      <c r="M6" s="189"/>
      <c r="N6" s="189"/>
    </row>
    <row r="8" spans="1:14" s="174" customFormat="1" ht="15">
      <c r="A8" s="173"/>
      <c r="B8" s="173"/>
      <c r="C8" s="173"/>
      <c r="D8" s="173"/>
      <c r="E8" s="173"/>
      <c r="F8" s="173"/>
      <c r="G8" s="173"/>
      <c r="H8" s="173"/>
      <c r="I8" s="173"/>
      <c r="J8" s="173"/>
      <c r="K8" s="173"/>
      <c r="L8" s="173"/>
      <c r="M8" s="173"/>
      <c r="N8" s="173"/>
    </row>
    <row r="9" spans="1:9" s="173" customFormat="1" ht="39" customHeight="1">
      <c r="A9" s="913" t="s">
        <v>1347</v>
      </c>
      <c r="B9" s="913"/>
      <c r="C9" s="913"/>
      <c r="D9" s="913"/>
      <c r="E9" s="913"/>
      <c r="F9" s="913"/>
      <c r="G9" s="913"/>
      <c r="H9" s="913"/>
      <c r="I9" s="913"/>
    </row>
    <row r="10" spans="1:14" s="174" customFormat="1" ht="15">
      <c r="A10" s="173"/>
      <c r="B10" s="173"/>
      <c r="C10" s="173"/>
      <c r="D10" s="173"/>
      <c r="E10" s="173"/>
      <c r="F10" s="173"/>
      <c r="G10" s="173"/>
      <c r="H10" s="173"/>
      <c r="I10" s="173"/>
      <c r="J10" s="173"/>
      <c r="K10" s="173"/>
      <c r="L10" s="173"/>
      <c r="M10" s="173"/>
      <c r="N10" s="173"/>
    </row>
    <row r="11" spans="10:14" s="174" customFormat="1" ht="46.5" customHeight="1">
      <c r="J11" s="173"/>
      <c r="K11" s="173"/>
      <c r="L11" s="173"/>
      <c r="M11" s="173"/>
      <c r="N11" s="173"/>
    </row>
    <row r="12" spans="1:14" s="174" customFormat="1" ht="15">
      <c r="A12" s="173"/>
      <c r="B12" s="173"/>
      <c r="C12" s="173"/>
      <c r="D12" s="173"/>
      <c r="E12" s="173"/>
      <c r="F12" s="173"/>
      <c r="G12" s="173"/>
      <c r="H12" s="173"/>
      <c r="I12" s="173"/>
      <c r="J12" s="173"/>
      <c r="K12" s="173"/>
      <c r="L12" s="173"/>
      <c r="M12" s="173"/>
      <c r="N12" s="173"/>
    </row>
    <row r="13" spans="1:14" s="174" customFormat="1" ht="15">
      <c r="A13" s="918"/>
      <c r="B13" s="918"/>
      <c r="C13" s="918"/>
      <c r="D13" s="918"/>
      <c r="E13" s="918"/>
      <c r="F13" s="918"/>
      <c r="G13" s="918"/>
      <c r="H13" s="918"/>
      <c r="I13" s="918"/>
      <c r="J13" s="173"/>
      <c r="K13" s="173"/>
      <c r="L13" s="173"/>
      <c r="M13" s="173"/>
      <c r="N13" s="173"/>
    </row>
    <row r="14" spans="1:14" s="174" customFormat="1" ht="15">
      <c r="A14" s="173"/>
      <c r="B14" s="173"/>
      <c r="C14" s="173"/>
      <c r="D14" s="173"/>
      <c r="E14" s="173"/>
      <c r="F14" s="173"/>
      <c r="G14" s="173"/>
      <c r="H14" s="173"/>
      <c r="I14" s="173"/>
      <c r="J14" s="173"/>
      <c r="K14" s="173"/>
      <c r="L14" s="173"/>
      <c r="M14" s="173"/>
      <c r="N14" s="173"/>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25">
      <selection activeCell="A8" sqref="A8:G8"/>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NEGOFIN S.A.E.C.A.</v>
      </c>
      <c r="C1" s="439" t="s">
        <v>388</v>
      </c>
      <c r="H1" s="141"/>
    </row>
    <row r="5" spans="1:7" ht="15">
      <c r="A5" s="437" t="s">
        <v>902</v>
      </c>
      <c r="B5" s="437"/>
      <c r="C5" s="437"/>
      <c r="D5" s="437"/>
      <c r="E5" s="438"/>
      <c r="F5" s="438"/>
      <c r="G5" s="438"/>
    </row>
    <row r="6" spans="1:7" ht="15">
      <c r="A6" s="436" t="s">
        <v>261</v>
      </c>
      <c r="B6" s="427"/>
      <c r="C6" s="427"/>
      <c r="D6" s="427"/>
      <c r="E6" s="427"/>
      <c r="F6" s="427"/>
      <c r="G6" s="427"/>
    </row>
    <row r="7" spans="1:7" ht="15">
      <c r="A7" s="427" t="s">
        <v>1225</v>
      </c>
      <c r="B7" s="427"/>
      <c r="C7" s="427"/>
      <c r="D7" s="427"/>
      <c r="E7" s="427"/>
      <c r="F7" s="427"/>
      <c r="G7" s="427"/>
    </row>
    <row r="8" spans="1:7" ht="15">
      <c r="A8" s="919"/>
      <c r="B8" s="919"/>
      <c r="C8" s="919"/>
      <c r="D8" s="919"/>
      <c r="E8" s="919"/>
      <c r="F8" s="919"/>
      <c r="G8" s="919"/>
    </row>
    <row r="9" spans="1:7" ht="15">
      <c r="A9" s="427"/>
      <c r="B9" s="427"/>
      <c r="C9" s="427"/>
      <c r="D9" s="427"/>
      <c r="E9" s="427"/>
      <c r="F9" s="427"/>
      <c r="G9" s="427"/>
    </row>
    <row r="10" spans="1:7" ht="15">
      <c r="A10" s="428"/>
      <c r="B10" s="392">
        <f>_xlfn.IFERROR(IF(Indice!B6="","2XX2",YEAR(Indice!B6)),"2XX2")</f>
        <v>2021</v>
      </c>
      <c r="C10" s="392">
        <f>+_xlfn.IFERROR(YEAR(Indice!B6-365),"2XX1")</f>
        <v>2020</v>
      </c>
      <c r="D10" s="427"/>
      <c r="E10" s="427"/>
      <c r="F10" s="427"/>
      <c r="G10" s="427"/>
    </row>
    <row r="11" spans="1:7" ht="15">
      <c r="A11" s="430" t="s">
        <v>890</v>
      </c>
      <c r="B11" s="431"/>
      <c r="C11" s="431"/>
      <c r="D11" s="427"/>
      <c r="E11" s="427"/>
      <c r="F11" s="427"/>
      <c r="G11" s="427"/>
    </row>
    <row r="12" spans="1:7" ht="15">
      <c r="A12" s="431" t="s">
        <v>110</v>
      </c>
      <c r="B12" s="431"/>
      <c r="C12" s="431"/>
      <c r="D12" s="427"/>
      <c r="E12" s="427"/>
      <c r="F12" s="427"/>
      <c r="G12" s="427"/>
    </row>
    <row r="13" spans="1:7" ht="15">
      <c r="A13" s="431" t="s">
        <v>891</v>
      </c>
      <c r="B13" s="431"/>
      <c r="C13" s="431"/>
      <c r="D13" s="427"/>
      <c r="E13" s="427"/>
      <c r="F13" s="427"/>
      <c r="G13" s="427"/>
    </row>
    <row r="14" spans="1:7" ht="15">
      <c r="A14" s="431" t="s">
        <v>40</v>
      </c>
      <c r="B14" s="431"/>
      <c r="C14" s="431"/>
      <c r="D14" s="427"/>
      <c r="E14" s="427"/>
      <c r="F14" s="427"/>
      <c r="G14" s="427"/>
    </row>
    <row r="15" spans="1:7" ht="15">
      <c r="A15" s="430" t="s">
        <v>892</v>
      </c>
      <c r="B15" s="431"/>
      <c r="C15" s="431"/>
      <c r="D15" s="427"/>
      <c r="E15" s="427"/>
      <c r="F15" s="427"/>
      <c r="G15" s="427"/>
    </row>
    <row r="16" spans="1:7" ht="15">
      <c r="A16" s="430" t="s">
        <v>893</v>
      </c>
      <c r="B16" s="429"/>
      <c r="C16" s="429"/>
      <c r="D16" s="427"/>
      <c r="E16" s="427"/>
      <c r="F16" s="427"/>
      <c r="G16" s="427"/>
    </row>
    <row r="17" spans="1:7" ht="15">
      <c r="A17" s="431" t="s">
        <v>111</v>
      </c>
      <c r="B17" s="431"/>
      <c r="C17" s="431"/>
      <c r="D17" s="427"/>
      <c r="E17" s="427"/>
      <c r="F17" s="427"/>
      <c r="G17" s="427"/>
    </row>
    <row r="18" spans="1:7" ht="15">
      <c r="A18" s="431" t="s">
        <v>112</v>
      </c>
      <c r="B18" s="431"/>
      <c r="C18" s="431"/>
      <c r="D18" s="427"/>
      <c r="E18" s="427"/>
      <c r="F18" s="427"/>
      <c r="G18" s="427"/>
    </row>
    <row r="19" spans="1:7" ht="15">
      <c r="A19" s="431" t="s">
        <v>69</v>
      </c>
      <c r="B19" s="431"/>
      <c r="C19" s="431"/>
      <c r="D19" s="427"/>
      <c r="E19" s="427"/>
      <c r="F19" s="427"/>
      <c r="G19" s="427"/>
    </row>
    <row r="20" spans="1:7" ht="15">
      <c r="A20" s="431" t="s">
        <v>894</v>
      </c>
      <c r="B20" s="431"/>
      <c r="C20" s="431"/>
      <c r="D20" s="427"/>
      <c r="E20" s="427"/>
      <c r="F20" s="427"/>
      <c r="G20" s="427"/>
    </row>
    <row r="21" spans="1:7" ht="15">
      <c r="A21" s="431" t="s">
        <v>895</v>
      </c>
      <c r="B21" s="431"/>
      <c r="C21" s="431"/>
      <c r="D21" s="427"/>
      <c r="E21" s="427"/>
      <c r="F21" s="427"/>
      <c r="G21" s="427"/>
    </row>
    <row r="22" spans="1:7" ht="15">
      <c r="A22" s="430" t="s">
        <v>896</v>
      </c>
      <c r="B22" s="431"/>
      <c r="C22" s="431"/>
      <c r="D22" s="427"/>
      <c r="E22" s="427"/>
      <c r="F22" s="427"/>
      <c r="G22" s="427"/>
    </row>
    <row r="23" spans="1:7" ht="15">
      <c r="A23" s="427"/>
      <c r="B23" s="427"/>
      <c r="C23" s="427"/>
      <c r="D23" s="427"/>
      <c r="E23" s="427"/>
      <c r="F23" s="427"/>
      <c r="G23" s="427"/>
    </row>
    <row r="24" spans="1:7" ht="15">
      <c r="A24" s="920"/>
      <c r="B24" s="920"/>
      <c r="C24" s="920"/>
      <c r="D24" s="920"/>
      <c r="E24" s="920"/>
      <c r="F24" s="920"/>
      <c r="G24" s="432"/>
    </row>
    <row r="25" spans="1:7" ht="15">
      <c r="A25" s="432"/>
      <c r="B25" s="432"/>
      <c r="C25" s="432"/>
      <c r="D25" s="432"/>
      <c r="E25" s="432"/>
      <c r="F25" s="432"/>
      <c r="G25" s="432"/>
    </row>
    <row r="26" spans="1:7" ht="15">
      <c r="A26" s="433"/>
      <c r="B26" s="392">
        <f>_xlfn.IFERROR(IF(Indice!B6="","2XX2",YEAR(Indice!B6)),"2XX2")</f>
        <v>2021</v>
      </c>
      <c r="C26" s="392">
        <f>+_xlfn.IFERROR(YEAR(Indice!B6-365),"2XX1")</f>
        <v>2020</v>
      </c>
      <c r="D26" s="432"/>
      <c r="E26" s="432"/>
      <c r="F26" s="432"/>
      <c r="G26" s="432"/>
    </row>
    <row r="27" spans="1:7" ht="15">
      <c r="A27" s="434" t="s">
        <v>156</v>
      </c>
      <c r="B27" s="435"/>
      <c r="C27" s="435"/>
      <c r="D27" s="432"/>
      <c r="E27" s="432"/>
      <c r="F27" s="432"/>
      <c r="G27" s="432"/>
    </row>
    <row r="28" spans="1:7" ht="15">
      <c r="A28" s="435" t="s">
        <v>897</v>
      </c>
      <c r="B28" s="435"/>
      <c r="C28" s="435"/>
      <c r="D28" s="432"/>
      <c r="E28" s="432"/>
      <c r="F28" s="432"/>
      <c r="G28" s="432"/>
    </row>
    <row r="29" spans="1:7" ht="15">
      <c r="A29" s="435"/>
      <c r="B29" s="435"/>
      <c r="C29" s="435"/>
      <c r="D29" s="432"/>
      <c r="E29" s="432"/>
      <c r="F29" s="432"/>
      <c r="G29" s="432"/>
    </row>
    <row r="30" spans="1:7" ht="15">
      <c r="A30" s="434" t="s">
        <v>184</v>
      </c>
      <c r="B30" s="435"/>
      <c r="C30" s="435"/>
      <c r="D30" s="432"/>
      <c r="E30" s="432"/>
      <c r="F30" s="432"/>
      <c r="G30" s="432"/>
    </row>
    <row r="31" spans="1:7" ht="15">
      <c r="A31" s="435" t="s">
        <v>898</v>
      </c>
      <c r="B31" s="435"/>
      <c r="C31" s="435"/>
      <c r="D31" s="432"/>
      <c r="E31" s="432"/>
      <c r="F31" s="432"/>
      <c r="G31" s="432"/>
    </row>
    <row r="32" spans="1:7" ht="15">
      <c r="A32" s="435" t="s">
        <v>899</v>
      </c>
      <c r="B32" s="435"/>
      <c r="C32" s="435"/>
      <c r="D32" s="432"/>
      <c r="E32" s="432"/>
      <c r="F32" s="432"/>
      <c r="G32" s="432"/>
    </row>
    <row r="33" spans="1:7" ht="15">
      <c r="A33" s="434" t="s">
        <v>900</v>
      </c>
      <c r="B33" s="435"/>
      <c r="C33" s="435"/>
      <c r="D33" s="432"/>
      <c r="E33" s="432"/>
      <c r="F33" s="432"/>
      <c r="G33" s="432"/>
    </row>
    <row r="34" spans="1:7" ht="15">
      <c r="A34" s="435" t="s">
        <v>901</v>
      </c>
      <c r="B34" s="435"/>
      <c r="C34" s="435"/>
      <c r="D34" s="432"/>
      <c r="E34" s="432"/>
      <c r="F34" s="432"/>
      <c r="G34" s="432"/>
    </row>
    <row r="35" spans="1:7" ht="15">
      <c r="A35" s="432"/>
      <c r="B35" s="432"/>
      <c r="C35" s="432"/>
      <c r="D35" s="432"/>
      <c r="E35" s="432"/>
      <c r="F35" s="432"/>
      <c r="G35" s="432"/>
    </row>
    <row r="36" spans="1:7" ht="15">
      <c r="A36" s="432"/>
      <c r="B36" s="432"/>
      <c r="C36" s="432"/>
      <c r="D36" s="432"/>
      <c r="E36" s="432"/>
      <c r="F36" s="432"/>
      <c r="G36" s="432"/>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289" customWidth="1"/>
    <col min="2" max="2" width="66.140625" style="289" bestFit="1" customWidth="1"/>
  </cols>
  <sheetData>
    <row r="1" spans="1:3" ht="15">
      <c r="A1" s="289" t="s">
        <v>434</v>
      </c>
      <c r="B1" s="289" t="s">
        <v>757</v>
      </c>
      <c r="C1" s="141" t="s">
        <v>905</v>
      </c>
    </row>
    <row r="2" spans="1:2" ht="15">
      <c r="A2" s="289" t="s">
        <v>433</v>
      </c>
      <c r="B2" s="289" t="s">
        <v>623</v>
      </c>
    </row>
    <row r="3" spans="1:2" ht="15">
      <c r="A3" s="289" t="s">
        <v>525</v>
      </c>
      <c r="B3" s="289" t="s">
        <v>689</v>
      </c>
    </row>
    <row r="4" spans="1:2" ht="15">
      <c r="A4" s="289" t="s">
        <v>481</v>
      </c>
      <c r="B4" s="289" t="s">
        <v>482</v>
      </c>
    </row>
    <row r="5" spans="1:2" ht="15">
      <c r="A5" s="289" t="s">
        <v>483</v>
      </c>
      <c r="B5" s="289" t="s">
        <v>637</v>
      </c>
    </row>
    <row r="6" spans="1:2" ht="15">
      <c r="A6" s="289" t="s">
        <v>484</v>
      </c>
      <c r="B6" s="289" t="s">
        <v>638</v>
      </c>
    </row>
    <row r="7" spans="1:2" ht="15">
      <c r="A7" s="289" t="s">
        <v>485</v>
      </c>
      <c r="B7" s="289" t="s">
        <v>639</v>
      </c>
    </row>
    <row r="8" spans="1:2" ht="15">
      <c r="A8" s="289" t="s">
        <v>486</v>
      </c>
      <c r="B8" s="289" t="s">
        <v>640</v>
      </c>
    </row>
    <row r="9" spans="1:2" ht="15">
      <c r="A9" s="289" t="s">
        <v>487</v>
      </c>
      <c r="B9" s="289" t="s">
        <v>641</v>
      </c>
    </row>
    <row r="10" spans="1:2" ht="15">
      <c r="A10" s="289" t="s">
        <v>488</v>
      </c>
      <c r="B10" s="289" t="s">
        <v>642</v>
      </c>
    </row>
    <row r="11" spans="1:2" ht="15">
      <c r="A11" s="289" t="s">
        <v>489</v>
      </c>
      <c r="B11" s="289" t="s">
        <v>643</v>
      </c>
    </row>
    <row r="12" spans="1:2" ht="15">
      <c r="A12" s="289" t="s">
        <v>490</v>
      </c>
      <c r="B12" s="289" t="s">
        <v>644</v>
      </c>
    </row>
    <row r="13" spans="1:2" ht="15">
      <c r="A13" s="289" t="s">
        <v>491</v>
      </c>
      <c r="B13" s="289" t="s">
        <v>645</v>
      </c>
    </row>
    <row r="14" spans="1:2" ht="15">
      <c r="A14" s="289" t="s">
        <v>492</v>
      </c>
      <c r="B14" s="289" t="s">
        <v>646</v>
      </c>
    </row>
    <row r="15" spans="1:2" ht="15">
      <c r="A15" s="289" t="s">
        <v>493</v>
      </c>
      <c r="B15" s="289" t="s">
        <v>647</v>
      </c>
    </row>
    <row r="16" spans="1:2" ht="15">
      <c r="A16" s="289" t="s">
        <v>494</v>
      </c>
      <c r="B16" s="289" t="s">
        <v>648</v>
      </c>
    </row>
    <row r="17" spans="1:2" ht="15">
      <c r="A17" s="289" t="s">
        <v>495</v>
      </c>
      <c r="B17" s="289" t="s">
        <v>649</v>
      </c>
    </row>
    <row r="18" spans="1:2" ht="15">
      <c r="A18" s="289" t="s">
        <v>496</v>
      </c>
      <c r="B18" s="289" t="s">
        <v>650</v>
      </c>
    </row>
    <row r="19" spans="1:2" ht="15">
      <c r="A19" s="289" t="s">
        <v>497</v>
      </c>
      <c r="B19" s="289" t="s">
        <v>651</v>
      </c>
    </row>
    <row r="20" spans="1:2" ht="15">
      <c r="A20" s="289" t="s">
        <v>498</v>
      </c>
      <c r="B20" s="289" t="s">
        <v>652</v>
      </c>
    </row>
    <row r="21" spans="1:2" ht="15">
      <c r="A21" s="289" t="s">
        <v>499</v>
      </c>
      <c r="B21" s="289" t="s">
        <v>653</v>
      </c>
    </row>
    <row r="22" spans="1:2" ht="15">
      <c r="A22" s="289" t="s">
        <v>500</v>
      </c>
      <c r="B22" s="289" t="s">
        <v>654</v>
      </c>
    </row>
    <row r="23" spans="1:2" ht="15">
      <c r="A23" s="289" t="s">
        <v>655</v>
      </c>
      <c r="B23" s="289" t="s">
        <v>656</v>
      </c>
    </row>
    <row r="24" spans="1:2" ht="15">
      <c r="A24" s="289" t="s">
        <v>501</v>
      </c>
      <c r="B24" s="289" t="s">
        <v>657</v>
      </c>
    </row>
    <row r="25" spans="1:2" ht="15">
      <c r="A25" s="289" t="s">
        <v>502</v>
      </c>
      <c r="B25" s="289" t="s">
        <v>658</v>
      </c>
    </row>
    <row r="26" spans="1:2" ht="15">
      <c r="A26" s="289" t="s">
        <v>503</v>
      </c>
      <c r="B26" s="289" t="s">
        <v>659</v>
      </c>
    </row>
    <row r="27" spans="1:2" ht="15">
      <c r="A27" s="289" t="s">
        <v>504</v>
      </c>
      <c r="B27" s="289" t="s">
        <v>660</v>
      </c>
    </row>
    <row r="28" spans="1:2" ht="15">
      <c r="A28" s="289" t="s">
        <v>505</v>
      </c>
      <c r="B28" s="289" t="s">
        <v>661</v>
      </c>
    </row>
    <row r="29" spans="1:2" ht="15">
      <c r="A29" s="289" t="s">
        <v>506</v>
      </c>
      <c r="B29" s="289" t="s">
        <v>662</v>
      </c>
    </row>
    <row r="30" spans="1:2" ht="15">
      <c r="A30" s="289" t="s">
        <v>507</v>
      </c>
      <c r="B30" s="289" t="s">
        <v>663</v>
      </c>
    </row>
    <row r="31" spans="1:2" ht="15">
      <c r="A31" s="289" t="s">
        <v>508</v>
      </c>
      <c r="B31" s="289" t="s">
        <v>664</v>
      </c>
    </row>
    <row r="32" spans="1:2" ht="15">
      <c r="A32" s="289" t="s">
        <v>665</v>
      </c>
      <c r="B32" s="289" t="s">
        <v>666</v>
      </c>
    </row>
    <row r="33" spans="1:2" ht="15">
      <c r="A33" s="289" t="s">
        <v>509</v>
      </c>
      <c r="B33" s="289" t="s">
        <v>667</v>
      </c>
    </row>
    <row r="34" spans="1:2" ht="15">
      <c r="A34" s="289" t="s">
        <v>668</v>
      </c>
      <c r="B34" s="289" t="s">
        <v>669</v>
      </c>
    </row>
    <row r="35" spans="1:2" ht="15">
      <c r="A35" s="289" t="s">
        <v>670</v>
      </c>
      <c r="B35" s="289" t="s">
        <v>671</v>
      </c>
    </row>
    <row r="36" spans="1:2" ht="15">
      <c r="A36" s="289" t="s">
        <v>510</v>
      </c>
      <c r="B36" s="289" t="s">
        <v>672</v>
      </c>
    </row>
    <row r="37" spans="1:2" ht="15">
      <c r="A37" s="289" t="s">
        <v>511</v>
      </c>
      <c r="B37" s="289" t="s">
        <v>673</v>
      </c>
    </row>
    <row r="38" spans="1:2" ht="15">
      <c r="A38" s="289" t="s">
        <v>512</v>
      </c>
      <c r="B38" s="289" t="s">
        <v>674</v>
      </c>
    </row>
    <row r="39" spans="1:2" ht="15">
      <c r="A39" s="289" t="s">
        <v>675</v>
      </c>
      <c r="B39" s="289" t="s">
        <v>676</v>
      </c>
    </row>
    <row r="40" spans="1:2" ht="15">
      <c r="A40" s="289" t="s">
        <v>513</v>
      </c>
      <c r="B40" s="289" t="s">
        <v>677</v>
      </c>
    </row>
    <row r="41" spans="1:2" ht="15">
      <c r="A41" s="289" t="s">
        <v>514</v>
      </c>
      <c r="B41" s="289" t="s">
        <v>678</v>
      </c>
    </row>
    <row r="42" spans="1:2" ht="15">
      <c r="A42" s="289" t="s">
        <v>515</v>
      </c>
      <c r="B42" s="289" t="s">
        <v>679</v>
      </c>
    </row>
    <row r="43" spans="1:2" ht="15">
      <c r="A43" s="289" t="s">
        <v>516</v>
      </c>
      <c r="B43" s="289" t="s">
        <v>680</v>
      </c>
    </row>
    <row r="44" spans="1:2" ht="15">
      <c r="A44" s="289" t="s">
        <v>517</v>
      </c>
      <c r="B44" s="289" t="s">
        <v>681</v>
      </c>
    </row>
    <row r="45" spans="1:2" ht="15">
      <c r="A45" s="289" t="s">
        <v>518</v>
      </c>
      <c r="B45" s="289" t="s">
        <v>682</v>
      </c>
    </row>
    <row r="46" spans="1:2" ht="15">
      <c r="A46" s="289" t="s">
        <v>519</v>
      </c>
      <c r="B46" s="289" t="s">
        <v>683</v>
      </c>
    </row>
    <row r="47" spans="1:2" ht="15">
      <c r="A47" s="289" t="s">
        <v>520</v>
      </c>
      <c r="B47" s="289" t="s">
        <v>684</v>
      </c>
    </row>
    <row r="48" spans="1:2" ht="15">
      <c r="A48" s="289" t="s">
        <v>521</v>
      </c>
      <c r="B48" s="289" t="s">
        <v>685</v>
      </c>
    </row>
    <row r="49" spans="1:2" ht="15">
      <c r="A49" s="289" t="s">
        <v>522</v>
      </c>
      <c r="B49" s="289" t="s">
        <v>686</v>
      </c>
    </row>
    <row r="50" spans="1:2" ht="15">
      <c r="A50" s="289" t="s">
        <v>523</v>
      </c>
      <c r="B50" s="289" t="s">
        <v>687</v>
      </c>
    </row>
    <row r="51" spans="1:2" ht="15">
      <c r="A51" s="289" t="s">
        <v>524</v>
      </c>
      <c r="B51" s="289" t="s">
        <v>688</v>
      </c>
    </row>
    <row r="52" spans="1:2" ht="15">
      <c r="A52" s="289" t="s">
        <v>526</v>
      </c>
      <c r="B52" s="289" t="s">
        <v>690</v>
      </c>
    </row>
    <row r="53" spans="1:2" ht="15">
      <c r="A53" s="289" t="s">
        <v>527</v>
      </c>
      <c r="B53" s="289" t="s">
        <v>691</v>
      </c>
    </row>
    <row r="54" spans="1:2" ht="15">
      <c r="A54" s="289" t="s">
        <v>528</v>
      </c>
      <c r="B54" s="289" t="s">
        <v>692</v>
      </c>
    </row>
    <row r="55" spans="1:2" ht="15">
      <c r="A55" s="289" t="s">
        <v>529</v>
      </c>
      <c r="B55" s="289" t="s">
        <v>693</v>
      </c>
    </row>
    <row r="56" spans="1:2" ht="15">
      <c r="A56" s="289" t="s">
        <v>530</v>
      </c>
      <c r="B56" s="289" t="s">
        <v>694</v>
      </c>
    </row>
    <row r="57" spans="1:2" ht="15">
      <c r="A57" s="289" t="s">
        <v>531</v>
      </c>
      <c r="B57" s="289" t="s">
        <v>695</v>
      </c>
    </row>
    <row r="58" spans="1:2" ht="15">
      <c r="A58" s="289" t="s">
        <v>532</v>
      </c>
      <c r="B58" s="289" t="s">
        <v>696</v>
      </c>
    </row>
    <row r="59" spans="1:2" ht="15">
      <c r="A59" s="289" t="s">
        <v>533</v>
      </c>
      <c r="B59" s="289" t="s">
        <v>697</v>
      </c>
    </row>
    <row r="60" spans="1:2" ht="15">
      <c r="A60" s="289" t="s">
        <v>534</v>
      </c>
      <c r="B60" s="289" t="s">
        <v>698</v>
      </c>
    </row>
    <row r="61" spans="1:2" ht="15">
      <c r="A61" s="289" t="s">
        <v>535</v>
      </c>
      <c r="B61" s="289" t="s">
        <v>699</v>
      </c>
    </row>
    <row r="62" spans="1:2" ht="15">
      <c r="A62" s="289" t="s">
        <v>536</v>
      </c>
      <c r="B62" s="289" t="s">
        <v>700</v>
      </c>
    </row>
    <row r="63" spans="1:2" ht="15">
      <c r="A63" s="289" t="s">
        <v>537</v>
      </c>
      <c r="B63" s="289" t="s">
        <v>701</v>
      </c>
    </row>
    <row r="64" spans="1:2" ht="15">
      <c r="A64" s="289" t="s">
        <v>538</v>
      </c>
      <c r="B64" s="289" t="s">
        <v>702</v>
      </c>
    </row>
    <row r="65" spans="1:2" ht="15">
      <c r="A65" s="289" t="s">
        <v>539</v>
      </c>
      <c r="B65" s="289" t="s">
        <v>703</v>
      </c>
    </row>
    <row r="66" spans="1:2" ht="15">
      <c r="A66" s="289" t="s">
        <v>540</v>
      </c>
      <c r="B66" s="289" t="s">
        <v>704</v>
      </c>
    </row>
    <row r="67" spans="1:2" ht="15">
      <c r="A67" s="289" t="s">
        <v>541</v>
      </c>
      <c r="B67" s="289" t="s">
        <v>705</v>
      </c>
    </row>
    <row r="68" spans="1:2" ht="15">
      <c r="A68" s="289" t="s">
        <v>542</v>
      </c>
      <c r="B68" s="289" t="s">
        <v>706</v>
      </c>
    </row>
    <row r="69" spans="1:2" ht="15">
      <c r="A69" s="289" t="s">
        <v>543</v>
      </c>
      <c r="B69" s="289" t="s">
        <v>707</v>
      </c>
    </row>
    <row r="70" spans="1:2" ht="15">
      <c r="A70" s="289" t="s">
        <v>544</v>
      </c>
      <c r="B70" s="289" t="s">
        <v>708</v>
      </c>
    </row>
    <row r="71" spans="1:2" ht="15">
      <c r="A71" s="289" t="s">
        <v>545</v>
      </c>
      <c r="B71" s="289" t="s">
        <v>709</v>
      </c>
    </row>
    <row r="72" spans="1:2" ht="15">
      <c r="A72" s="289" t="s">
        <v>546</v>
      </c>
      <c r="B72" s="289" t="s">
        <v>710</v>
      </c>
    </row>
    <row r="73" spans="1:2" ht="15">
      <c r="A73" s="289" t="s">
        <v>547</v>
      </c>
      <c r="B73" s="289" t="s">
        <v>711</v>
      </c>
    </row>
    <row r="74" spans="1:2" ht="15">
      <c r="A74" s="289" t="s">
        <v>548</v>
      </c>
      <c r="B74" s="289" t="s">
        <v>712</v>
      </c>
    </row>
    <row r="75" spans="1:2" ht="15">
      <c r="A75" s="289" t="s">
        <v>549</v>
      </c>
      <c r="B75" s="289" t="s">
        <v>713</v>
      </c>
    </row>
    <row r="76" spans="1:2" ht="15">
      <c r="A76" s="289" t="s">
        <v>550</v>
      </c>
      <c r="B76" s="289" t="s">
        <v>714</v>
      </c>
    </row>
    <row r="77" spans="1:2" ht="15">
      <c r="A77" s="289" t="s">
        <v>551</v>
      </c>
      <c r="B77" s="289" t="s">
        <v>715</v>
      </c>
    </row>
    <row r="78" spans="1:2" ht="15">
      <c r="A78" s="289" t="s">
        <v>552</v>
      </c>
      <c r="B78" s="289" t="s">
        <v>716</v>
      </c>
    </row>
    <row r="79" spans="1:2" ht="15">
      <c r="A79" s="289" t="s">
        <v>553</v>
      </c>
      <c r="B79" s="289" t="s">
        <v>717</v>
      </c>
    </row>
    <row r="80" spans="1:2" ht="15">
      <c r="A80" s="289" t="s">
        <v>554</v>
      </c>
      <c r="B80" s="289" t="s">
        <v>718</v>
      </c>
    </row>
    <row r="81" spans="1:2" ht="15">
      <c r="A81" s="289" t="s">
        <v>555</v>
      </c>
      <c r="B81" s="289" t="s">
        <v>719</v>
      </c>
    </row>
    <row r="82" spans="1:2" ht="15">
      <c r="A82" s="289" t="s">
        <v>556</v>
      </c>
      <c r="B82" s="289" t="s">
        <v>720</v>
      </c>
    </row>
    <row r="83" spans="1:2" ht="15">
      <c r="A83" s="289" t="s">
        <v>557</v>
      </c>
      <c r="B83" s="289" t="s">
        <v>721</v>
      </c>
    </row>
    <row r="84" spans="1:2" ht="15">
      <c r="A84" s="289" t="s">
        <v>558</v>
      </c>
      <c r="B84" s="289" t="s">
        <v>722</v>
      </c>
    </row>
    <row r="85" spans="1:2" ht="15">
      <c r="A85" s="289" t="s">
        <v>559</v>
      </c>
      <c r="B85" s="289" t="s">
        <v>723</v>
      </c>
    </row>
    <row r="86" spans="1:2" ht="15">
      <c r="A86" s="289" t="s">
        <v>560</v>
      </c>
      <c r="B86" s="289" t="s">
        <v>724</v>
      </c>
    </row>
    <row r="87" spans="1:2" ht="15">
      <c r="A87" s="289" t="s">
        <v>561</v>
      </c>
      <c r="B87" s="289" t="s">
        <v>725</v>
      </c>
    </row>
    <row r="88" spans="1:2" ht="15">
      <c r="A88" s="289" t="s">
        <v>562</v>
      </c>
      <c r="B88" s="289" t="s">
        <v>726</v>
      </c>
    </row>
    <row r="89" spans="1:2" ht="15">
      <c r="A89" s="289" t="s">
        <v>563</v>
      </c>
      <c r="B89" s="289" t="s">
        <v>727</v>
      </c>
    </row>
    <row r="90" spans="1:2" ht="15">
      <c r="A90" s="289" t="s">
        <v>564</v>
      </c>
      <c r="B90" s="289" t="s">
        <v>728</v>
      </c>
    </row>
    <row r="91" spans="1:2" ht="15">
      <c r="A91" s="289" t="s">
        <v>565</v>
      </c>
      <c r="B91" s="289" t="s">
        <v>729</v>
      </c>
    </row>
    <row r="92" spans="1:2" ht="15">
      <c r="A92" s="289" t="s">
        <v>566</v>
      </c>
      <c r="B92" s="289" t="s">
        <v>730</v>
      </c>
    </row>
    <row r="93" spans="1:2" ht="15">
      <c r="A93" s="289" t="s">
        <v>567</v>
      </c>
      <c r="B93" s="289" t="s">
        <v>731</v>
      </c>
    </row>
    <row r="94" spans="1:2" ht="15">
      <c r="A94" s="289" t="s">
        <v>568</v>
      </c>
      <c r="B94" s="289" t="s">
        <v>732</v>
      </c>
    </row>
    <row r="95" spans="1:2" ht="15">
      <c r="A95" s="289" t="s">
        <v>569</v>
      </c>
      <c r="B95" s="289" t="s">
        <v>733</v>
      </c>
    </row>
    <row r="96" spans="1:2" ht="15">
      <c r="A96" s="289" t="s">
        <v>570</v>
      </c>
      <c r="B96" s="289" t="s">
        <v>734</v>
      </c>
    </row>
    <row r="97" spans="1:2" ht="15">
      <c r="A97" s="289" t="s">
        <v>571</v>
      </c>
      <c r="B97" s="289" t="s">
        <v>735</v>
      </c>
    </row>
    <row r="98" spans="1:2" ht="15">
      <c r="A98" s="289" t="s">
        <v>572</v>
      </c>
      <c r="B98" s="289" t="s">
        <v>736</v>
      </c>
    </row>
    <row r="99" spans="1:2" ht="15">
      <c r="A99" s="289" t="s">
        <v>573</v>
      </c>
      <c r="B99" s="289" t="s">
        <v>737</v>
      </c>
    </row>
    <row r="100" spans="1:2" ht="15">
      <c r="A100" s="289" t="s">
        <v>574</v>
      </c>
      <c r="B100" s="289" t="s">
        <v>738</v>
      </c>
    </row>
    <row r="101" spans="1:2" ht="15">
      <c r="A101" s="289" t="s">
        <v>575</v>
      </c>
      <c r="B101" s="289" t="s">
        <v>739</v>
      </c>
    </row>
    <row r="102" spans="1:2" ht="15">
      <c r="A102" s="289" t="s">
        <v>576</v>
      </c>
      <c r="B102" s="289" t="s">
        <v>740</v>
      </c>
    </row>
    <row r="103" spans="1:2" ht="15">
      <c r="A103" s="289" t="s">
        <v>741</v>
      </c>
      <c r="B103" s="289" t="s">
        <v>742</v>
      </c>
    </row>
    <row r="104" spans="1:2" ht="15">
      <c r="A104" s="289" t="s">
        <v>577</v>
      </c>
      <c r="B104" s="289" t="s">
        <v>743</v>
      </c>
    </row>
    <row r="105" spans="1:2" ht="15">
      <c r="A105" s="289" t="s">
        <v>578</v>
      </c>
      <c r="B105" s="289" t="s">
        <v>744</v>
      </c>
    </row>
    <row r="106" spans="1:2" ht="15">
      <c r="A106" s="289" t="s">
        <v>579</v>
      </c>
      <c r="B106" s="289" t="s">
        <v>745</v>
      </c>
    </row>
    <row r="107" spans="1:2" ht="15">
      <c r="A107" s="289" t="s">
        <v>580</v>
      </c>
      <c r="B107" s="289" t="s">
        <v>746</v>
      </c>
    </row>
    <row r="108" spans="1:2" ht="15">
      <c r="A108" s="289" t="s">
        <v>581</v>
      </c>
      <c r="B108" s="289" t="s">
        <v>747</v>
      </c>
    </row>
    <row r="109" spans="1:2" ht="15">
      <c r="A109" s="289" t="s">
        <v>582</v>
      </c>
      <c r="B109" s="289" t="s">
        <v>748</v>
      </c>
    </row>
    <row r="110" spans="1:2" ht="15">
      <c r="A110" s="289" t="s">
        <v>583</v>
      </c>
      <c r="B110" s="289" t="s">
        <v>749</v>
      </c>
    </row>
    <row r="111" spans="1:2" ht="15">
      <c r="A111" s="289" t="s">
        <v>584</v>
      </c>
      <c r="B111" s="289" t="s">
        <v>585</v>
      </c>
    </row>
    <row r="112" spans="1:2" ht="15">
      <c r="A112" s="289" t="s">
        <v>586</v>
      </c>
      <c r="B112" s="289" t="s">
        <v>750</v>
      </c>
    </row>
    <row r="113" spans="1:2" ht="15">
      <c r="A113" s="289" t="s">
        <v>587</v>
      </c>
      <c r="B113" s="289" t="s">
        <v>751</v>
      </c>
    </row>
    <row r="114" spans="1:2" ht="15">
      <c r="A114" s="289" t="s">
        <v>588</v>
      </c>
      <c r="B114" s="289" t="s">
        <v>752</v>
      </c>
    </row>
    <row r="115" spans="1:2" ht="15">
      <c r="A115" s="289" t="s">
        <v>589</v>
      </c>
      <c r="B115" s="289" t="s">
        <v>753</v>
      </c>
    </row>
    <row r="116" spans="1:2" ht="15">
      <c r="A116" s="289" t="s">
        <v>590</v>
      </c>
      <c r="B116" s="289" t="s">
        <v>754</v>
      </c>
    </row>
    <row r="117" spans="1:2" ht="15">
      <c r="A117" s="289" t="s">
        <v>591</v>
      </c>
      <c r="B117" s="289" t="s">
        <v>755</v>
      </c>
    </row>
    <row r="118" spans="1:2" ht="15">
      <c r="A118" s="289" t="s">
        <v>592</v>
      </c>
      <c r="B118" s="289" t="s">
        <v>756</v>
      </c>
    </row>
    <row r="119" spans="1:2" ht="15">
      <c r="A119" s="289" t="s">
        <v>593</v>
      </c>
      <c r="B119" s="289" t="s">
        <v>758</v>
      </c>
    </row>
    <row r="120" spans="1:2" ht="15">
      <c r="A120" s="289" t="s">
        <v>594</v>
      </c>
      <c r="B120" s="289" t="s">
        <v>759</v>
      </c>
    </row>
    <row r="121" spans="1:2" ht="15">
      <c r="A121" s="289" t="s">
        <v>595</v>
      </c>
      <c r="B121" s="289" t="s">
        <v>760</v>
      </c>
    </row>
    <row r="122" spans="1:2" ht="15">
      <c r="A122" s="289" t="s">
        <v>596</v>
      </c>
      <c r="B122" s="289" t="s">
        <v>761</v>
      </c>
    </row>
    <row r="123" spans="1:2" ht="15">
      <c r="A123" s="289" t="s">
        <v>597</v>
      </c>
      <c r="B123" s="289" t="s">
        <v>762</v>
      </c>
    </row>
    <row r="124" spans="1:2" ht="15">
      <c r="A124" s="289" t="s">
        <v>598</v>
      </c>
      <c r="B124" s="289" t="s">
        <v>763</v>
      </c>
    </row>
    <row r="125" spans="1:2" ht="15">
      <c r="A125" s="289" t="s">
        <v>599</v>
      </c>
      <c r="B125" s="289" t="s">
        <v>764</v>
      </c>
    </row>
    <row r="126" spans="1:2" ht="15">
      <c r="A126" s="289" t="s">
        <v>600</v>
      </c>
      <c r="B126" s="289" t="s">
        <v>765</v>
      </c>
    </row>
    <row r="127" spans="1:2" ht="15">
      <c r="A127" s="289" t="s">
        <v>601</v>
      </c>
      <c r="B127" s="289" t="s">
        <v>766</v>
      </c>
    </row>
    <row r="128" spans="1:2" ht="15">
      <c r="A128" s="289" t="s">
        <v>602</v>
      </c>
      <c r="B128" s="289" t="s">
        <v>767</v>
      </c>
    </row>
    <row r="129" spans="1:2" ht="15">
      <c r="A129" s="289" t="s">
        <v>603</v>
      </c>
      <c r="B129" s="289" t="s">
        <v>768</v>
      </c>
    </row>
    <row r="130" spans="1:2" ht="15">
      <c r="A130" s="289" t="s">
        <v>604</v>
      </c>
      <c r="B130" s="289" t="s">
        <v>769</v>
      </c>
    </row>
    <row r="131" spans="1:2" ht="15">
      <c r="A131" s="289" t="s">
        <v>605</v>
      </c>
      <c r="B131" s="289" t="s">
        <v>770</v>
      </c>
    </row>
    <row r="132" spans="1:2" ht="15">
      <c r="A132" s="289" t="s">
        <v>606</v>
      </c>
      <c r="B132" s="289" t="s">
        <v>771</v>
      </c>
    </row>
    <row r="133" spans="1:2" ht="15">
      <c r="A133" s="289" t="s">
        <v>607</v>
      </c>
      <c r="B133" s="289" t="s">
        <v>772</v>
      </c>
    </row>
    <row r="134" spans="1:2" ht="15">
      <c r="A134" s="289" t="s">
        <v>773</v>
      </c>
      <c r="B134" s="289" t="s">
        <v>774</v>
      </c>
    </row>
    <row r="135" spans="1:2" ht="15">
      <c r="A135" s="289" t="s">
        <v>608</v>
      </c>
      <c r="B135" s="289" t="s">
        <v>775</v>
      </c>
    </row>
    <row r="136" spans="1:2" ht="15">
      <c r="A136" s="289" t="s">
        <v>609</v>
      </c>
      <c r="B136" s="289" t="s">
        <v>776</v>
      </c>
    </row>
    <row r="137" spans="1:2" ht="15">
      <c r="A137" s="289" t="s">
        <v>610</v>
      </c>
      <c r="B137" s="289" t="s">
        <v>777</v>
      </c>
    </row>
    <row r="138" spans="1:2" ht="15">
      <c r="A138" s="289" t="s">
        <v>611</v>
      </c>
      <c r="B138" s="289" t="s">
        <v>778</v>
      </c>
    </row>
    <row r="139" spans="1:2" ht="15">
      <c r="A139" s="289" t="s">
        <v>612</v>
      </c>
      <c r="B139" s="289" t="s">
        <v>779</v>
      </c>
    </row>
    <row r="140" spans="1:2" ht="15">
      <c r="A140" s="289" t="s">
        <v>613</v>
      </c>
      <c r="B140" s="289" t="s">
        <v>780</v>
      </c>
    </row>
    <row r="141" spans="1:2" ht="15">
      <c r="A141" s="289" t="s">
        <v>614</v>
      </c>
      <c r="B141" s="289" t="s">
        <v>781</v>
      </c>
    </row>
    <row r="142" spans="1:2" ht="15">
      <c r="A142" s="289" t="s">
        <v>615</v>
      </c>
      <c r="B142" s="289" t="s">
        <v>782</v>
      </c>
    </row>
    <row r="143" spans="1:2" ht="15">
      <c r="A143" s="289" t="s">
        <v>616</v>
      </c>
      <c r="B143" s="289" t="s">
        <v>783</v>
      </c>
    </row>
    <row r="144" spans="1:2" ht="15">
      <c r="A144" s="289" t="s">
        <v>617</v>
      </c>
      <c r="B144" s="289" t="s">
        <v>784</v>
      </c>
    </row>
    <row r="145" spans="1:2" ht="15">
      <c r="A145" s="289" t="s">
        <v>618</v>
      </c>
      <c r="B145" s="289" t="s">
        <v>785</v>
      </c>
    </row>
    <row r="146" spans="1:2" ht="15">
      <c r="A146" s="289" t="s">
        <v>619</v>
      </c>
      <c r="B146" s="289" t="s">
        <v>786</v>
      </c>
    </row>
    <row r="147" spans="1:2" ht="15">
      <c r="A147" s="289" t="s">
        <v>620</v>
      </c>
      <c r="B147" s="289" t="s">
        <v>787</v>
      </c>
    </row>
    <row r="148" spans="1:2" ht="15">
      <c r="A148" s="289" t="s">
        <v>621</v>
      </c>
      <c r="B148" s="289" t="s">
        <v>788</v>
      </c>
    </row>
    <row r="149" spans="1:2" ht="15">
      <c r="A149" s="289" t="s">
        <v>622</v>
      </c>
      <c r="B149" s="289" t="s">
        <v>789</v>
      </c>
    </row>
    <row r="150" spans="1:2" ht="15">
      <c r="A150" s="289" t="s">
        <v>790</v>
      </c>
      <c r="B150" s="289" t="s">
        <v>791</v>
      </c>
    </row>
    <row r="151" spans="1:2" ht="15">
      <c r="A151" s="289" t="s">
        <v>792</v>
      </c>
      <c r="B151" s="289" t="s">
        <v>793</v>
      </c>
    </row>
    <row r="152" spans="1:2" ht="15">
      <c r="A152" s="289" t="s">
        <v>624</v>
      </c>
      <c r="B152" s="289" t="s">
        <v>794</v>
      </c>
    </row>
    <row r="153" spans="1:2" ht="15">
      <c r="A153" s="289" t="s">
        <v>795</v>
      </c>
      <c r="B153" s="289" t="s">
        <v>796</v>
      </c>
    </row>
    <row r="154" spans="1:2" ht="15">
      <c r="A154" s="289" t="s">
        <v>625</v>
      </c>
      <c r="B154" s="289" t="s">
        <v>797</v>
      </c>
    </row>
    <row r="155" spans="1:2" ht="15">
      <c r="A155" s="289" t="s">
        <v>798</v>
      </c>
      <c r="B155" s="289" t="s">
        <v>799</v>
      </c>
    </row>
    <row r="156" spans="1:2" ht="15">
      <c r="A156" s="289" t="s">
        <v>626</v>
      </c>
      <c r="B156" s="289" t="s">
        <v>800</v>
      </c>
    </row>
    <row r="157" spans="1:2" ht="15">
      <c r="A157" s="289" t="s">
        <v>627</v>
      </c>
      <c r="B157" s="289" t="s">
        <v>801</v>
      </c>
    </row>
    <row r="158" spans="1:2" ht="15">
      <c r="A158" s="289" t="s">
        <v>628</v>
      </c>
      <c r="B158" s="289" t="s">
        <v>802</v>
      </c>
    </row>
    <row r="159" spans="1:2" ht="15">
      <c r="A159" s="289" t="s">
        <v>629</v>
      </c>
      <c r="B159" s="289" t="s">
        <v>803</v>
      </c>
    </row>
    <row r="160" spans="1:2" ht="15">
      <c r="A160" s="289" t="s">
        <v>804</v>
      </c>
      <c r="B160" s="289" t="s">
        <v>805</v>
      </c>
    </row>
    <row r="161" spans="1:2" ht="15">
      <c r="A161" s="289" t="s">
        <v>806</v>
      </c>
      <c r="B161" s="289" t="s">
        <v>807</v>
      </c>
    </row>
    <row r="162" spans="1:2" ht="15">
      <c r="A162" s="289" t="s">
        <v>808</v>
      </c>
      <c r="B162" s="289" t="s">
        <v>809</v>
      </c>
    </row>
    <row r="163" spans="1:2" ht="15">
      <c r="A163" s="289" t="s">
        <v>810</v>
      </c>
      <c r="B163" s="289" t="s">
        <v>811</v>
      </c>
    </row>
    <row r="164" spans="1:2" ht="15">
      <c r="A164" s="289" t="s">
        <v>812</v>
      </c>
      <c r="B164" s="289" t="s">
        <v>813</v>
      </c>
    </row>
    <row r="165" spans="1:2" ht="15">
      <c r="A165" s="289" t="s">
        <v>814</v>
      </c>
      <c r="B165" s="289" t="s">
        <v>815</v>
      </c>
    </row>
    <row r="166" spans="1:2" ht="15">
      <c r="A166" s="289" t="s">
        <v>630</v>
      </c>
      <c r="B166" s="289" t="s">
        <v>816</v>
      </c>
    </row>
    <row r="167" spans="1:2" ht="15">
      <c r="A167" s="289" t="s">
        <v>631</v>
      </c>
      <c r="B167" s="289" t="s">
        <v>817</v>
      </c>
    </row>
    <row r="168" spans="1:2" ht="15">
      <c r="A168" s="289" t="s">
        <v>632</v>
      </c>
      <c r="B168" s="289" t="s">
        <v>818</v>
      </c>
    </row>
    <row r="169" spans="1:2" ht="15">
      <c r="A169" s="289" t="s">
        <v>819</v>
      </c>
      <c r="B169" s="289" t="s">
        <v>820</v>
      </c>
    </row>
    <row r="170" spans="1:2" ht="15">
      <c r="A170" s="289" t="s">
        <v>633</v>
      </c>
      <c r="B170" s="289" t="s">
        <v>821</v>
      </c>
    </row>
    <row r="171" spans="1:2" ht="15">
      <c r="A171" s="289" t="s">
        <v>822</v>
      </c>
      <c r="B171" s="289" t="s">
        <v>823</v>
      </c>
    </row>
    <row r="172" spans="1:2" ht="15">
      <c r="A172" s="289" t="s">
        <v>824</v>
      </c>
      <c r="B172" s="289" t="s">
        <v>825</v>
      </c>
    </row>
    <row r="173" spans="1:2" ht="15">
      <c r="A173" s="289" t="s">
        <v>826</v>
      </c>
      <c r="B173" s="289" t="s">
        <v>827</v>
      </c>
    </row>
    <row r="174" spans="1:2" ht="15">
      <c r="A174" s="289" t="s">
        <v>828</v>
      </c>
      <c r="B174" s="289" t="s">
        <v>829</v>
      </c>
    </row>
    <row r="175" spans="1:2" ht="15">
      <c r="A175" s="289" t="s">
        <v>830</v>
      </c>
      <c r="B175" s="289" t="s">
        <v>831</v>
      </c>
    </row>
    <row r="176" spans="1:2" ht="15">
      <c r="A176" s="289" t="s">
        <v>634</v>
      </c>
      <c r="B176" s="289" t="s">
        <v>832</v>
      </c>
    </row>
    <row r="177" spans="1:2" ht="15">
      <c r="A177" s="289" t="s">
        <v>635</v>
      </c>
      <c r="B177" s="289" t="s">
        <v>833</v>
      </c>
    </row>
    <row r="178" spans="1:2" ht="15">
      <c r="A178" s="289" t="s">
        <v>636</v>
      </c>
      <c r="B178" s="289" t="s">
        <v>834</v>
      </c>
    </row>
    <row r="179" spans="1:2" ht="15">
      <c r="A179" s="289" t="s">
        <v>835</v>
      </c>
      <c r="B179" s="289" t="s">
        <v>836</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H74"/>
  <sheetViews>
    <sheetView zoomScalePageLayoutView="0" workbookViewId="0" topLeftCell="A67">
      <selection activeCell="D52" sqref="D1:D16384"/>
    </sheetView>
  </sheetViews>
  <sheetFormatPr defaultColWidth="11.421875" defaultRowHeight="15"/>
  <cols>
    <col min="1" max="1" width="85.00390625" style="529" bestFit="1" customWidth="1"/>
    <col min="2" max="2" width="19.28125" style="529" bestFit="1" customWidth="1"/>
    <col min="3" max="3" width="17.00390625" style="529" bestFit="1" customWidth="1"/>
    <col min="4" max="4" width="14.7109375" style="529" bestFit="1" customWidth="1"/>
    <col min="5" max="5" width="13.7109375" style="529" bestFit="1" customWidth="1"/>
    <col min="6" max="6" width="14.7109375" style="529" bestFit="1" customWidth="1"/>
    <col min="7" max="16384" width="11.421875" style="529" customWidth="1"/>
  </cols>
  <sheetData>
    <row r="1" spans="1:4" ht="15">
      <c r="A1" s="10"/>
      <c r="B1" s="10"/>
      <c r="C1" s="10"/>
      <c r="D1" s="10"/>
    </row>
    <row r="2" spans="1:4" ht="15">
      <c r="A2" s="12" t="s">
        <v>1062</v>
      </c>
      <c r="B2" s="10"/>
      <c r="C2" s="10"/>
      <c r="D2" s="10"/>
    </row>
    <row r="3" spans="1:4" ht="15">
      <c r="A3" s="370" t="s">
        <v>879</v>
      </c>
      <c r="B3" s="371" t="s">
        <v>1324</v>
      </c>
      <c r="C3" s="554"/>
      <c r="D3" s="384"/>
    </row>
    <row r="4" spans="1:4" ht="25.5">
      <c r="A4" s="369" t="s">
        <v>292</v>
      </c>
      <c r="B4" s="106" t="s">
        <v>882</v>
      </c>
      <c r="C4" s="106" t="s">
        <v>886</v>
      </c>
      <c r="D4" s="106"/>
    </row>
    <row r="5" spans="1:4" ht="15">
      <c r="A5" s="9" t="s">
        <v>8</v>
      </c>
      <c r="B5" s="375">
        <v>373397655.914</v>
      </c>
      <c r="C5" s="555">
        <v>0.3975</v>
      </c>
      <c r="D5" s="551"/>
    </row>
    <row r="6" spans="1:4" ht="15">
      <c r="A6" s="244" t="s">
        <v>12</v>
      </c>
      <c r="B6" s="240">
        <v>255683709</v>
      </c>
      <c r="C6" s="556"/>
      <c r="D6" s="382"/>
    </row>
    <row r="7" spans="1:6" ht="15">
      <c r="A7" s="383" t="s">
        <v>102</v>
      </c>
      <c r="B7" s="240"/>
      <c r="C7" s="556"/>
      <c r="D7" s="382"/>
      <c r="F7" s="633"/>
    </row>
    <row r="8" spans="1:6" ht="15">
      <c r="A8" s="242" t="s">
        <v>9</v>
      </c>
      <c r="B8" s="240">
        <v>109469756.99</v>
      </c>
      <c r="C8" s="556">
        <v>0</v>
      </c>
      <c r="D8" s="722"/>
      <c r="F8" s="633"/>
    </row>
    <row r="9" spans="1:6" ht="15">
      <c r="A9" s="242" t="s">
        <v>10</v>
      </c>
      <c r="B9" s="240">
        <v>45377085.808</v>
      </c>
      <c r="C9" s="556">
        <v>0.01</v>
      </c>
      <c r="D9" s="722"/>
      <c r="F9" s="727"/>
    </row>
    <row r="10" spans="1:6" ht="15">
      <c r="A10" s="242" t="s">
        <v>11</v>
      </c>
      <c r="B10" s="240">
        <v>100836866.488</v>
      </c>
      <c r="C10" s="556">
        <v>0.3317</v>
      </c>
      <c r="D10" s="722"/>
      <c r="F10" s="727"/>
    </row>
    <row r="11" spans="1:6" ht="15">
      <c r="A11" s="9"/>
      <c r="B11" s="122"/>
      <c r="C11" s="122"/>
      <c r="D11" s="376"/>
      <c r="F11" s="727"/>
    </row>
    <row r="12" spans="1:6" ht="15">
      <c r="A12" s="377" t="s">
        <v>880</v>
      </c>
      <c r="B12" s="7">
        <v>629081364.914</v>
      </c>
      <c r="C12" s="378"/>
      <c r="D12" s="378"/>
      <c r="F12" s="727"/>
    </row>
    <row r="13" spans="1:6" ht="15">
      <c r="A13" s="9"/>
      <c r="B13" s="122"/>
      <c r="C13" s="122"/>
      <c r="D13" s="376"/>
      <c r="F13" s="727"/>
    </row>
    <row r="14" spans="1:6" ht="15">
      <c r="A14" s="379" t="s">
        <v>881</v>
      </c>
      <c r="B14" s="8">
        <v>-182327042.42000002</v>
      </c>
      <c r="C14" s="557"/>
      <c r="D14" s="107"/>
      <c r="F14" s="547"/>
    </row>
    <row r="15" spans="1:6" ht="15">
      <c r="A15" s="366"/>
      <c r="B15" s="367"/>
      <c r="C15" s="367"/>
      <c r="D15" s="368"/>
      <c r="F15" s="727"/>
    </row>
    <row r="16" spans="1:6" ht="15">
      <c r="A16" s="380" t="s">
        <v>883</v>
      </c>
      <c r="B16" s="381">
        <v>446754322.494</v>
      </c>
      <c r="C16" s="381"/>
      <c r="D16" s="7"/>
      <c r="F16" s="633"/>
    </row>
    <row r="17" spans="1:6" ht="15">
      <c r="A17" s="9"/>
      <c r="B17" s="372"/>
      <c r="C17" s="15"/>
      <c r="D17" s="15"/>
      <c r="F17" s="633"/>
    </row>
    <row r="18" spans="1:4" ht="15">
      <c r="A18" s="6" t="s">
        <v>13</v>
      </c>
      <c r="B18" s="373"/>
      <c r="C18" s="373"/>
      <c r="D18" s="373"/>
    </row>
    <row r="19" spans="1:4" ht="15">
      <c r="A19" s="123" t="s">
        <v>14</v>
      </c>
      <c r="B19" s="374" t="s">
        <v>884</v>
      </c>
      <c r="C19" s="374" t="s">
        <v>885</v>
      </c>
      <c r="D19" s="374"/>
    </row>
    <row r="20" spans="1:4" ht="15">
      <c r="A20" s="9" t="s">
        <v>9</v>
      </c>
      <c r="B20" s="243">
        <v>1</v>
      </c>
      <c r="C20" s="243">
        <v>30</v>
      </c>
      <c r="D20" s="243"/>
    </row>
    <row r="21" spans="1:4" ht="15">
      <c r="A21" s="9" t="s">
        <v>10</v>
      </c>
      <c r="B21" s="243">
        <v>31</v>
      </c>
      <c r="C21" s="243">
        <v>60</v>
      </c>
      <c r="D21" s="243"/>
    </row>
    <row r="22" spans="1:4" ht="15">
      <c r="A22" s="9" t="s">
        <v>11</v>
      </c>
      <c r="B22" s="243">
        <v>61</v>
      </c>
      <c r="C22" s="243">
        <v>10000</v>
      </c>
      <c r="D22" s="243"/>
    </row>
    <row r="23" spans="1:4" ht="15">
      <c r="A23" s="10"/>
      <c r="B23" s="10"/>
      <c r="C23" s="10"/>
      <c r="D23" s="10"/>
    </row>
    <row r="24" spans="1:4" ht="15">
      <c r="A24" s="558" t="s">
        <v>1058</v>
      </c>
      <c r="B24" s="10"/>
      <c r="C24" s="10"/>
      <c r="D24" s="10"/>
    </row>
    <row r="25" spans="1:4" ht="15">
      <c r="A25" s="10"/>
      <c r="B25" s="10"/>
      <c r="C25" s="10"/>
      <c r="D25" s="10"/>
    </row>
    <row r="26" spans="1:4" ht="15">
      <c r="A26" s="552" t="s">
        <v>1059</v>
      </c>
      <c r="B26" s="10"/>
      <c r="C26" s="10"/>
      <c r="D26" s="10"/>
    </row>
    <row r="27" spans="1:4" ht="15">
      <c r="A27" s="552" t="s">
        <v>1060</v>
      </c>
      <c r="B27" s="10"/>
      <c r="C27" s="10"/>
      <c r="D27" s="10"/>
    </row>
    <row r="28" spans="1:4" ht="15">
      <c r="A28" s="10"/>
      <c r="B28" s="10"/>
      <c r="C28" s="10"/>
      <c r="D28" s="10"/>
    </row>
    <row r="29" spans="1:4" ht="15">
      <c r="A29" s="10"/>
      <c r="B29" s="10"/>
      <c r="C29" s="10"/>
      <c r="D29" s="10"/>
    </row>
    <row r="30" spans="1:4" ht="15">
      <c r="A30" s="10"/>
      <c r="B30" s="10"/>
      <c r="C30" s="10"/>
      <c r="D30" s="10"/>
    </row>
    <row r="31" spans="1:4" ht="15">
      <c r="A31" s="10"/>
      <c r="B31" s="10"/>
      <c r="C31" s="10"/>
      <c r="D31" s="10"/>
    </row>
    <row r="32" spans="1:4" ht="15">
      <c r="A32" s="10"/>
      <c r="B32" s="10"/>
      <c r="C32" s="10"/>
      <c r="D32" s="10"/>
    </row>
    <row r="33" spans="1:4" ht="15">
      <c r="A33" s="10"/>
      <c r="B33" s="10"/>
      <c r="C33" s="10"/>
      <c r="D33" s="10"/>
    </row>
    <row r="34" spans="1:4" ht="15">
      <c r="A34" s="10"/>
      <c r="B34" s="10"/>
      <c r="C34" s="10"/>
      <c r="D34" s="10"/>
    </row>
    <row r="35" spans="1:4" ht="15">
      <c r="A35" s="10"/>
      <c r="B35" s="10"/>
      <c r="C35" s="10"/>
      <c r="D35" s="10"/>
    </row>
    <row r="36" spans="1:4" ht="15">
      <c r="A36" s="10"/>
      <c r="B36" s="10"/>
      <c r="C36" s="10"/>
      <c r="D36" s="10"/>
    </row>
    <row r="37" spans="1:4" ht="15">
      <c r="A37" s="10"/>
      <c r="B37" s="10"/>
      <c r="C37" s="10"/>
      <c r="D37" s="10"/>
    </row>
    <row r="38" spans="1:4" ht="15">
      <c r="A38" s="10"/>
      <c r="B38" s="10"/>
      <c r="C38" s="10"/>
      <c r="D38" s="10"/>
    </row>
    <row r="39" spans="1:4" ht="15">
      <c r="A39" s="10"/>
      <c r="B39" s="10"/>
      <c r="C39" s="10"/>
      <c r="D39" s="10"/>
    </row>
    <row r="40" spans="1:4" ht="15">
      <c r="A40" s="553" t="s">
        <v>1061</v>
      </c>
      <c r="B40" s="10"/>
      <c r="C40" s="10"/>
      <c r="D40" s="10"/>
    </row>
    <row r="41" spans="1:4" ht="15">
      <c r="A41" s="552" t="s">
        <v>1344</v>
      </c>
      <c r="B41" s="10"/>
      <c r="C41" s="10"/>
      <c r="D41" s="10"/>
    </row>
    <row r="42" spans="1:4" ht="15">
      <c r="A42" s="10" t="s">
        <v>1345</v>
      </c>
      <c r="B42" s="10"/>
      <c r="C42" s="10"/>
      <c r="D42" s="10"/>
    </row>
    <row r="43" spans="1:4" ht="15">
      <c r="A43" s="10" t="s">
        <v>1346</v>
      </c>
      <c r="B43" s="10"/>
      <c r="C43" s="10"/>
      <c r="D43" s="10"/>
    </row>
    <row r="44" spans="1:4" ht="15">
      <c r="A44" s="10"/>
      <c r="B44" s="10"/>
      <c r="C44" s="10"/>
      <c r="D44" s="10"/>
    </row>
    <row r="46" spans="1:8" ht="15">
      <c r="A46" s="704"/>
      <c r="B46" s="451"/>
      <c r="C46" s="451"/>
      <c r="D46" s="451"/>
      <c r="E46" s="451"/>
      <c r="F46" s="451"/>
      <c r="G46" s="10"/>
      <c r="H46" s="10"/>
    </row>
    <row r="47" spans="1:8" ht="15">
      <c r="A47" s="704"/>
      <c r="B47" s="704"/>
      <c r="C47" s="451"/>
      <c r="D47" s="451"/>
      <c r="E47" s="451"/>
      <c r="F47" s="451"/>
      <c r="G47" s="10"/>
      <c r="H47" s="10"/>
    </row>
    <row r="48" spans="1:8" ht="15">
      <c r="A48" s="710" t="s">
        <v>1285</v>
      </c>
      <c r="B48" s="451" t="s">
        <v>1343</v>
      </c>
      <c r="C48" s="451"/>
      <c r="D48" s="451"/>
      <c r="E48" s="451"/>
      <c r="F48" s="451"/>
      <c r="G48" s="10"/>
      <c r="H48" s="10"/>
    </row>
    <row r="49" spans="1:8" ht="15">
      <c r="A49" s="704"/>
      <c r="B49" s="704"/>
      <c r="C49" s="704"/>
      <c r="D49" s="704"/>
      <c r="E49" s="704"/>
      <c r="F49" s="704"/>
      <c r="G49" s="10"/>
      <c r="H49" s="10"/>
    </row>
    <row r="50" spans="1:8" ht="15">
      <c r="A50" s="704" t="s">
        <v>1286</v>
      </c>
      <c r="B50" s="708" t="s">
        <v>1287</v>
      </c>
      <c r="C50" s="708" t="s">
        <v>1288</v>
      </c>
      <c r="D50" s="708" t="s">
        <v>1289</v>
      </c>
      <c r="E50" s="708" t="s">
        <v>1290</v>
      </c>
      <c r="F50" s="708" t="s">
        <v>1291</v>
      </c>
      <c r="G50" s="10"/>
      <c r="H50" s="10"/>
    </row>
    <row r="51" spans="1:8" ht="15">
      <c r="A51" s="704">
        <v>1</v>
      </c>
      <c r="B51" s="708">
        <v>528244498712</v>
      </c>
      <c r="C51" s="708">
        <v>394844310741</v>
      </c>
      <c r="D51" s="708">
        <v>133400187971</v>
      </c>
      <c r="E51" s="708">
        <v>0</v>
      </c>
      <c r="F51" s="708">
        <v>133400187971</v>
      </c>
      <c r="G51" s="10"/>
      <c r="H51" s="10"/>
    </row>
    <row r="52" spans="1:8" ht="15">
      <c r="A52" s="704">
        <v>2</v>
      </c>
      <c r="B52" s="708">
        <v>22859714027</v>
      </c>
      <c r="C52" s="708">
        <v>18209214364</v>
      </c>
      <c r="D52" s="708">
        <v>4650499663</v>
      </c>
      <c r="E52" s="708">
        <v>910458616</v>
      </c>
      <c r="F52" s="708">
        <v>5560958279</v>
      </c>
      <c r="G52" s="10"/>
      <c r="H52" s="10"/>
    </row>
    <row r="53" spans="1:8" ht="15">
      <c r="A53" s="704">
        <v>3</v>
      </c>
      <c r="B53" s="708">
        <v>29401882261</v>
      </c>
      <c r="C53" s="708">
        <v>22696970912</v>
      </c>
      <c r="D53" s="708">
        <v>6704911349</v>
      </c>
      <c r="E53" s="708">
        <v>5674240516</v>
      </c>
      <c r="F53" s="708">
        <v>12379151865</v>
      </c>
      <c r="G53" s="10"/>
      <c r="H53" s="10"/>
    </row>
    <row r="54" spans="1:8" ht="15">
      <c r="A54" s="704">
        <v>4</v>
      </c>
      <c r="B54" s="708">
        <v>11185114218</v>
      </c>
      <c r="C54" s="708">
        <v>8780201251</v>
      </c>
      <c r="D54" s="708">
        <v>2404912967</v>
      </c>
      <c r="E54" s="708">
        <v>4390100091</v>
      </c>
      <c r="F54" s="708">
        <v>6795013058</v>
      </c>
      <c r="G54" s="10"/>
      <c r="H54" s="10"/>
    </row>
    <row r="55" spans="1:8" ht="15">
      <c r="A55" s="704">
        <v>5</v>
      </c>
      <c r="B55" s="708">
        <v>25291780304</v>
      </c>
      <c r="C55" s="708">
        <v>19259945964</v>
      </c>
      <c r="D55" s="708">
        <v>6031834340</v>
      </c>
      <c r="E55" s="708">
        <v>14444957558</v>
      </c>
      <c r="F55" s="708">
        <v>20476791898</v>
      </c>
      <c r="G55" s="10"/>
      <c r="H55" s="10"/>
    </row>
    <row r="56" spans="1:8" ht="15">
      <c r="A56" s="704">
        <v>6</v>
      </c>
      <c r="B56" s="708">
        <v>10893048275</v>
      </c>
      <c r="C56" s="708">
        <v>8484743173</v>
      </c>
      <c r="D56" s="708">
        <v>2408305102</v>
      </c>
      <c r="E56" s="708">
        <v>8484743173</v>
      </c>
      <c r="F56" s="708">
        <v>10893048275</v>
      </c>
      <c r="G56" s="10">
        <v>1000</v>
      </c>
      <c r="H56" s="10"/>
    </row>
    <row r="57" spans="1:8" ht="15">
      <c r="A57" s="704" t="s">
        <v>130</v>
      </c>
      <c r="B57" s="708">
        <v>627876037797</v>
      </c>
      <c r="C57" s="451">
        <v>472275386405</v>
      </c>
      <c r="D57" s="451">
        <v>155600651392</v>
      </c>
      <c r="E57" s="451">
        <v>33904499954</v>
      </c>
      <c r="F57" s="451">
        <v>189505151346</v>
      </c>
      <c r="G57" s="10"/>
      <c r="H57" s="10"/>
    </row>
    <row r="58" spans="1:8" ht="15">
      <c r="A58" s="97"/>
      <c r="B58" s="708">
        <v>1205327403</v>
      </c>
      <c r="C58" s="451"/>
      <c r="D58" s="451"/>
      <c r="E58" s="451"/>
      <c r="F58" s="451"/>
      <c r="G58" s="10"/>
      <c r="H58" s="10"/>
    </row>
    <row r="59" spans="1:8" ht="15">
      <c r="A59" s="704" t="s">
        <v>1292</v>
      </c>
      <c r="B59" s="708">
        <v>629081365200</v>
      </c>
      <c r="C59" s="451"/>
      <c r="D59" s="451"/>
      <c r="E59" s="451"/>
      <c r="F59" s="451" t="s">
        <v>1293</v>
      </c>
      <c r="G59" s="10"/>
      <c r="H59" s="10"/>
    </row>
    <row r="60" spans="1:8" ht="15">
      <c r="A60" s="147" t="s">
        <v>1294</v>
      </c>
      <c r="B60" s="732">
        <v>100836866488</v>
      </c>
      <c r="C60" s="451"/>
      <c r="D60" s="451"/>
      <c r="E60" s="451"/>
      <c r="F60" s="451"/>
      <c r="G60" s="10"/>
      <c r="H60" s="10"/>
    </row>
    <row r="61" spans="1:8" ht="15">
      <c r="A61" s="24" t="s">
        <v>1295</v>
      </c>
      <c r="B61" s="511">
        <v>0.1602922484533325</v>
      </c>
      <c r="C61" s="721"/>
      <c r="D61" s="451"/>
      <c r="E61" s="451"/>
      <c r="F61" s="451"/>
      <c r="G61" s="10"/>
      <c r="H61" s="10"/>
    </row>
    <row r="62" spans="1:8" ht="15">
      <c r="A62" s="24" t="s">
        <v>1296</v>
      </c>
      <c r="B62" s="733">
        <v>33904499954</v>
      </c>
      <c r="C62" s="451"/>
      <c r="D62" s="451"/>
      <c r="E62" s="451"/>
      <c r="F62" s="451"/>
      <c r="G62" s="10"/>
      <c r="H62" s="10"/>
    </row>
    <row r="63" spans="1:8" ht="15">
      <c r="A63" s="147" t="s">
        <v>1297</v>
      </c>
      <c r="B63" s="733">
        <v>148422542466</v>
      </c>
      <c r="C63" s="451"/>
      <c r="D63" s="451"/>
      <c r="E63" s="451"/>
      <c r="F63" s="451"/>
      <c r="G63" s="10"/>
      <c r="H63" s="10"/>
    </row>
    <row r="64" spans="1:8" ht="15">
      <c r="A64" s="147" t="s">
        <v>130</v>
      </c>
      <c r="B64" s="733">
        <v>182327042420</v>
      </c>
      <c r="C64" s="451"/>
      <c r="D64" s="451"/>
      <c r="E64" s="451"/>
      <c r="F64" s="451"/>
      <c r="G64" s="10"/>
      <c r="H64" s="10"/>
    </row>
    <row r="65" spans="1:8" ht="15">
      <c r="A65" s="147" t="s">
        <v>1298</v>
      </c>
      <c r="B65" s="511">
        <v>30059427422</v>
      </c>
      <c r="C65" s="451"/>
      <c r="D65" s="451"/>
      <c r="E65" s="451"/>
      <c r="F65" s="451"/>
      <c r="G65" s="10"/>
      <c r="H65" s="10"/>
    </row>
    <row r="66" spans="1:8" ht="15.75" thickBot="1">
      <c r="A66" s="97" t="s">
        <v>1299</v>
      </c>
      <c r="B66" s="451">
        <v>178481969888</v>
      </c>
      <c r="C66" s="451"/>
      <c r="D66" s="451"/>
      <c r="E66" s="451"/>
      <c r="F66" s="451"/>
      <c r="G66" s="10"/>
      <c r="H66" s="10"/>
    </row>
    <row r="67" spans="1:8" ht="15.75" thickBot="1">
      <c r="A67" s="711">
        <v>1</v>
      </c>
      <c r="B67" s="711" t="s">
        <v>1300</v>
      </c>
      <c r="C67" s="711" t="s">
        <v>1300</v>
      </c>
      <c r="D67" s="712" t="s">
        <v>1301</v>
      </c>
      <c r="E67" s="451"/>
      <c r="F67" s="451"/>
      <c r="G67" s="10"/>
      <c r="H67" s="10"/>
    </row>
    <row r="68" spans="1:8" ht="15">
      <c r="A68" s="713">
        <v>2</v>
      </c>
      <c r="B68" s="713" t="s">
        <v>1302</v>
      </c>
      <c r="C68" s="713" t="s">
        <v>1302</v>
      </c>
      <c r="D68" s="714">
        <v>0.05</v>
      </c>
      <c r="E68" s="451"/>
      <c r="F68" s="451"/>
      <c r="G68" s="10"/>
      <c r="H68" s="10"/>
    </row>
    <row r="69" spans="1:8" ht="15">
      <c r="A69" s="713">
        <v>3</v>
      </c>
      <c r="B69" s="713" t="s">
        <v>1303</v>
      </c>
      <c r="C69" s="713" t="s">
        <v>1304</v>
      </c>
      <c r="D69" s="715">
        <v>0.25</v>
      </c>
      <c r="E69" s="451"/>
      <c r="F69" s="451"/>
      <c r="G69" s="10"/>
      <c r="H69" s="10"/>
    </row>
    <row r="70" spans="1:8" ht="15">
      <c r="A70" s="716">
        <v>4</v>
      </c>
      <c r="B70" s="716" t="s">
        <v>1305</v>
      </c>
      <c r="C70" s="716" t="s">
        <v>1306</v>
      </c>
      <c r="D70" s="717">
        <v>0.5</v>
      </c>
      <c r="E70" s="451"/>
      <c r="F70" s="451"/>
      <c r="G70" s="10"/>
      <c r="H70" s="10"/>
    </row>
    <row r="71" spans="1:8" ht="15">
      <c r="A71" s="716">
        <v>5</v>
      </c>
      <c r="B71" s="716" t="s">
        <v>1307</v>
      </c>
      <c r="C71" s="716" t="s">
        <v>1305</v>
      </c>
      <c r="D71" s="717">
        <v>0.75</v>
      </c>
      <c r="E71" s="451"/>
      <c r="F71" s="451"/>
      <c r="G71" s="10"/>
      <c r="H71" s="10"/>
    </row>
    <row r="72" spans="1:8" ht="15">
      <c r="A72" s="716">
        <v>6</v>
      </c>
      <c r="B72" s="716" t="s">
        <v>1308</v>
      </c>
      <c r="C72" s="716" t="s">
        <v>1309</v>
      </c>
      <c r="D72" s="717">
        <v>1</v>
      </c>
      <c r="E72" s="451"/>
      <c r="F72" s="451"/>
      <c r="G72" s="10"/>
      <c r="H72" s="10"/>
    </row>
    <row r="73" spans="1:8" ht="15.75" thickBot="1">
      <c r="A73" s="718">
        <v>6</v>
      </c>
      <c r="B73" s="718" t="s">
        <v>1308</v>
      </c>
      <c r="C73" s="718" t="s">
        <v>1309</v>
      </c>
      <c r="D73" s="719">
        <v>1</v>
      </c>
      <c r="E73" s="451"/>
      <c r="F73" s="451"/>
      <c r="G73" s="10"/>
      <c r="H73" s="10"/>
    </row>
    <row r="74" spans="1:8" ht="15">
      <c r="A74" s="704"/>
      <c r="B74" s="451"/>
      <c r="C74" s="451"/>
      <c r="D74" s="451"/>
      <c r="E74" s="451"/>
      <c r="F74" s="451"/>
      <c r="G74" s="10"/>
      <c r="H74" s="10"/>
    </row>
  </sheetData>
  <sheetProtection/>
  <printOptions/>
  <pageMargins left="0.7" right="0.7" top="0.75" bottom="0.75" header="0.3" footer="0.3"/>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77"/>
  <sheetViews>
    <sheetView zoomScalePageLayoutView="0" workbookViewId="0" topLeftCell="A4">
      <selection activeCell="A22" sqref="A22:C22"/>
    </sheetView>
  </sheetViews>
  <sheetFormatPr defaultColWidth="11.421875" defaultRowHeight="15"/>
  <cols>
    <col min="5" max="5" width="52.140625" style="0" bestFit="1" customWidth="1"/>
  </cols>
  <sheetData>
    <row r="1" spans="1:9" ht="15">
      <c r="A1" s="705"/>
      <c r="B1" s="705"/>
      <c r="C1" s="705"/>
      <c r="D1" s="705"/>
      <c r="E1" s="705"/>
      <c r="F1" s="705"/>
      <c r="G1" s="705"/>
      <c r="H1" s="705"/>
      <c r="I1" s="705"/>
    </row>
    <row r="2" spans="1:9" ht="15.75">
      <c r="A2" s="560" t="s">
        <v>1075</v>
      </c>
      <c r="B2" s="559"/>
      <c r="C2" s="559"/>
      <c r="D2" s="559"/>
      <c r="E2" s="559"/>
      <c r="F2" s="559"/>
      <c r="G2" s="559"/>
      <c r="H2" s="559"/>
      <c r="I2" s="559"/>
    </row>
    <row r="3" spans="1:9" ht="15.75">
      <c r="A3" s="559"/>
      <c r="B3" s="559"/>
      <c r="C3" s="559"/>
      <c r="D3" s="705"/>
      <c r="E3" s="560"/>
      <c r="F3" s="560"/>
      <c r="G3" s="560"/>
      <c r="H3" s="559"/>
      <c r="I3" s="559"/>
    </row>
    <row r="4" spans="1:9" ht="15">
      <c r="A4" s="559"/>
      <c r="B4" s="559"/>
      <c r="C4" s="559"/>
      <c r="D4" s="559"/>
      <c r="E4" s="559"/>
      <c r="F4" s="559"/>
      <c r="G4" s="559"/>
      <c r="H4" s="559"/>
      <c r="I4" s="559"/>
    </row>
    <row r="5" spans="1:9" ht="18.75" thickBot="1">
      <c r="A5" s="946" t="s">
        <v>1076</v>
      </c>
      <c r="B5" s="947"/>
      <c r="C5" s="947"/>
      <c r="D5" s="947"/>
      <c r="E5" s="947"/>
      <c r="F5" s="947"/>
      <c r="G5" s="947"/>
      <c r="H5" s="947"/>
      <c r="I5" s="948"/>
    </row>
    <row r="6" spans="1:9" ht="15">
      <c r="A6" s="949" t="s">
        <v>1077</v>
      </c>
      <c r="B6" s="950"/>
      <c r="C6" s="950"/>
      <c r="D6" s="950"/>
      <c r="E6" s="950"/>
      <c r="F6" s="950"/>
      <c r="G6" s="950"/>
      <c r="H6" s="950"/>
      <c r="I6" s="951"/>
    </row>
    <row r="7" spans="1:9" ht="15">
      <c r="A7" s="561"/>
      <c r="B7" s="562"/>
      <c r="C7" s="562"/>
      <c r="D7" s="562"/>
      <c r="E7" s="562"/>
      <c r="F7" s="562"/>
      <c r="G7" s="562"/>
      <c r="H7" s="562"/>
      <c r="I7" s="563"/>
    </row>
    <row r="8" spans="1:9" ht="15">
      <c r="A8" s="564" t="s">
        <v>1078</v>
      </c>
      <c r="B8" s="565"/>
      <c r="C8" s="565"/>
      <c r="D8" s="565"/>
      <c r="E8" s="566"/>
      <c r="F8" s="566"/>
      <c r="G8" s="566"/>
      <c r="H8" s="566"/>
      <c r="I8" s="567"/>
    </row>
    <row r="9" spans="1:9" ht="15">
      <c r="A9" s="568"/>
      <c r="B9" s="569"/>
      <c r="C9" s="569"/>
      <c r="D9" s="569"/>
      <c r="E9" s="570"/>
      <c r="F9" s="570"/>
      <c r="G9" s="570"/>
      <c r="H9" s="570"/>
      <c r="I9" s="571"/>
    </row>
    <row r="10" spans="1:9" ht="15">
      <c r="A10" s="568" t="s">
        <v>1079</v>
      </c>
      <c r="B10" s="572"/>
      <c r="C10" s="572"/>
      <c r="D10" s="572"/>
      <c r="E10" s="572"/>
      <c r="F10" s="570"/>
      <c r="G10" s="570"/>
      <c r="H10" s="570"/>
      <c r="I10" s="571"/>
    </row>
    <row r="11" spans="1:9" ht="15">
      <c r="A11" s="573" t="s">
        <v>1080</v>
      </c>
      <c r="B11" s="570"/>
      <c r="C11" s="570"/>
      <c r="D11" s="570"/>
      <c r="E11" s="570"/>
      <c r="F11" s="570"/>
      <c r="G11" s="570"/>
      <c r="H11" s="570"/>
      <c r="I11" s="571"/>
    </row>
    <row r="12" spans="1:9" ht="15">
      <c r="A12" s="574" t="s">
        <v>1081</v>
      </c>
      <c r="B12" s="570"/>
      <c r="C12" s="570"/>
      <c r="D12" s="570"/>
      <c r="E12" s="570"/>
      <c r="F12" s="570"/>
      <c r="G12" s="570"/>
      <c r="H12" s="570"/>
      <c r="I12" s="571"/>
    </row>
    <row r="13" spans="1:9" ht="15">
      <c r="A13" s="574" t="s">
        <v>1082</v>
      </c>
      <c r="B13" s="570"/>
      <c r="C13" s="570"/>
      <c r="D13" s="570"/>
      <c r="E13" s="570"/>
      <c r="F13" s="570"/>
      <c r="G13" s="570"/>
      <c r="H13" s="570"/>
      <c r="I13" s="571"/>
    </row>
    <row r="14" spans="1:9" ht="15">
      <c r="A14" s="575" t="s">
        <v>1083</v>
      </c>
      <c r="B14" s="576"/>
      <c r="C14" s="576"/>
      <c r="D14" s="576"/>
      <c r="E14" s="576"/>
      <c r="F14" s="576"/>
      <c r="G14" s="576"/>
      <c r="H14" s="576"/>
      <c r="I14" s="571"/>
    </row>
    <row r="15" spans="1:9" ht="15">
      <c r="A15" s="575" t="s">
        <v>1084</v>
      </c>
      <c r="B15" s="576"/>
      <c r="C15" s="576"/>
      <c r="D15" s="576"/>
      <c r="E15" s="576"/>
      <c r="F15" s="576"/>
      <c r="G15" s="576"/>
      <c r="H15" s="576"/>
      <c r="I15" s="571"/>
    </row>
    <row r="16" spans="1:9" ht="15">
      <c r="A16" s="577" t="s">
        <v>1085</v>
      </c>
      <c r="B16" s="576"/>
      <c r="C16" s="576"/>
      <c r="D16" s="576"/>
      <c r="E16" s="576"/>
      <c r="F16" s="576"/>
      <c r="G16" s="576"/>
      <c r="H16" s="576"/>
      <c r="I16" s="571"/>
    </row>
    <row r="17" spans="1:9" ht="15">
      <c r="A17" s="574" t="s">
        <v>1086</v>
      </c>
      <c r="B17" s="570"/>
      <c r="C17" s="570"/>
      <c r="D17" s="570"/>
      <c r="E17" s="570"/>
      <c r="F17" s="570"/>
      <c r="G17" s="570"/>
      <c r="H17" s="570"/>
      <c r="I17" s="571"/>
    </row>
    <row r="18" spans="1:9" ht="15">
      <c r="A18" s="568"/>
      <c r="B18" s="570"/>
      <c r="C18" s="570"/>
      <c r="D18" s="570"/>
      <c r="E18" s="570"/>
      <c r="F18" s="570"/>
      <c r="G18" s="570"/>
      <c r="H18" s="570"/>
      <c r="I18" s="571"/>
    </row>
    <row r="19" spans="1:9" ht="15">
      <c r="A19" s="932" t="s">
        <v>1087</v>
      </c>
      <c r="B19" s="933"/>
      <c r="C19" s="933"/>
      <c r="D19" s="933"/>
      <c r="E19" s="933"/>
      <c r="F19" s="933"/>
      <c r="G19" s="933"/>
      <c r="H19" s="933"/>
      <c r="I19" s="934"/>
    </row>
    <row r="20" spans="1:9" ht="15">
      <c r="A20" s="935" t="s">
        <v>1088</v>
      </c>
      <c r="B20" s="935"/>
      <c r="C20" s="935"/>
      <c r="D20" s="935" t="s">
        <v>1089</v>
      </c>
      <c r="E20" s="935"/>
      <c r="F20" s="935" t="s">
        <v>1090</v>
      </c>
      <c r="G20" s="935"/>
      <c r="H20" s="938" t="s">
        <v>1091</v>
      </c>
      <c r="I20" s="938"/>
    </row>
    <row r="21" spans="1:9" ht="15">
      <c r="A21" s="921" t="s">
        <v>1092</v>
      </c>
      <c r="B21" s="921"/>
      <c r="C21" s="921"/>
      <c r="D21" s="939">
        <v>97000</v>
      </c>
      <c r="E21" s="940"/>
      <c r="F21" s="921" t="s">
        <v>1093</v>
      </c>
      <c r="G21" s="921"/>
      <c r="H21" s="941">
        <v>0.97</v>
      </c>
      <c r="I21" s="921"/>
    </row>
    <row r="22" spans="1:9" ht="15">
      <c r="A22" s="942" t="s">
        <v>1271</v>
      </c>
      <c r="B22" s="942" t="s">
        <v>961</v>
      </c>
      <c r="C22" s="942"/>
      <c r="D22" s="943">
        <v>471125</v>
      </c>
      <c r="E22" s="944"/>
      <c r="F22" s="942" t="s">
        <v>1093</v>
      </c>
      <c r="G22" s="942"/>
      <c r="H22" s="945">
        <v>0.28</v>
      </c>
      <c r="I22" s="942"/>
    </row>
    <row r="23" spans="1:9" ht="15">
      <c r="A23" s="921"/>
      <c r="B23" s="921"/>
      <c r="C23" s="921"/>
      <c r="D23" s="921"/>
      <c r="E23" s="921"/>
      <c r="F23" s="921"/>
      <c r="G23" s="921"/>
      <c r="H23" s="921"/>
      <c r="I23" s="921"/>
    </row>
    <row r="24" spans="1:9" ht="15">
      <c r="A24" s="581" t="s">
        <v>1094</v>
      </c>
      <c r="B24" s="582"/>
      <c r="C24" s="582"/>
      <c r="D24" s="582"/>
      <c r="E24" s="582"/>
      <c r="F24" s="582"/>
      <c r="G24" s="582"/>
      <c r="H24" s="570"/>
      <c r="I24" s="571"/>
    </row>
    <row r="25" spans="1:9" ht="15">
      <c r="A25" s="581"/>
      <c r="B25" s="582"/>
      <c r="C25" s="582"/>
      <c r="D25" s="582"/>
      <c r="E25" s="582"/>
      <c r="F25" s="582"/>
      <c r="G25" s="582"/>
      <c r="H25" s="570"/>
      <c r="I25" s="571"/>
    </row>
    <row r="26" spans="1:9" ht="15">
      <c r="A26" s="932" t="s">
        <v>1095</v>
      </c>
      <c r="B26" s="933"/>
      <c r="C26" s="933"/>
      <c r="D26" s="933"/>
      <c r="E26" s="933"/>
      <c r="F26" s="933"/>
      <c r="G26" s="933"/>
      <c r="H26" s="933"/>
      <c r="I26" s="934"/>
    </row>
    <row r="27" spans="1:9" ht="15">
      <c r="A27" s="935" t="s">
        <v>1088</v>
      </c>
      <c r="B27" s="935"/>
      <c r="C27" s="935"/>
      <c r="D27" s="935" t="s">
        <v>1096</v>
      </c>
      <c r="E27" s="935"/>
      <c r="F27" s="935" t="s">
        <v>1097</v>
      </c>
      <c r="G27" s="935"/>
      <c r="H27" s="936" t="s">
        <v>1098</v>
      </c>
      <c r="I27" s="937"/>
    </row>
    <row r="28" spans="1:9" ht="15">
      <c r="A28" s="921"/>
      <c r="B28" s="921"/>
      <c r="C28" s="921"/>
      <c r="D28" s="921"/>
      <c r="E28" s="921"/>
      <c r="F28" s="921"/>
      <c r="G28" s="921"/>
      <c r="H28" s="921"/>
      <c r="I28" s="921"/>
    </row>
    <row r="29" spans="1:9" ht="15">
      <c r="A29" s="578" t="s">
        <v>1099</v>
      </c>
      <c r="B29" s="579"/>
      <c r="C29" s="580"/>
      <c r="D29" s="578"/>
      <c r="E29" s="580"/>
      <c r="F29" s="578"/>
      <c r="G29" s="580"/>
      <c r="H29" s="578"/>
      <c r="I29" s="580"/>
    </row>
    <row r="30" spans="1:9" ht="15">
      <c r="A30" s="921"/>
      <c r="B30" s="921"/>
      <c r="C30" s="921"/>
      <c r="D30" s="921"/>
      <c r="E30" s="921"/>
      <c r="F30" s="921"/>
      <c r="G30" s="921"/>
      <c r="H30" s="921"/>
      <c r="I30" s="921"/>
    </row>
    <row r="31" spans="1:9" ht="15">
      <c r="A31" s="581" t="s">
        <v>1100</v>
      </c>
      <c r="B31" s="570"/>
      <c r="C31" s="570"/>
      <c r="D31" s="570"/>
      <c r="E31" s="570"/>
      <c r="F31" s="570"/>
      <c r="G31" s="570"/>
      <c r="H31" s="570"/>
      <c r="I31" s="571"/>
    </row>
    <row r="32" spans="1:9" ht="15">
      <c r="A32" s="581"/>
      <c r="B32" s="570"/>
      <c r="C32" s="570"/>
      <c r="D32" s="570"/>
      <c r="E32" s="570"/>
      <c r="F32" s="570"/>
      <c r="G32" s="570"/>
      <c r="H32" s="570"/>
      <c r="I32" s="571"/>
    </row>
    <row r="33" spans="1:9" ht="15">
      <c r="A33" s="924" t="s">
        <v>1101</v>
      </c>
      <c r="B33" s="925"/>
      <c r="C33" s="925"/>
      <c r="D33" s="925"/>
      <c r="E33" s="925"/>
      <c r="F33" s="925"/>
      <c r="G33" s="925"/>
      <c r="H33" s="925"/>
      <c r="I33" s="926"/>
    </row>
    <row r="34" spans="1:9" ht="15">
      <c r="A34" s="927" t="s">
        <v>1102</v>
      </c>
      <c r="B34" s="928"/>
      <c r="C34" s="928"/>
      <c r="D34" s="928"/>
      <c r="E34" s="929"/>
      <c r="F34" s="927" t="s">
        <v>1103</v>
      </c>
      <c r="G34" s="928"/>
      <c r="H34" s="930"/>
      <c r="I34" s="931"/>
    </row>
    <row r="35" spans="1:9" ht="15">
      <c r="A35" s="583"/>
      <c r="B35" s="584"/>
      <c r="C35" s="585" t="s">
        <v>972</v>
      </c>
      <c r="D35" s="583"/>
      <c r="E35" s="584"/>
      <c r="F35" s="583"/>
      <c r="G35" s="585" t="s">
        <v>972</v>
      </c>
      <c r="H35" s="583"/>
      <c r="I35" s="585"/>
    </row>
    <row r="36" spans="1:9" ht="15">
      <c r="A36" s="921"/>
      <c r="B36" s="921"/>
      <c r="C36" s="921"/>
      <c r="D36" s="921"/>
      <c r="E36" s="921"/>
      <c r="F36" s="921"/>
      <c r="G36" s="921"/>
      <c r="H36" s="921"/>
      <c r="I36" s="921"/>
    </row>
    <row r="37" spans="1:9" ht="15">
      <c r="A37" s="573"/>
      <c r="B37" s="570"/>
      <c r="C37" s="570"/>
      <c r="D37" s="582"/>
      <c r="E37" s="570"/>
      <c r="F37" s="570"/>
      <c r="G37" s="570"/>
      <c r="H37" s="570"/>
      <c r="I37" s="571"/>
    </row>
    <row r="38" spans="1:9" ht="15">
      <c r="A38" s="586"/>
      <c r="B38" s="587"/>
      <c r="C38" s="587"/>
      <c r="D38" s="587"/>
      <c r="E38" s="587"/>
      <c r="F38" s="587"/>
      <c r="G38" s="570"/>
      <c r="H38" s="570"/>
      <c r="I38" s="571"/>
    </row>
    <row r="39" spans="1:9" ht="15">
      <c r="A39" s="568" t="s">
        <v>1104</v>
      </c>
      <c r="B39" s="582"/>
      <c r="C39" s="582"/>
      <c r="D39" s="582"/>
      <c r="E39" s="922"/>
      <c r="F39" s="923"/>
      <c r="G39" s="923"/>
      <c r="H39" s="923"/>
      <c r="I39" s="571"/>
    </row>
    <row r="40" spans="1:9" ht="15">
      <c r="A40" s="573"/>
      <c r="B40" s="570"/>
      <c r="C40" s="570"/>
      <c r="D40" s="570"/>
      <c r="E40" s="570" t="s">
        <v>1105</v>
      </c>
      <c r="F40" s="759">
        <v>44469</v>
      </c>
      <c r="G40" s="759">
        <v>44104</v>
      </c>
      <c r="H40" s="570"/>
      <c r="I40" s="571"/>
    </row>
    <row r="41" spans="1:9" s="705" customFormat="1" ht="15">
      <c r="A41" s="573"/>
      <c r="B41" s="570"/>
      <c r="C41" s="582" t="s">
        <v>1106</v>
      </c>
      <c r="D41" s="570"/>
      <c r="E41" s="570"/>
      <c r="F41" s="587"/>
      <c r="G41" s="587"/>
      <c r="H41" s="570"/>
      <c r="I41" s="571"/>
    </row>
    <row r="42" spans="1:9" ht="15">
      <c r="A42" s="568" t="s">
        <v>1107</v>
      </c>
      <c r="B42" s="570"/>
      <c r="C42" s="570"/>
      <c r="D42" s="570"/>
      <c r="E42" s="570"/>
      <c r="F42" s="587"/>
      <c r="G42" s="587"/>
      <c r="H42" s="570"/>
      <c r="I42" s="571"/>
    </row>
    <row r="43" spans="1:9" ht="15">
      <c r="A43" s="581" t="s">
        <v>1108</v>
      </c>
      <c r="B43" s="570"/>
      <c r="C43" s="570"/>
      <c r="D43" s="570"/>
      <c r="E43" s="570"/>
      <c r="F43" s="587"/>
      <c r="G43" s="587"/>
      <c r="H43" s="570"/>
      <c r="I43" s="571"/>
    </row>
    <row r="44" spans="1:9" ht="15">
      <c r="A44" s="574" t="s">
        <v>1109</v>
      </c>
      <c r="B44" s="570"/>
      <c r="C44" s="570"/>
      <c r="D44" s="570"/>
      <c r="E44" s="570"/>
      <c r="F44" s="587"/>
      <c r="G44" s="587"/>
      <c r="H44" s="570"/>
      <c r="I44" s="571"/>
    </row>
    <row r="45" spans="1:9" ht="15">
      <c r="A45" s="575" t="s">
        <v>1110</v>
      </c>
      <c r="B45" s="570"/>
      <c r="C45" s="588"/>
      <c r="D45" s="570"/>
      <c r="E45" s="570"/>
      <c r="F45" s="587"/>
      <c r="G45" s="587"/>
      <c r="H45" s="570"/>
      <c r="I45" s="571"/>
    </row>
    <row r="46" spans="1:9" ht="15">
      <c r="A46" s="577"/>
      <c r="B46" s="570"/>
      <c r="C46" s="588"/>
      <c r="D46" s="570"/>
      <c r="E46" s="570"/>
      <c r="F46" s="587"/>
      <c r="G46" s="587"/>
      <c r="H46" s="570"/>
      <c r="I46" s="571"/>
    </row>
    <row r="47" spans="1:9" ht="15">
      <c r="A47" s="568" t="s">
        <v>1111</v>
      </c>
      <c r="B47" s="570"/>
      <c r="C47" s="570"/>
      <c r="D47" s="570"/>
      <c r="E47" s="570"/>
      <c r="F47" s="587"/>
      <c r="G47" s="587"/>
      <c r="H47" s="570"/>
      <c r="I47" s="571"/>
    </row>
    <row r="48" spans="1:9" ht="15">
      <c r="A48" s="574" t="s">
        <v>1109</v>
      </c>
      <c r="B48" s="570"/>
      <c r="C48" s="570"/>
      <c r="D48" s="570"/>
      <c r="E48" s="570"/>
      <c r="F48" s="587"/>
      <c r="G48" s="587"/>
      <c r="H48" s="570"/>
      <c r="I48" s="571"/>
    </row>
    <row r="49" spans="1:9" ht="15">
      <c r="A49" s="574" t="s">
        <v>1112</v>
      </c>
      <c r="B49" s="570"/>
      <c r="C49" s="570"/>
      <c r="D49" s="570"/>
      <c r="E49" s="570"/>
      <c r="F49" s="587"/>
      <c r="G49" s="587"/>
      <c r="H49" s="570"/>
      <c r="I49" s="571"/>
    </row>
    <row r="50" spans="1:9" ht="15">
      <c r="A50" s="589" t="s">
        <v>1113</v>
      </c>
      <c r="B50" s="570"/>
      <c r="C50" s="705"/>
      <c r="D50" s="570"/>
      <c r="E50" s="570"/>
      <c r="F50" s="760">
        <v>1039.029</v>
      </c>
      <c r="G50" s="760">
        <v>38386.6</v>
      </c>
      <c r="H50" s="570"/>
      <c r="I50" s="571"/>
    </row>
    <row r="51" spans="1:9" ht="15">
      <c r="A51" s="577" t="s">
        <v>1114</v>
      </c>
      <c r="B51" s="570"/>
      <c r="C51" s="705"/>
      <c r="D51" s="570"/>
      <c r="E51" s="570"/>
      <c r="F51" s="760">
        <v>653.201</v>
      </c>
      <c r="G51" s="760">
        <v>24128.7</v>
      </c>
      <c r="H51" s="570"/>
      <c r="I51" s="571"/>
    </row>
    <row r="52" spans="1:9" ht="15">
      <c r="A52" s="573"/>
      <c r="B52" s="570"/>
      <c r="C52" s="570"/>
      <c r="D52" s="570"/>
      <c r="E52" s="570"/>
      <c r="F52" s="587"/>
      <c r="G52" s="587"/>
      <c r="H52" s="570"/>
      <c r="I52" s="571"/>
    </row>
    <row r="53" spans="1:9" ht="15">
      <c r="A53" s="574" t="s">
        <v>1115</v>
      </c>
      <c r="B53" s="570"/>
      <c r="C53" s="570"/>
      <c r="D53" s="570"/>
      <c r="E53" s="570"/>
      <c r="F53" s="587"/>
      <c r="G53" s="587"/>
      <c r="H53" s="570"/>
      <c r="I53" s="571"/>
    </row>
    <row r="54" spans="1:9" ht="15">
      <c r="A54" s="574"/>
      <c r="B54" s="570"/>
      <c r="C54" s="570"/>
      <c r="D54" s="570"/>
      <c r="E54" s="570"/>
      <c r="F54" s="587"/>
      <c r="G54" s="587"/>
      <c r="H54" s="570"/>
      <c r="I54" s="571"/>
    </row>
    <row r="55" spans="1:9" ht="15">
      <c r="A55" s="574" t="s">
        <v>1116</v>
      </c>
      <c r="B55" s="570"/>
      <c r="C55" s="570"/>
      <c r="D55" s="570"/>
      <c r="E55" s="570"/>
      <c r="F55" s="587"/>
      <c r="G55" s="587"/>
      <c r="H55" s="570"/>
      <c r="I55" s="571"/>
    </row>
    <row r="56" spans="1:9" ht="15">
      <c r="A56" s="575" t="s">
        <v>1117</v>
      </c>
      <c r="B56" s="570"/>
      <c r="C56" s="590" t="s">
        <v>1325</v>
      </c>
      <c r="D56" s="570"/>
      <c r="E56" s="570"/>
      <c r="F56" s="761">
        <v>9319189.676</v>
      </c>
      <c r="G56" s="760">
        <v>4991759</v>
      </c>
      <c r="H56" s="588"/>
      <c r="I56" s="591"/>
    </row>
    <row r="57" spans="1:9" ht="15">
      <c r="A57" s="575" t="s">
        <v>1117</v>
      </c>
      <c r="B57" s="570"/>
      <c r="C57" s="590" t="s">
        <v>1326</v>
      </c>
      <c r="D57" s="570"/>
      <c r="E57" s="570"/>
      <c r="F57" s="761">
        <v>293051.55</v>
      </c>
      <c r="G57" s="760">
        <v>565531.1</v>
      </c>
      <c r="H57" s="588"/>
      <c r="I57" s="591"/>
    </row>
    <row r="58" spans="1:9" ht="15">
      <c r="A58" s="575" t="s">
        <v>1118</v>
      </c>
      <c r="B58" s="570"/>
      <c r="C58" s="590" t="s">
        <v>1325</v>
      </c>
      <c r="D58" s="570"/>
      <c r="E58" s="570"/>
      <c r="F58" s="761">
        <v>7178556.075</v>
      </c>
      <c r="G58" s="760">
        <v>2689697.7</v>
      </c>
      <c r="H58" s="588"/>
      <c r="I58" s="591"/>
    </row>
    <row r="59" spans="1:9" ht="15">
      <c r="A59" s="575" t="s">
        <v>1118</v>
      </c>
      <c r="B59" s="570"/>
      <c r="C59" s="590" t="s">
        <v>1326</v>
      </c>
      <c r="D59" s="570"/>
      <c r="E59" s="570"/>
      <c r="F59" s="761">
        <v>184966.981</v>
      </c>
      <c r="G59" s="761">
        <v>348319.7</v>
      </c>
      <c r="H59" s="588"/>
      <c r="I59" s="591"/>
    </row>
    <row r="60" spans="1:9" ht="15">
      <c r="A60" s="575" t="s">
        <v>1119</v>
      </c>
      <c r="B60" s="570"/>
      <c r="C60" s="590" t="s">
        <v>1325</v>
      </c>
      <c r="D60" s="570"/>
      <c r="E60" s="570"/>
      <c r="F60" s="761">
        <v>188000</v>
      </c>
      <c r="G60" s="760">
        <v>423000</v>
      </c>
      <c r="H60" s="588"/>
      <c r="I60" s="591"/>
    </row>
    <row r="61" spans="1:9" ht="15">
      <c r="A61" s="575" t="s">
        <v>1137</v>
      </c>
      <c r="B61" s="570"/>
      <c r="C61" s="590" t="s">
        <v>1325</v>
      </c>
      <c r="D61" s="570"/>
      <c r="E61" s="570"/>
      <c r="F61" s="761">
        <v>235000</v>
      </c>
      <c r="G61" s="760">
        <v>5805000</v>
      </c>
      <c r="H61" s="588"/>
      <c r="I61" s="591"/>
    </row>
    <row r="62" spans="1:9" ht="15">
      <c r="A62" s="575" t="s">
        <v>1120</v>
      </c>
      <c r="B62" s="570"/>
      <c r="C62" s="590" t="s">
        <v>1327</v>
      </c>
      <c r="D62" s="570"/>
      <c r="E62" s="570"/>
      <c r="F62" s="761">
        <v>4730000</v>
      </c>
      <c r="G62" s="760">
        <v>225000</v>
      </c>
      <c r="H62" s="588"/>
      <c r="I62" s="591"/>
    </row>
    <row r="63" spans="1:9" ht="15">
      <c r="A63" s="575" t="s">
        <v>1121</v>
      </c>
      <c r="B63" s="570"/>
      <c r="C63" s="590" t="s">
        <v>1325</v>
      </c>
      <c r="D63" s="570"/>
      <c r="E63" s="570"/>
      <c r="F63" s="761">
        <v>225000</v>
      </c>
      <c r="G63" s="760">
        <v>59400</v>
      </c>
      <c r="H63" s="588"/>
      <c r="I63" s="591"/>
    </row>
    <row r="64" spans="1:12" ht="15">
      <c r="A64" s="593" t="s">
        <v>1122</v>
      </c>
      <c r="B64" s="570"/>
      <c r="C64" s="590" t="s">
        <v>1325</v>
      </c>
      <c r="D64" s="570"/>
      <c r="E64" s="570"/>
      <c r="F64" s="761">
        <v>90000</v>
      </c>
      <c r="G64" s="760">
        <v>90000</v>
      </c>
      <c r="H64" s="588"/>
      <c r="I64" s="591"/>
      <c r="K64" s="769"/>
      <c r="L64" s="769"/>
    </row>
    <row r="65" spans="1:12" ht="15">
      <c r="A65" s="593" t="s">
        <v>1123</v>
      </c>
      <c r="B65" s="570"/>
      <c r="C65" s="590" t="s">
        <v>1325</v>
      </c>
      <c r="D65" s="570"/>
      <c r="E65" s="570"/>
      <c r="F65" s="761">
        <v>90000</v>
      </c>
      <c r="G65" s="760">
        <v>45000</v>
      </c>
      <c r="H65" s="588"/>
      <c r="I65" s="571"/>
      <c r="K65" s="769"/>
      <c r="L65" s="769"/>
    </row>
    <row r="66" spans="1:12" ht="15">
      <c r="A66" s="593" t="s">
        <v>1123</v>
      </c>
      <c r="B66" s="570"/>
      <c r="C66" s="590" t="s">
        <v>1328</v>
      </c>
      <c r="D66" s="570"/>
      <c r="E66" s="570"/>
      <c r="F66" s="761">
        <v>200000</v>
      </c>
      <c r="G66" s="760">
        <v>341522.5</v>
      </c>
      <c r="H66" s="570"/>
      <c r="I66" s="571"/>
      <c r="K66" s="769"/>
      <c r="L66" s="769"/>
    </row>
    <row r="67" spans="1:12" ht="15">
      <c r="A67" s="593" t="s">
        <v>1124</v>
      </c>
      <c r="B67" s="570"/>
      <c r="C67" s="590" t="s">
        <v>1325</v>
      </c>
      <c r="D67" s="570"/>
      <c r="E67" s="570"/>
      <c r="F67" s="761">
        <v>135000</v>
      </c>
      <c r="G67" s="760">
        <v>135000</v>
      </c>
      <c r="H67" s="570"/>
      <c r="I67" s="571"/>
      <c r="K67" s="769"/>
      <c r="L67" s="769"/>
    </row>
    <row r="68" spans="1:14" ht="15">
      <c r="A68" s="593" t="s">
        <v>1125</v>
      </c>
      <c r="B68" s="570"/>
      <c r="C68" s="590" t="s">
        <v>1325</v>
      </c>
      <c r="D68" s="570"/>
      <c r="E68" s="570"/>
      <c r="F68" s="761">
        <v>15000</v>
      </c>
      <c r="G68" s="760">
        <v>9000</v>
      </c>
      <c r="H68" s="570"/>
      <c r="I68" s="571"/>
      <c r="K68" s="769"/>
      <c r="N68">
        <f>+L68+M68</f>
        <v>0</v>
      </c>
    </row>
    <row r="69" spans="1:9" ht="15">
      <c r="A69" s="593"/>
      <c r="B69" s="570"/>
      <c r="C69" s="570"/>
      <c r="D69" s="570"/>
      <c r="E69" s="570"/>
      <c r="F69" s="590"/>
      <c r="G69" s="570"/>
      <c r="H69" s="570"/>
      <c r="I69" s="571"/>
    </row>
    <row r="70" spans="1:9" ht="15">
      <c r="A70" s="573" t="s">
        <v>1126</v>
      </c>
      <c r="B70" s="570"/>
      <c r="C70" s="570"/>
      <c r="D70" s="570"/>
      <c r="E70" s="570"/>
      <c r="F70" s="570"/>
      <c r="G70" s="570"/>
      <c r="H70" s="570"/>
      <c r="I70" s="571"/>
    </row>
    <row r="71" spans="1:9" ht="15">
      <c r="A71" s="574" t="s">
        <v>1127</v>
      </c>
      <c r="B71" s="570"/>
      <c r="C71" s="570"/>
      <c r="D71" s="570"/>
      <c r="E71" s="570"/>
      <c r="F71" s="570"/>
      <c r="G71" s="570"/>
      <c r="H71" s="570"/>
      <c r="I71" s="571"/>
    </row>
    <row r="72" spans="1:9" ht="15">
      <c r="A72" s="594"/>
      <c r="B72" s="595"/>
      <c r="C72" s="595"/>
      <c r="D72" s="595"/>
      <c r="E72" s="595"/>
      <c r="F72" s="595"/>
      <c r="G72" s="595"/>
      <c r="H72" s="595"/>
      <c r="I72" s="596"/>
    </row>
    <row r="73" spans="1:9" ht="15">
      <c r="A73" s="592" t="s">
        <v>1128</v>
      </c>
      <c r="B73" s="570"/>
      <c r="C73" s="570"/>
      <c r="D73" s="570"/>
      <c r="E73" s="570"/>
      <c r="F73" s="570"/>
      <c r="G73" s="570"/>
      <c r="H73" s="570"/>
      <c r="I73" s="570"/>
    </row>
    <row r="74" spans="1:9" ht="15">
      <c r="A74" s="559"/>
      <c r="B74" s="559"/>
      <c r="C74" s="559"/>
      <c r="D74" s="559"/>
      <c r="E74" s="559"/>
      <c r="F74" s="559"/>
      <c r="G74" s="559"/>
      <c r="H74" s="559"/>
      <c r="I74" s="559"/>
    </row>
    <row r="75" spans="1:9" ht="15">
      <c r="A75" s="559"/>
      <c r="B75" s="559"/>
      <c r="C75" s="559"/>
      <c r="D75" s="559"/>
      <c r="E75" s="559"/>
      <c r="F75" s="559"/>
      <c r="G75" s="559"/>
      <c r="H75" s="559"/>
      <c r="I75" s="559"/>
    </row>
    <row r="76" spans="1:9" ht="15">
      <c r="A76" s="559"/>
      <c r="B76" s="559"/>
      <c r="C76" s="559"/>
      <c r="D76" s="559"/>
      <c r="E76" s="559"/>
      <c r="F76" s="559"/>
      <c r="G76" s="559"/>
      <c r="H76" s="559"/>
      <c r="I76" s="559"/>
    </row>
    <row r="77" spans="1:9" ht="15">
      <c r="A77" s="582" t="s">
        <v>1129</v>
      </c>
      <c r="B77" s="570"/>
      <c r="C77" s="570"/>
      <c r="D77" s="570"/>
      <c r="E77" s="570"/>
      <c r="F77" s="570"/>
      <c r="G77" s="570"/>
      <c r="H77" s="570"/>
      <c r="I77" s="570"/>
    </row>
  </sheetData>
  <sheetProtection/>
  <mergeCells count="42">
    <mergeCell ref="A5:I5"/>
    <mergeCell ref="A6:I6"/>
    <mergeCell ref="A19:I19"/>
    <mergeCell ref="A20:C20"/>
    <mergeCell ref="D20:E20"/>
    <mergeCell ref="F20:G20"/>
    <mergeCell ref="F22:G22"/>
    <mergeCell ref="H22:I22"/>
    <mergeCell ref="A23:C23"/>
    <mergeCell ref="D23:E23"/>
    <mergeCell ref="F23:G23"/>
    <mergeCell ref="H23:I23"/>
    <mergeCell ref="D27:E27"/>
    <mergeCell ref="F27:G27"/>
    <mergeCell ref="H27:I27"/>
    <mergeCell ref="H20:I20"/>
    <mergeCell ref="A21:C21"/>
    <mergeCell ref="D21:E21"/>
    <mergeCell ref="F21:G21"/>
    <mergeCell ref="H21:I21"/>
    <mergeCell ref="A22:C22"/>
    <mergeCell ref="D22:E22"/>
    <mergeCell ref="A36:C36"/>
    <mergeCell ref="D36:E36"/>
    <mergeCell ref="F36:G36"/>
    <mergeCell ref="H36:I36"/>
    <mergeCell ref="A26:I26"/>
    <mergeCell ref="A28:C28"/>
    <mergeCell ref="D28:E28"/>
    <mergeCell ref="F28:G28"/>
    <mergeCell ref="H28:I28"/>
    <mergeCell ref="A27:C27"/>
    <mergeCell ref="A30:C30"/>
    <mergeCell ref="D30:E30"/>
    <mergeCell ref="F30:G30"/>
    <mergeCell ref="H30:I30"/>
    <mergeCell ref="E39:H39"/>
    <mergeCell ref="A33:I33"/>
    <mergeCell ref="A34:C34"/>
    <mergeCell ref="D34:E34"/>
    <mergeCell ref="F34:G34"/>
    <mergeCell ref="H34:I3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49"/>
  <sheetViews>
    <sheetView showGridLines="0" zoomScale="90" zoomScaleNormal="90" zoomScalePageLayoutView="0" workbookViewId="0" topLeftCell="A33">
      <selection activeCell="B44" sqref="B44"/>
    </sheetView>
  </sheetViews>
  <sheetFormatPr defaultColWidth="10.8515625" defaultRowHeight="15"/>
  <cols>
    <col min="1" max="1" width="78.00390625" style="655" customWidth="1"/>
    <col min="2" max="2" width="21.140625" style="73" customWidth="1"/>
    <col min="3" max="3" width="27.57421875" style="73" customWidth="1"/>
    <col min="4" max="4" width="2.421875" style="449" customWidth="1"/>
    <col min="5" max="5" width="10.140625" style="449" bestFit="1" customWidth="1"/>
    <col min="6" max="6" width="2.28125" style="449" customWidth="1"/>
    <col min="7" max="7" width="4.421875" style="449" customWidth="1"/>
    <col min="8" max="16384" width="10.8515625" style="449" customWidth="1"/>
  </cols>
  <sheetData>
    <row r="1" ht="14.25">
      <c r="A1" s="655" t="str">
        <f>'[1]Indice'!C1</f>
        <v>NEGOFIN S.A.E.C.A.</v>
      </c>
    </row>
    <row r="2" spans="1:3" ht="14.25">
      <c r="A2" s="61"/>
      <c r="B2" s="62"/>
      <c r="C2" s="62"/>
    </row>
    <row r="3" spans="1:3" ht="13.5" customHeight="1" hidden="1">
      <c r="A3" s="829"/>
      <c r="B3" s="829"/>
      <c r="C3" s="829"/>
    </row>
    <row r="4" spans="1:3" ht="14.25">
      <c r="A4" s="61"/>
      <c r="B4" s="62"/>
      <c r="C4" s="62"/>
    </row>
    <row r="5" spans="1:3" s="2" customFormat="1" ht="15">
      <c r="A5" s="830" t="s">
        <v>878</v>
      </c>
      <c r="B5" s="830"/>
      <c r="C5" s="830"/>
    </row>
    <row r="6" spans="1:3" s="2" customFormat="1" ht="15">
      <c r="A6" s="830" t="s">
        <v>1329</v>
      </c>
      <c r="B6" s="830"/>
      <c r="C6" s="830"/>
    </row>
    <row r="7" spans="1:3" s="2" customFormat="1" ht="14.25">
      <c r="A7" s="831" t="s">
        <v>303</v>
      </c>
      <c r="B7" s="831"/>
      <c r="C7" s="831"/>
    </row>
    <row r="8" spans="1:3" s="2" customFormat="1" ht="14.25">
      <c r="A8" s="831" t="s">
        <v>274</v>
      </c>
      <c r="B8" s="831"/>
      <c r="C8" s="831"/>
    </row>
    <row r="9" spans="1:3" s="2" customFormat="1" ht="14.25">
      <c r="A9" s="530"/>
      <c r="B9" s="530"/>
      <c r="C9" s="530"/>
    </row>
    <row r="10" spans="1:3" s="2" customFormat="1" ht="14.25">
      <c r="A10" s="530"/>
      <c r="B10" s="530"/>
      <c r="C10" s="530"/>
    </row>
    <row r="11" spans="1:3" s="2" customFormat="1" ht="15">
      <c r="A11" s="104"/>
      <c r="B11" s="299">
        <f>_xlfn.IFERROR(IF('[1]Indice'!B6="","2XX2",YEAR('[1]Indice'!B6)),"2XX2")</f>
        <v>2021</v>
      </c>
      <c r="C11" s="299">
        <f>_xlfn.IFERROR(YEAR('[1]Indice'!B6-365),"2XX1")</f>
        <v>2020</v>
      </c>
    </row>
    <row r="12" spans="1:3" s="2" customFormat="1" ht="14.25">
      <c r="A12" s="655"/>
      <c r="B12" s="80"/>
      <c r="C12" s="80"/>
    </row>
    <row r="13" spans="1:3" s="2" customFormat="1" ht="15">
      <c r="A13" s="81" t="s">
        <v>276</v>
      </c>
      <c r="B13" s="73"/>
      <c r="C13" s="525"/>
    </row>
    <row r="14" spans="1:3" s="2" customFormat="1" ht="14.25">
      <c r="A14" s="655" t="s">
        <v>426</v>
      </c>
      <c r="B14" s="525">
        <v>73336882.29699996</v>
      </c>
      <c r="C14" s="549">
        <v>155593938.379</v>
      </c>
    </row>
    <row r="15" spans="1:6" s="2" customFormat="1" ht="14.25">
      <c r="A15" s="655" t="s">
        <v>49</v>
      </c>
      <c r="B15" s="549">
        <v>-57598155.878</v>
      </c>
      <c r="C15" s="550">
        <v>-40160932.610999994</v>
      </c>
      <c r="E15" s="525"/>
      <c r="F15" s="48"/>
    </row>
    <row r="16" spans="1:6" s="2" customFormat="1" ht="14.25">
      <c r="A16" s="655" t="s">
        <v>50</v>
      </c>
      <c r="B16" s="550">
        <v>-44593851.509380005</v>
      </c>
      <c r="C16" s="22">
        <v>-34391653.265</v>
      </c>
      <c r="F16" s="48"/>
    </row>
    <row r="17" spans="1:6" s="2" customFormat="1" ht="14.25">
      <c r="A17" s="655" t="s">
        <v>89</v>
      </c>
      <c r="B17" s="117">
        <v>-15673302.651999997</v>
      </c>
      <c r="C17" s="525">
        <v>-16697273.362</v>
      </c>
      <c r="F17" s="48"/>
    </row>
    <row r="18" spans="1:6" s="2" customFormat="1" ht="14.25">
      <c r="A18" s="655" t="s">
        <v>427</v>
      </c>
      <c r="B18" s="525">
        <v>0</v>
      </c>
      <c r="C18" s="525">
        <v>0</v>
      </c>
      <c r="F18" s="48"/>
    </row>
    <row r="19" spans="1:6" s="2" customFormat="1" ht="14.25">
      <c r="A19" s="655"/>
      <c r="C19" s="549"/>
      <c r="F19" s="48"/>
    </row>
    <row r="20" spans="1:6" s="2" customFormat="1" ht="14.25">
      <c r="A20" s="655" t="s">
        <v>275</v>
      </c>
      <c r="B20" s="117">
        <v>-5210365.5</v>
      </c>
      <c r="C20" s="117">
        <v>-2006455.306</v>
      </c>
      <c r="F20" s="48"/>
    </row>
    <row r="21" spans="1:3" s="2" customFormat="1" ht="15">
      <c r="A21" s="422" t="s">
        <v>51</v>
      </c>
      <c r="B21" s="423">
        <f>SUM(B14:B20)</f>
        <v>-49738793.24238004</v>
      </c>
      <c r="C21" s="423">
        <f>SUM(C14:C20)</f>
        <v>62337623.835</v>
      </c>
    </row>
    <row r="22" spans="1:3" s="2" customFormat="1" ht="14.25">
      <c r="A22" s="655"/>
      <c r="B22" s="73"/>
      <c r="C22" s="73"/>
    </row>
    <row r="23" spans="1:3" s="2" customFormat="1" ht="15">
      <c r="A23" s="81" t="s">
        <v>277</v>
      </c>
      <c r="B23" s="73"/>
      <c r="C23" s="73"/>
    </row>
    <row r="24" spans="1:6" s="2" customFormat="1" ht="14.25">
      <c r="A24" s="655" t="s">
        <v>428</v>
      </c>
      <c r="B24" s="22">
        <v>-906716.4480000004</v>
      </c>
      <c r="C24" s="22">
        <v>-1373921.298</v>
      </c>
      <c r="F24" s="48"/>
    </row>
    <row r="25" spans="1:6" s="2" customFormat="1" ht="13.5" customHeight="1" hidden="1">
      <c r="A25" s="655" t="s">
        <v>52</v>
      </c>
      <c r="B25" s="22"/>
      <c r="C25" s="22"/>
      <c r="F25" s="48"/>
    </row>
    <row r="26" spans="1:3" s="2" customFormat="1" ht="13.5" customHeight="1" hidden="1">
      <c r="A26" s="655" t="s">
        <v>53</v>
      </c>
      <c r="B26" s="22">
        <v>0</v>
      </c>
      <c r="C26" s="22">
        <v>0</v>
      </c>
    </row>
    <row r="27" spans="1:3" s="2" customFormat="1" ht="14.25">
      <c r="A27" s="655" t="s">
        <v>90</v>
      </c>
      <c r="B27" s="22">
        <v>0</v>
      </c>
      <c r="C27" s="22">
        <v>0</v>
      </c>
    </row>
    <row r="28" spans="1:3" s="2" customFormat="1" ht="14.25">
      <c r="A28" s="655" t="s">
        <v>91</v>
      </c>
      <c r="B28" s="22">
        <v>47803.806</v>
      </c>
      <c r="C28" s="22">
        <v>208960.609</v>
      </c>
    </row>
    <row r="29" spans="1:3" s="2" customFormat="1" ht="14.25">
      <c r="A29" s="655" t="s">
        <v>278</v>
      </c>
      <c r="B29" s="22">
        <v>-60719.23100000061</v>
      </c>
      <c r="C29" s="22">
        <v>0</v>
      </c>
    </row>
    <row r="30" spans="1:3" s="2" customFormat="1" ht="14.25">
      <c r="A30" s="655" t="s">
        <v>1330</v>
      </c>
      <c r="B30" s="22">
        <v>-127570.65800000029</v>
      </c>
      <c r="C30" s="22">
        <v>265338.702</v>
      </c>
    </row>
    <row r="31" spans="1:3" s="2" customFormat="1" ht="15">
      <c r="A31" s="422" t="s">
        <v>54</v>
      </c>
      <c r="B31" s="423">
        <f>SUM(B24:B30)</f>
        <v>-1047202.5310000014</v>
      </c>
      <c r="C31" s="423">
        <f>SUM(C24:C30)</f>
        <v>-899621.987</v>
      </c>
    </row>
    <row r="32" spans="1:3" s="2" customFormat="1" ht="14.25">
      <c r="A32" s="655"/>
      <c r="B32" s="73"/>
      <c r="C32" s="73"/>
    </row>
    <row r="33" spans="1:3" s="2" customFormat="1" ht="15">
      <c r="A33" s="81" t="s">
        <v>279</v>
      </c>
      <c r="B33" s="73"/>
      <c r="C33" s="73"/>
    </row>
    <row r="34" spans="1:3" s="2" customFormat="1" ht="14.25">
      <c r="A34" s="655" t="s">
        <v>429</v>
      </c>
      <c r="B34" s="22">
        <v>56857229.20900001</v>
      </c>
      <c r="C34" s="22">
        <v>-24856547.78400003</v>
      </c>
    </row>
    <row r="35" spans="1:3" s="2" customFormat="1" ht="14.25">
      <c r="A35" s="655" t="s">
        <v>93</v>
      </c>
      <c r="B35" s="22">
        <v>14682000</v>
      </c>
      <c r="C35" s="22">
        <v>0</v>
      </c>
    </row>
    <row r="36" spans="1:3" s="2" customFormat="1" ht="14.25">
      <c r="A36" s="655" t="s">
        <v>92</v>
      </c>
      <c r="B36" s="22">
        <v>-20257092</v>
      </c>
      <c r="C36" s="22">
        <v>-20915854</v>
      </c>
    </row>
    <row r="37" spans="1:3" s="2" customFormat="1" ht="15">
      <c r="A37" s="422" t="s">
        <v>430</v>
      </c>
      <c r="B37" s="423">
        <f>SUM(B34:B36)</f>
        <v>51282137.20900001</v>
      </c>
      <c r="C37" s="423">
        <f>SUM(C34:C36)</f>
        <v>-45772401.78400003</v>
      </c>
    </row>
    <row r="38" spans="1:3" s="33" customFormat="1" ht="15">
      <c r="A38" s="706"/>
      <c r="B38" s="364"/>
      <c r="C38" s="364"/>
    </row>
    <row r="39" spans="1:3" s="33" customFormat="1" ht="14.25">
      <c r="A39" s="365" t="s">
        <v>1331</v>
      </c>
      <c r="B39" s="22">
        <v>-9035764</v>
      </c>
      <c r="C39" s="22">
        <v>-13167869</v>
      </c>
    </row>
    <row r="40" spans="1:3" s="2" customFormat="1" ht="14.25">
      <c r="A40" s="365" t="s">
        <v>94</v>
      </c>
      <c r="B40" s="73">
        <f>+B21+B31+B37+B39</f>
        <v>-8539622.564380035</v>
      </c>
      <c r="C40" s="73">
        <f>+C21+C31+C37+C39</f>
        <v>2497731.063999966</v>
      </c>
    </row>
    <row r="41" spans="1:3" ht="14.25">
      <c r="A41" s="365" t="s">
        <v>95</v>
      </c>
      <c r="B41" s="73">
        <v>0</v>
      </c>
      <c r="C41" s="449"/>
    </row>
    <row r="42" spans="1:3" s="2" customFormat="1" ht="14.25">
      <c r="A42" s="365" t="s">
        <v>96</v>
      </c>
      <c r="B42" s="73">
        <v>18873837.02</v>
      </c>
      <c r="C42" s="73">
        <v>21393583.864</v>
      </c>
    </row>
    <row r="43" spans="1:3" s="2" customFormat="1" ht="14.25">
      <c r="A43" s="655"/>
      <c r="B43" s="73"/>
      <c r="C43" s="73"/>
    </row>
    <row r="44" spans="1:3" s="2" customFormat="1" ht="18.75">
      <c r="A44" s="105" t="s">
        <v>55</v>
      </c>
      <c r="B44" s="118">
        <f>+B40+B42</f>
        <v>10334214.455619965</v>
      </c>
      <c r="C44" s="118">
        <f>+C21+C31+C37+C42+C39</f>
        <v>23891314.927999966</v>
      </c>
    </row>
    <row r="45" spans="1:3" s="2" customFormat="1" ht="14.25">
      <c r="A45" s="655"/>
      <c r="B45" s="82">
        <v>21753585.599999998</v>
      </c>
      <c r="C45" s="83"/>
    </row>
    <row r="46" spans="1:3" ht="14.25">
      <c r="A46" s="655" t="s">
        <v>413</v>
      </c>
      <c r="B46" s="57"/>
      <c r="C46" s="57"/>
    </row>
    <row r="47" spans="2:3" ht="14.25">
      <c r="B47" s="57"/>
      <c r="C47" s="57"/>
    </row>
    <row r="48" spans="2:3" ht="14.25">
      <c r="B48" s="57"/>
      <c r="C48" s="57"/>
    </row>
    <row r="49" spans="2:3" ht="14.25">
      <c r="B49" s="57"/>
      <c r="C49" s="57"/>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24"/>
  <sheetViews>
    <sheetView showGridLines="0" zoomScalePageLayoutView="0" workbookViewId="0" topLeftCell="A28">
      <selection activeCell="F51" sqref="F51"/>
    </sheetView>
  </sheetViews>
  <sheetFormatPr defaultColWidth="11.421875" defaultRowHeight="15"/>
  <cols>
    <col min="1" max="1" width="17.140625" style="28" customWidth="1"/>
    <col min="2" max="2" width="32.421875" style="28" bestFit="1" customWidth="1"/>
    <col min="3" max="3" width="31.00390625" style="28" bestFit="1" customWidth="1"/>
    <col min="4" max="4" width="15.7109375" style="28" bestFit="1" customWidth="1"/>
    <col min="5" max="5" width="27.421875" style="28" bestFit="1" customWidth="1"/>
    <col min="6" max="6" width="13.140625" style="28" customWidth="1"/>
    <col min="7" max="7" width="14.7109375" style="28" bestFit="1" customWidth="1"/>
    <col min="8" max="8" width="11.421875" style="28" customWidth="1"/>
    <col min="9" max="9" width="16.140625" style="641" bestFit="1" customWidth="1"/>
    <col min="10" max="16384" width="11.421875" style="28" customWidth="1"/>
  </cols>
  <sheetData>
    <row r="1" spans="1:6" ht="15" customHeight="1">
      <c r="A1" s="28" t="str">
        <f>Indice!C1</f>
        <v>NEGOFIN S.A.E.C.A.</v>
      </c>
      <c r="F1" s="141" t="s">
        <v>132</v>
      </c>
    </row>
    <row r="5" spans="1:6" ht="15" customHeight="1">
      <c r="A5" s="29"/>
      <c r="B5" s="29"/>
      <c r="C5" s="29"/>
      <c r="D5" s="29"/>
      <c r="E5" s="29"/>
      <c r="F5" s="29"/>
    </row>
    <row r="6" spans="1:9" ht="15" customHeight="1">
      <c r="A6" s="336" t="s">
        <v>860</v>
      </c>
      <c r="B6" s="336"/>
      <c r="C6" s="336"/>
      <c r="D6" s="336"/>
      <c r="E6" s="336"/>
      <c r="F6" s="336"/>
      <c r="G6" s="3"/>
      <c r="H6" s="3"/>
      <c r="I6" s="642"/>
    </row>
    <row r="7" spans="1:9" ht="15" customHeight="1">
      <c r="A7" s="337" t="s">
        <v>861</v>
      </c>
      <c r="B7" s="337"/>
      <c r="C7" s="337"/>
      <c r="D7" s="337"/>
      <c r="E7" s="363" t="s">
        <v>1316</v>
      </c>
      <c r="F7" s="363"/>
      <c r="G7" s="363"/>
      <c r="H7" s="3"/>
      <c r="I7" s="642"/>
    </row>
    <row r="8" spans="1:9" ht="15" customHeight="1">
      <c r="A8" s="838" t="s">
        <v>45</v>
      </c>
      <c r="B8" s="838"/>
      <c r="C8" s="838"/>
      <c r="D8" s="838"/>
      <c r="E8" s="838"/>
      <c r="F8" s="838"/>
      <c r="G8" s="1"/>
      <c r="H8" s="1"/>
      <c r="I8" s="643"/>
    </row>
    <row r="9" spans="1:9" ht="15" customHeight="1">
      <c r="A9" s="27"/>
      <c r="B9" s="27"/>
      <c r="C9" s="27"/>
      <c r="D9" s="27"/>
      <c r="E9" s="27"/>
      <c r="F9" s="27"/>
      <c r="G9" s="1"/>
      <c r="H9" s="1"/>
      <c r="I9" s="643"/>
    </row>
    <row r="10" spans="1:6" ht="15" customHeight="1">
      <c r="A10" s="29"/>
      <c r="B10" s="29"/>
      <c r="C10" s="29"/>
      <c r="D10" s="29"/>
      <c r="E10" s="29"/>
      <c r="F10" s="29"/>
    </row>
    <row r="11" spans="1:9" ht="15" customHeight="1">
      <c r="A11" s="333" t="s">
        <v>0</v>
      </c>
      <c r="B11" s="334"/>
      <c r="C11" s="334"/>
      <c r="D11" s="334"/>
      <c r="E11" s="334"/>
      <c r="F11" s="335"/>
      <c r="G11" s="839"/>
      <c r="H11" s="839"/>
      <c r="I11" s="839"/>
    </row>
    <row r="12" spans="1:6" ht="15" customHeight="1">
      <c r="A12" s="841" t="s">
        <v>165</v>
      </c>
      <c r="B12" s="841"/>
      <c r="C12" s="841"/>
      <c r="D12" s="841"/>
      <c r="E12" s="841"/>
      <c r="F12" s="841"/>
    </row>
    <row r="13" spans="1:15" ht="15" customHeight="1">
      <c r="A13" s="630"/>
      <c r="B13" s="631"/>
      <c r="C13" s="631"/>
      <c r="D13" s="631"/>
      <c r="E13" s="631"/>
      <c r="F13" s="450"/>
      <c r="G13" s="1"/>
      <c r="H13" s="1"/>
      <c r="I13" s="643"/>
      <c r="J13" s="832"/>
      <c r="K13" s="833"/>
      <c r="L13" s="833"/>
      <c r="M13" s="833"/>
      <c r="N13" s="833"/>
      <c r="O13" s="833"/>
    </row>
    <row r="14" spans="1:15" ht="15" customHeight="1">
      <c r="A14" s="632" t="s">
        <v>1063</v>
      </c>
      <c r="B14" s="631"/>
      <c r="C14" s="631"/>
      <c r="D14" s="631"/>
      <c r="E14" s="631"/>
      <c r="F14" s="450"/>
      <c r="J14" s="833"/>
      <c r="K14" s="833"/>
      <c r="L14" s="833"/>
      <c r="M14" s="833"/>
      <c r="N14" s="833"/>
      <c r="O14" s="833"/>
    </row>
    <row r="15" spans="1:15" ht="15" customHeight="1">
      <c r="A15" s="633" t="s">
        <v>1064</v>
      </c>
      <c r="B15" s="633"/>
      <c r="C15" s="633"/>
      <c r="D15" s="633"/>
      <c r="E15" s="633"/>
      <c r="F15" s="452"/>
      <c r="J15" s="448"/>
      <c r="K15" s="448"/>
      <c r="L15" s="448"/>
      <c r="M15" s="448"/>
      <c r="N15" s="448"/>
      <c r="O15" s="448"/>
    </row>
    <row r="16" spans="1:15" ht="15.75" customHeight="1">
      <c r="A16" s="633" t="s">
        <v>1065</v>
      </c>
      <c r="B16" s="633"/>
      <c r="C16" s="633"/>
      <c r="D16" s="633"/>
      <c r="E16" s="633"/>
      <c r="F16" s="633"/>
      <c r="J16" s="834"/>
      <c r="K16" s="834"/>
      <c r="L16" s="834"/>
      <c r="M16" s="834"/>
      <c r="N16" s="834"/>
      <c r="O16" s="834"/>
    </row>
    <row r="17" spans="1:15" ht="15" customHeight="1">
      <c r="A17" s="631"/>
      <c r="B17" s="631"/>
      <c r="C17" s="631"/>
      <c r="D17" s="631"/>
      <c r="E17" s="631"/>
      <c r="F17" s="452"/>
      <c r="J17" s="834"/>
      <c r="K17" s="834"/>
      <c r="L17" s="834"/>
      <c r="M17" s="834"/>
      <c r="N17" s="834"/>
      <c r="O17" s="834"/>
    </row>
    <row r="18" spans="1:15" ht="15" customHeight="1">
      <c r="A18" s="735" t="s">
        <v>1312</v>
      </c>
      <c r="B18" s="736"/>
      <c r="C18" s="736"/>
      <c r="D18" s="736"/>
      <c r="E18" s="736"/>
      <c r="F18" s="452"/>
      <c r="J18" s="834"/>
      <c r="K18" s="834"/>
      <c r="L18" s="834"/>
      <c r="M18" s="834"/>
      <c r="N18" s="834"/>
      <c r="O18" s="834"/>
    </row>
    <row r="19" spans="1:15" ht="15" customHeight="1">
      <c r="A19" s="842" t="s">
        <v>1313</v>
      </c>
      <c r="B19" s="842"/>
      <c r="C19" s="842"/>
      <c r="D19" s="842"/>
      <c r="E19" s="736"/>
      <c r="F19" s="452"/>
      <c r="J19" s="834"/>
      <c r="K19" s="834"/>
      <c r="L19" s="834"/>
      <c r="M19" s="834"/>
      <c r="N19" s="834"/>
      <c r="O19" s="834"/>
    </row>
    <row r="20" spans="1:15" ht="15" customHeight="1">
      <c r="A20" s="842"/>
      <c r="B20" s="842"/>
      <c r="C20" s="842"/>
      <c r="D20" s="842"/>
      <c r="E20" s="736"/>
      <c r="F20" s="452"/>
      <c r="J20" s="834"/>
      <c r="K20" s="834"/>
      <c r="L20" s="834"/>
      <c r="M20" s="834"/>
      <c r="N20" s="834"/>
      <c r="O20" s="834"/>
    </row>
    <row r="21" spans="1:15" ht="15" customHeight="1">
      <c r="A21" s="842"/>
      <c r="B21" s="842"/>
      <c r="C21" s="842"/>
      <c r="D21" s="842"/>
      <c r="E21" s="736"/>
      <c r="F21" s="452"/>
      <c r="J21" s="834"/>
      <c r="K21" s="834"/>
      <c r="L21" s="834"/>
      <c r="M21" s="834"/>
      <c r="N21" s="834"/>
      <c r="O21" s="834"/>
    </row>
    <row r="22" spans="1:15" ht="15" customHeight="1">
      <c r="A22" s="842"/>
      <c r="B22" s="842"/>
      <c r="C22" s="842"/>
      <c r="D22" s="842"/>
      <c r="E22" s="736"/>
      <c r="F22" s="450"/>
      <c r="J22" s="834"/>
      <c r="K22" s="834"/>
      <c r="L22" s="834"/>
      <c r="M22" s="834"/>
      <c r="N22" s="834"/>
      <c r="O22" s="834"/>
    </row>
    <row r="23" spans="1:15" ht="15" customHeight="1">
      <c r="A23" s="842"/>
      <c r="B23" s="842"/>
      <c r="C23" s="842"/>
      <c r="D23" s="842"/>
      <c r="E23" s="736"/>
      <c r="F23" s="450"/>
      <c r="J23" s="834"/>
      <c r="K23" s="834"/>
      <c r="L23" s="834"/>
      <c r="M23" s="834"/>
      <c r="N23" s="834"/>
      <c r="O23" s="834"/>
    </row>
    <row r="24" spans="1:15" ht="15" customHeight="1">
      <c r="A24" s="842"/>
      <c r="B24" s="842"/>
      <c r="C24" s="842"/>
      <c r="D24" s="842"/>
      <c r="E24" s="736"/>
      <c r="F24" s="450"/>
      <c r="J24" s="834"/>
      <c r="K24" s="834"/>
      <c r="L24" s="834"/>
      <c r="M24" s="834"/>
      <c r="N24" s="834"/>
      <c r="O24" s="834"/>
    </row>
    <row r="25" spans="1:15" ht="15" customHeight="1">
      <c r="A25" s="842"/>
      <c r="B25" s="842"/>
      <c r="C25" s="842"/>
      <c r="D25" s="842"/>
      <c r="E25" s="736"/>
      <c r="F25" s="450"/>
      <c r="J25" s="834"/>
      <c r="K25" s="834"/>
      <c r="L25" s="834"/>
      <c r="M25" s="834"/>
      <c r="N25" s="834"/>
      <c r="O25" s="834"/>
    </row>
    <row r="26" spans="1:15" ht="15" customHeight="1">
      <c r="A26" s="842"/>
      <c r="B26" s="842"/>
      <c r="C26" s="842"/>
      <c r="D26" s="842"/>
      <c r="E26" s="736"/>
      <c r="F26" s="450"/>
      <c r="J26" s="834"/>
      <c r="K26" s="834"/>
      <c r="L26" s="834"/>
      <c r="M26" s="834"/>
      <c r="N26" s="834"/>
      <c r="O26" s="834"/>
    </row>
    <row r="27" spans="1:6" ht="15" customHeight="1">
      <c r="A27" s="450" t="s">
        <v>1066</v>
      </c>
      <c r="B27" s="450"/>
      <c r="C27" s="450"/>
      <c r="D27" s="450"/>
      <c r="E27" s="450"/>
      <c r="F27" s="450"/>
    </row>
    <row r="28" spans="1:15" ht="15" customHeight="1">
      <c r="A28" s="843" t="s">
        <v>1067</v>
      </c>
      <c r="B28" s="843"/>
      <c r="C28" s="843"/>
      <c r="D28" s="843"/>
      <c r="E28" s="843"/>
      <c r="F28" s="843"/>
      <c r="J28" s="840"/>
      <c r="K28" s="840"/>
      <c r="L28" s="840"/>
      <c r="M28" s="840"/>
      <c r="N28" s="840"/>
      <c r="O28" s="840"/>
    </row>
    <row r="29" spans="1:15" ht="15" customHeight="1">
      <c r="A29" s="843" t="s">
        <v>1068</v>
      </c>
      <c r="B29" s="843"/>
      <c r="C29" s="843"/>
      <c r="D29" s="843"/>
      <c r="E29" s="843"/>
      <c r="F29" s="843"/>
      <c r="J29" s="840"/>
      <c r="K29" s="840"/>
      <c r="L29" s="840"/>
      <c r="M29" s="840"/>
      <c r="N29" s="840"/>
      <c r="O29" s="840"/>
    </row>
    <row r="30" spans="1:15" ht="15" customHeight="1">
      <c r="A30" s="843" t="s">
        <v>1069</v>
      </c>
      <c r="B30" s="843"/>
      <c r="C30" s="843"/>
      <c r="D30" s="843"/>
      <c r="E30" s="843"/>
      <c r="F30" s="843"/>
      <c r="J30" s="448"/>
      <c r="K30" s="448"/>
      <c r="L30" s="448"/>
      <c r="M30" s="448"/>
      <c r="N30" s="448"/>
      <c r="O30" s="448"/>
    </row>
    <row r="31" spans="1:15" ht="15" customHeight="1">
      <c r="A31" s="843" t="s">
        <v>1070</v>
      </c>
      <c r="B31" s="843"/>
      <c r="C31" s="843"/>
      <c r="D31" s="843"/>
      <c r="E31" s="843"/>
      <c r="F31" s="843"/>
      <c r="J31" s="840"/>
      <c r="K31" s="840"/>
      <c r="L31" s="840"/>
      <c r="M31" s="840"/>
      <c r="N31" s="840"/>
      <c r="O31" s="840"/>
    </row>
    <row r="32" spans="1:15" ht="15" customHeight="1">
      <c r="A32" s="843" t="s">
        <v>1074</v>
      </c>
      <c r="B32" s="843"/>
      <c r="C32" s="843"/>
      <c r="D32" s="843"/>
      <c r="E32" s="843"/>
      <c r="F32" s="843"/>
      <c r="J32" s="840"/>
      <c r="K32" s="840"/>
      <c r="L32" s="840"/>
      <c r="M32" s="840"/>
      <c r="N32" s="840"/>
      <c r="O32" s="840"/>
    </row>
    <row r="33" spans="1:6" ht="15" customHeight="1">
      <c r="A33" s="450" t="s">
        <v>1072</v>
      </c>
      <c r="B33" s="450"/>
      <c r="C33" s="450"/>
      <c r="D33" s="450"/>
      <c r="E33" s="450"/>
      <c r="F33" s="450"/>
    </row>
    <row r="34" spans="1:6" ht="15" customHeight="1">
      <c r="A34" s="450" t="s">
        <v>1073</v>
      </c>
      <c r="B34" s="450"/>
      <c r="C34" s="450"/>
      <c r="D34" s="450"/>
      <c r="E34" s="450"/>
      <c r="F34" s="450"/>
    </row>
    <row r="35" spans="1:6" ht="15" customHeight="1">
      <c r="A35" s="450"/>
      <c r="B35" s="450"/>
      <c r="C35" s="450"/>
      <c r="D35" s="450"/>
      <c r="E35" s="450"/>
      <c r="F35" s="450"/>
    </row>
    <row r="36" spans="1:6" ht="15" customHeight="1">
      <c r="A36" s="634" t="s">
        <v>1071</v>
      </c>
      <c r="B36" s="450"/>
      <c r="C36" s="450"/>
      <c r="D36" s="450"/>
      <c r="E36" s="450"/>
      <c r="F36" s="450"/>
    </row>
    <row r="37" spans="1:6" ht="15" customHeight="1">
      <c r="A37" s="450"/>
      <c r="B37" s="450"/>
      <c r="C37" s="450"/>
      <c r="D37" s="450"/>
      <c r="E37" s="450"/>
      <c r="F37" s="450"/>
    </row>
    <row r="38" spans="1:6" ht="15" customHeight="1">
      <c r="A38" s="450"/>
      <c r="B38" s="598" t="s">
        <v>1130</v>
      </c>
      <c r="C38" s="598" t="s">
        <v>1131</v>
      </c>
      <c r="D38" s="450"/>
      <c r="E38" s="450"/>
      <c r="F38" s="450"/>
    </row>
    <row r="39" spans="1:6" ht="15" customHeight="1">
      <c r="A39" s="450"/>
      <c r="B39" s="635" t="s">
        <v>1132</v>
      </c>
      <c r="C39" s="636" t="s">
        <v>1133</v>
      </c>
      <c r="D39" s="450"/>
      <c r="E39" s="450"/>
      <c r="F39" s="450"/>
    </row>
    <row r="40" spans="1:6" ht="15" customHeight="1">
      <c r="A40" s="450"/>
      <c r="B40" s="635" t="s">
        <v>1134</v>
      </c>
      <c r="C40" s="636" t="s">
        <v>1133</v>
      </c>
      <c r="D40" s="450"/>
      <c r="E40" s="450"/>
      <c r="F40" s="450"/>
    </row>
    <row r="41" spans="1:6" ht="15" customHeight="1">
      <c r="A41" s="450"/>
      <c r="B41" s="635" t="s">
        <v>1135</v>
      </c>
      <c r="C41" s="636" t="s">
        <v>1136</v>
      </c>
      <c r="D41" s="450"/>
      <c r="E41" s="450"/>
      <c r="F41" s="450"/>
    </row>
    <row r="42" spans="1:6" ht="15" customHeight="1">
      <c r="A42" s="450"/>
      <c r="B42" s="635" t="s">
        <v>1135</v>
      </c>
      <c r="C42" s="637" t="s">
        <v>1137</v>
      </c>
      <c r="D42" s="450"/>
      <c r="E42" s="450"/>
      <c r="F42" s="450"/>
    </row>
    <row r="43" spans="1:6" ht="15" customHeight="1">
      <c r="A43" s="450"/>
      <c r="B43" s="635" t="s">
        <v>1138</v>
      </c>
      <c r="C43" s="636" t="s">
        <v>1348</v>
      </c>
      <c r="D43" s="450"/>
      <c r="E43" s="450"/>
      <c r="F43" s="450"/>
    </row>
    <row r="44" spans="1:6" ht="15" customHeight="1">
      <c r="A44" s="450"/>
      <c r="B44" s="632" t="s">
        <v>1139</v>
      </c>
      <c r="C44" s="633"/>
      <c r="D44" s="450"/>
      <c r="E44" s="450"/>
      <c r="F44" s="450"/>
    </row>
    <row r="45" spans="1:6" ht="15" customHeight="1">
      <c r="A45" s="450"/>
      <c r="B45" s="638" t="s">
        <v>1140</v>
      </c>
      <c r="C45" s="639" t="s">
        <v>1141</v>
      </c>
      <c r="D45" s="450"/>
      <c r="E45" s="450"/>
      <c r="F45" s="450"/>
    </row>
    <row r="46" spans="1:6" ht="15" customHeight="1">
      <c r="A46" s="450"/>
      <c r="B46" s="638" t="str">
        <f>+'[2]Hoja1'!$L$6</f>
        <v>Gerente Gral Adjunto</v>
      </c>
      <c r="C46" s="639" t="str">
        <f>+'[2]Hoja1'!$C$6</f>
        <v>Widilfo Escobar Cikel</v>
      </c>
      <c r="D46" s="450"/>
      <c r="E46" s="450"/>
      <c r="F46" s="450"/>
    </row>
    <row r="47" spans="1:6" ht="15" customHeight="1">
      <c r="A47" s="450"/>
      <c r="B47" s="638" t="str">
        <f>+'[3]Hoja1'!$L$6</f>
        <v>Gerente Financiero</v>
      </c>
      <c r="C47" s="639" t="s">
        <v>1142</v>
      </c>
      <c r="D47" s="450"/>
      <c r="E47" s="450"/>
      <c r="F47" s="450"/>
    </row>
    <row r="48" spans="1:6" ht="15" customHeight="1">
      <c r="A48" s="450"/>
      <c r="B48" s="638" t="s">
        <v>1143</v>
      </c>
      <c r="C48" s="639" t="s">
        <v>1144</v>
      </c>
      <c r="D48" s="450"/>
      <c r="E48" s="450"/>
      <c r="F48" s="450"/>
    </row>
    <row r="49" spans="1:6" ht="15" customHeight="1">
      <c r="A49" s="450"/>
      <c r="B49" s="638" t="str">
        <f>+'[4]Hoja1'!$L$6</f>
        <v>Gerente de Informatica</v>
      </c>
      <c r="C49" s="639" t="s">
        <v>1145</v>
      </c>
      <c r="D49" s="450"/>
      <c r="E49" s="450"/>
      <c r="F49" s="450"/>
    </row>
    <row r="50" spans="1:6" ht="15" customHeight="1">
      <c r="A50" s="450"/>
      <c r="B50" s="638" t="str">
        <f>+'[5]Hoja1'!$L$6</f>
        <v>Gte. RRHH.</v>
      </c>
      <c r="C50" s="639" t="s">
        <v>1146</v>
      </c>
      <c r="D50" s="450"/>
      <c r="E50" s="450"/>
      <c r="F50" s="450"/>
    </row>
    <row r="51" spans="1:6" ht="15" customHeight="1">
      <c r="A51" s="450"/>
      <c r="B51" s="638" t="str">
        <f>+'[6]Hoja1'!$L$10</f>
        <v>Auditora</v>
      </c>
      <c r="C51" s="639" t="s">
        <v>1147</v>
      </c>
      <c r="D51" s="450"/>
      <c r="E51" s="450"/>
      <c r="F51" s="450"/>
    </row>
    <row r="52" spans="1:6" ht="15" customHeight="1">
      <c r="A52" s="450"/>
      <c r="B52" s="638" t="s">
        <v>1148</v>
      </c>
      <c r="C52" s="640" t="s">
        <v>1149</v>
      </c>
      <c r="D52" s="450"/>
      <c r="E52" s="450"/>
      <c r="F52" s="450"/>
    </row>
    <row r="53" spans="1:6" ht="15" customHeight="1">
      <c r="A53" s="450"/>
      <c r="B53" s="638" t="s">
        <v>1150</v>
      </c>
      <c r="C53" s="640" t="s">
        <v>1151</v>
      </c>
      <c r="D53" s="450"/>
      <c r="E53" s="450"/>
      <c r="F53" s="450"/>
    </row>
    <row r="54" spans="1:6" ht="15" customHeight="1">
      <c r="A54" s="450"/>
      <c r="B54" s="638" t="s">
        <v>1152</v>
      </c>
      <c r="C54" s="640" t="s">
        <v>1153</v>
      </c>
      <c r="D54" s="450"/>
      <c r="E54" s="450"/>
      <c r="F54" s="450"/>
    </row>
    <row r="55" spans="1:6" ht="15" customHeight="1">
      <c r="A55" s="450"/>
      <c r="B55" s="638" t="s">
        <v>1154</v>
      </c>
      <c r="C55" s="640" t="s">
        <v>1155</v>
      </c>
      <c r="D55" s="450"/>
      <c r="E55" s="450"/>
      <c r="F55" s="450"/>
    </row>
    <row r="56" spans="1:6" ht="15" customHeight="1">
      <c r="A56" s="450"/>
      <c r="B56" s="638" t="s">
        <v>1156</v>
      </c>
      <c r="C56" s="639" t="s">
        <v>1157</v>
      </c>
      <c r="D56" s="450"/>
      <c r="E56" s="450"/>
      <c r="F56" s="450"/>
    </row>
    <row r="57" spans="1:6" ht="15" customHeight="1">
      <c r="A57" s="450"/>
      <c r="B57" s="638" t="s">
        <v>1158</v>
      </c>
      <c r="C57" s="639" t="s">
        <v>1159</v>
      </c>
      <c r="D57" s="450"/>
      <c r="E57" s="450"/>
      <c r="F57" s="450"/>
    </row>
    <row r="58" spans="1:6" ht="15" customHeight="1">
      <c r="A58" s="450"/>
      <c r="B58" s="638" t="s">
        <v>1160</v>
      </c>
      <c r="C58" s="639" t="s">
        <v>1161</v>
      </c>
      <c r="D58" s="450"/>
      <c r="E58" s="450"/>
      <c r="F58" s="450"/>
    </row>
    <row r="59" spans="1:6" ht="15" customHeight="1">
      <c r="A59" s="450"/>
      <c r="B59" s="638" t="s">
        <v>1162</v>
      </c>
      <c r="C59" s="639" t="s">
        <v>1163</v>
      </c>
      <c r="D59" s="450"/>
      <c r="E59" s="450"/>
      <c r="F59" s="450"/>
    </row>
    <row r="60" spans="1:6" ht="15" customHeight="1">
      <c r="A60" s="790"/>
      <c r="B60" s="790"/>
      <c r="C60" s="450"/>
      <c r="D60" s="450"/>
      <c r="E60" s="450"/>
      <c r="F60" s="450"/>
    </row>
    <row r="61" spans="1:6" ht="15" customHeight="1">
      <c r="A61" s="791" t="s">
        <v>1164</v>
      </c>
      <c r="B61" s="790"/>
      <c r="C61" s="450"/>
      <c r="D61" s="450"/>
      <c r="E61" s="450"/>
      <c r="F61" s="450"/>
    </row>
    <row r="62" spans="1:6" ht="15" thickBot="1">
      <c r="A62" s="450"/>
      <c r="B62" s="450"/>
      <c r="C62" s="450"/>
      <c r="D62" s="450"/>
      <c r="E62" s="450"/>
      <c r="F62" s="450"/>
    </row>
    <row r="63" spans="1:6" ht="15.75" thickBot="1">
      <c r="A63" s="846" t="s">
        <v>1165</v>
      </c>
      <c r="B63" s="847"/>
      <c r="C63" s="847"/>
      <c r="D63" s="847"/>
      <c r="E63" s="848"/>
      <c r="F63" s="450"/>
    </row>
    <row r="64" spans="1:6" ht="15.75" thickBot="1">
      <c r="A64" s="597" t="s">
        <v>1166</v>
      </c>
      <c r="B64" s="599" t="s">
        <v>1167</v>
      </c>
      <c r="C64" s="599" t="s">
        <v>1168</v>
      </c>
      <c r="D64" s="599" t="s">
        <v>1169</v>
      </c>
      <c r="E64" s="599" t="s">
        <v>1170</v>
      </c>
      <c r="F64" s="450"/>
    </row>
    <row r="65" spans="1:6" ht="15">
      <c r="A65" s="600"/>
      <c r="B65" s="601"/>
      <c r="C65" s="601"/>
      <c r="D65" s="601"/>
      <c r="E65" s="602"/>
      <c r="F65" s="450"/>
    </row>
    <row r="66" spans="1:6" ht="15" thickBot="1">
      <c r="A66" s="603">
        <v>250000000000</v>
      </c>
      <c r="B66" s="603">
        <v>150000000000</v>
      </c>
      <c r="C66" s="603">
        <v>134682000000</v>
      </c>
      <c r="D66" s="603">
        <v>134682000000</v>
      </c>
      <c r="E66" s="603">
        <v>1000000</v>
      </c>
      <c r="F66" s="450"/>
    </row>
    <row r="67" spans="1:6" ht="15" thickBot="1">
      <c r="A67" s="450"/>
      <c r="B67" s="450"/>
      <c r="C67" s="450"/>
      <c r="D67" s="450"/>
      <c r="E67" s="450"/>
      <c r="F67" s="450"/>
    </row>
    <row r="68" spans="1:9" s="655" customFormat="1" ht="15" customHeight="1" thickBot="1">
      <c r="A68" s="835" t="s">
        <v>1226</v>
      </c>
      <c r="B68" s="836"/>
      <c r="C68" s="836"/>
      <c r="D68" s="836"/>
      <c r="E68" s="836"/>
      <c r="F68" s="836"/>
      <c r="G68" s="836"/>
      <c r="H68" s="837"/>
      <c r="I68" s="641"/>
    </row>
    <row r="69" spans="1:9" s="655" customFormat="1" ht="15" thickBot="1">
      <c r="A69" s="844"/>
      <c r="B69" s="844"/>
      <c r="C69" s="844"/>
      <c r="D69" s="844"/>
      <c r="E69" s="844"/>
      <c r="F69" s="844"/>
      <c r="G69" s="844"/>
      <c r="H69" s="844"/>
      <c r="I69" s="641"/>
    </row>
    <row r="70" spans="1:9" s="655" customFormat="1" ht="15" thickBot="1">
      <c r="A70" s="657" t="s">
        <v>1172</v>
      </c>
      <c r="B70" s="658" t="s">
        <v>1173</v>
      </c>
      <c r="C70" s="658" t="s">
        <v>1174</v>
      </c>
      <c r="D70" s="658" t="s">
        <v>1175</v>
      </c>
      <c r="E70" s="658" t="s">
        <v>1176</v>
      </c>
      <c r="F70" s="658" t="s">
        <v>1177</v>
      </c>
      <c r="G70" s="658" t="s">
        <v>882</v>
      </c>
      <c r="H70" s="658" t="s">
        <v>1227</v>
      </c>
      <c r="I70" s="641"/>
    </row>
    <row r="71" spans="1:9" s="655" customFormat="1" ht="15" thickBot="1">
      <c r="A71" s="659">
        <v>1</v>
      </c>
      <c r="B71" s="660" t="s">
        <v>1202</v>
      </c>
      <c r="C71" s="661" t="s">
        <v>1203</v>
      </c>
      <c r="D71" s="662">
        <v>7200</v>
      </c>
      <c r="E71" s="663" t="s">
        <v>1182</v>
      </c>
      <c r="F71" s="662">
        <f>+D71*5</f>
        <v>36000</v>
      </c>
      <c r="G71" s="664">
        <v>7200000000</v>
      </c>
      <c r="H71" s="788">
        <f>G71/G122</f>
        <v>0.05345925958925469</v>
      </c>
      <c r="I71" s="641"/>
    </row>
    <row r="72" spans="1:9" s="655" customFormat="1" ht="15" thickBot="1">
      <c r="A72" s="659">
        <f aca="true" t="shared" si="0" ref="A72:A116">+A71+1</f>
        <v>2</v>
      </c>
      <c r="B72" s="666" t="s">
        <v>1120</v>
      </c>
      <c r="C72" s="661" t="s">
        <v>1218</v>
      </c>
      <c r="D72" s="667">
        <v>8200</v>
      </c>
      <c r="E72" s="668" t="s">
        <v>1182</v>
      </c>
      <c r="F72" s="667">
        <f>+D72*5</f>
        <v>41000</v>
      </c>
      <c r="G72" s="664">
        <v>8200000000</v>
      </c>
      <c r="H72" s="788">
        <f>G72/G122</f>
        <v>0.06088415675442895</v>
      </c>
      <c r="I72" s="641"/>
    </row>
    <row r="73" spans="1:9" s="655" customFormat="1" ht="15" thickBot="1">
      <c r="A73" s="659">
        <f t="shared" si="0"/>
        <v>3</v>
      </c>
      <c r="B73" s="666" t="s">
        <v>1180</v>
      </c>
      <c r="C73" s="661" t="s">
        <v>1181</v>
      </c>
      <c r="D73" s="667">
        <v>3800</v>
      </c>
      <c r="E73" s="668" t="s">
        <v>1182</v>
      </c>
      <c r="F73" s="667">
        <f>+D73*5</f>
        <v>19000</v>
      </c>
      <c r="G73" s="664">
        <v>3800000000</v>
      </c>
      <c r="H73" s="788">
        <f>G73/G122</f>
        <v>0.028214609227662196</v>
      </c>
      <c r="I73" s="641"/>
    </row>
    <row r="74" spans="1:9" s="655" customFormat="1" ht="15" thickBot="1">
      <c r="A74" s="659">
        <f t="shared" si="0"/>
        <v>4</v>
      </c>
      <c r="B74" s="666" t="s">
        <v>1180</v>
      </c>
      <c r="C74" s="661" t="s">
        <v>1183</v>
      </c>
      <c r="D74" s="667">
        <v>400</v>
      </c>
      <c r="E74" s="668" t="s">
        <v>1182</v>
      </c>
      <c r="F74" s="667">
        <f>+D74*5</f>
        <v>2000</v>
      </c>
      <c r="G74" s="664">
        <v>400000000</v>
      </c>
      <c r="H74" s="788">
        <f>G74/G122</f>
        <v>0.002969958866069705</v>
      </c>
      <c r="I74" s="641"/>
    </row>
    <row r="75" spans="1:9" s="655" customFormat="1" ht="15" thickBot="1">
      <c r="A75" s="659">
        <f t="shared" si="0"/>
        <v>5</v>
      </c>
      <c r="B75" s="666" t="s">
        <v>1120</v>
      </c>
      <c r="C75" s="661" t="s">
        <v>1219</v>
      </c>
      <c r="D75" s="667">
        <v>400</v>
      </c>
      <c r="E75" s="668" t="s">
        <v>1182</v>
      </c>
      <c r="F75" s="667">
        <f>+D75*5</f>
        <v>2000</v>
      </c>
      <c r="G75" s="664">
        <v>400000000</v>
      </c>
      <c r="H75" s="788">
        <f>G75/$G122</f>
        <v>0.002969958866069705</v>
      </c>
      <c r="I75" s="641"/>
    </row>
    <row r="76" spans="1:9" s="655" customFormat="1" ht="26.25" thickBot="1">
      <c r="A76" s="659">
        <f t="shared" si="0"/>
        <v>6</v>
      </c>
      <c r="B76" s="666" t="s">
        <v>1228</v>
      </c>
      <c r="C76" s="661" t="s">
        <v>1229</v>
      </c>
      <c r="D76" s="667">
        <v>700</v>
      </c>
      <c r="E76" s="668" t="s">
        <v>1185</v>
      </c>
      <c r="F76" s="667">
        <v>0</v>
      </c>
      <c r="G76" s="664">
        <v>700000000</v>
      </c>
      <c r="H76" s="788">
        <f>G76/G122</f>
        <v>0.005197428015621983</v>
      </c>
      <c r="I76" s="641"/>
    </row>
    <row r="77" spans="1:9" s="655" customFormat="1" ht="15" thickBot="1">
      <c r="A77" s="659">
        <f t="shared" si="0"/>
        <v>7</v>
      </c>
      <c r="B77" s="666" t="s">
        <v>1180</v>
      </c>
      <c r="C77" s="661" t="s">
        <v>1184</v>
      </c>
      <c r="D77" s="667">
        <v>400</v>
      </c>
      <c r="E77" s="668" t="s">
        <v>1185</v>
      </c>
      <c r="F77" s="667">
        <v>0</v>
      </c>
      <c r="G77" s="664">
        <v>400000000</v>
      </c>
      <c r="H77" s="788">
        <f>G77/G122</f>
        <v>0.002969958866069705</v>
      </c>
      <c r="I77" s="641"/>
    </row>
    <row r="78" spans="1:9" s="655" customFormat="1" ht="15" thickBot="1">
      <c r="A78" s="659">
        <f t="shared" si="0"/>
        <v>8</v>
      </c>
      <c r="B78" s="666" t="s">
        <v>1230</v>
      </c>
      <c r="C78" s="661" t="s">
        <v>1231</v>
      </c>
      <c r="D78" s="667">
        <v>1260</v>
      </c>
      <c r="E78" s="668" t="s">
        <v>1187</v>
      </c>
      <c r="F78" s="667">
        <v>0</v>
      </c>
      <c r="G78" s="664">
        <v>1260000000</v>
      </c>
      <c r="H78" s="788">
        <f>G78/G122</f>
        <v>0.009355370428119571</v>
      </c>
      <c r="I78" s="641"/>
    </row>
    <row r="79" spans="1:9" s="655" customFormat="1" ht="15" thickBot="1">
      <c r="A79" s="659">
        <f t="shared" si="0"/>
        <v>9</v>
      </c>
      <c r="B79" s="666" t="s">
        <v>1180</v>
      </c>
      <c r="C79" s="661" t="s">
        <v>1186</v>
      </c>
      <c r="D79" s="667">
        <v>940</v>
      </c>
      <c r="E79" s="668" t="s">
        <v>1187</v>
      </c>
      <c r="F79" s="667">
        <v>0</v>
      </c>
      <c r="G79" s="664">
        <v>940000000</v>
      </c>
      <c r="H79" s="788">
        <f>G79/G122</f>
        <v>0.006979403335263807</v>
      </c>
      <c r="I79" s="641"/>
    </row>
    <row r="80" spans="1:9" s="655" customFormat="1" ht="15" thickBot="1">
      <c r="A80" s="659">
        <f t="shared" si="0"/>
        <v>10</v>
      </c>
      <c r="B80" s="666" t="s">
        <v>1232</v>
      </c>
      <c r="C80" s="661" t="s">
        <v>1233</v>
      </c>
      <c r="D80" s="667">
        <v>200</v>
      </c>
      <c r="E80" s="668" t="s">
        <v>1187</v>
      </c>
      <c r="F80" s="667">
        <v>0</v>
      </c>
      <c r="G80" s="664">
        <v>200000000</v>
      </c>
      <c r="H80" s="788">
        <f>G80/G122</f>
        <v>0.0014849794330348525</v>
      </c>
      <c r="I80" s="641"/>
    </row>
    <row r="81" spans="1:9" s="655" customFormat="1" ht="15" thickBot="1">
      <c r="A81" s="659">
        <f t="shared" si="0"/>
        <v>11</v>
      </c>
      <c r="B81" s="660" t="s">
        <v>1234</v>
      </c>
      <c r="C81" s="661" t="s">
        <v>1235</v>
      </c>
      <c r="D81" s="667">
        <v>1200</v>
      </c>
      <c r="E81" s="668" t="s">
        <v>1236</v>
      </c>
      <c r="F81" s="667">
        <v>0</v>
      </c>
      <c r="G81" s="664">
        <v>1200000000</v>
      </c>
      <c r="H81" s="788">
        <f>G81/G122</f>
        <v>0.008909876598209115</v>
      </c>
      <c r="I81" s="641"/>
    </row>
    <row r="82" spans="1:9" s="655" customFormat="1" ht="26.25" thickBot="1">
      <c r="A82" s="659">
        <f t="shared" si="0"/>
        <v>12</v>
      </c>
      <c r="B82" s="666" t="s">
        <v>1237</v>
      </c>
      <c r="C82" s="661" t="s">
        <v>1238</v>
      </c>
      <c r="D82" s="667">
        <v>365</v>
      </c>
      <c r="E82" s="668" t="s">
        <v>1189</v>
      </c>
      <c r="F82" s="667">
        <v>0</v>
      </c>
      <c r="G82" s="664">
        <v>365000000</v>
      </c>
      <c r="H82" s="788">
        <f>G82/G122</f>
        <v>0.0027100874652886057</v>
      </c>
      <c r="I82" s="641"/>
    </row>
    <row r="83" spans="1:9" s="655" customFormat="1" ht="15" thickBot="1">
      <c r="A83" s="659">
        <f t="shared" si="0"/>
        <v>13</v>
      </c>
      <c r="B83" s="666" t="s">
        <v>1239</v>
      </c>
      <c r="C83" s="661" t="s">
        <v>1240</v>
      </c>
      <c r="D83" s="667">
        <v>135</v>
      </c>
      <c r="E83" s="668" t="s">
        <v>1189</v>
      </c>
      <c r="F83" s="667">
        <v>0</v>
      </c>
      <c r="G83" s="664">
        <v>135000000</v>
      </c>
      <c r="H83" s="788">
        <f>G83/G122</f>
        <v>0.0010023611172985255</v>
      </c>
      <c r="I83" s="641"/>
    </row>
    <row r="84" spans="1:9" s="655" customFormat="1" ht="15" thickBot="1">
      <c r="A84" s="659">
        <f t="shared" si="0"/>
        <v>14</v>
      </c>
      <c r="B84" s="666" t="s">
        <v>1180</v>
      </c>
      <c r="C84" s="661" t="s">
        <v>1188</v>
      </c>
      <c r="D84" s="667">
        <v>400</v>
      </c>
      <c r="E84" s="668" t="s">
        <v>1189</v>
      </c>
      <c r="F84" s="667">
        <v>0</v>
      </c>
      <c r="G84" s="664">
        <v>400000000</v>
      </c>
      <c r="H84" s="788">
        <f>G84/G122</f>
        <v>0.002969958866069705</v>
      </c>
      <c r="I84" s="641"/>
    </row>
    <row r="85" spans="1:9" s="655" customFormat="1" ht="15" thickBot="1">
      <c r="A85" s="659">
        <f t="shared" si="0"/>
        <v>15</v>
      </c>
      <c r="B85" s="666" t="s">
        <v>1241</v>
      </c>
      <c r="C85" s="661" t="s">
        <v>1242</v>
      </c>
      <c r="D85" s="667">
        <v>2410</v>
      </c>
      <c r="E85" s="668" t="s">
        <v>1243</v>
      </c>
      <c r="F85" s="667">
        <v>0</v>
      </c>
      <c r="G85" s="664">
        <v>2410000000</v>
      </c>
      <c r="H85" s="788">
        <f>G85/G122</f>
        <v>0.017894002168069974</v>
      </c>
      <c r="I85" s="641"/>
    </row>
    <row r="86" spans="1:9" s="655" customFormat="1" ht="15" thickBot="1">
      <c r="A86" s="659">
        <f t="shared" si="0"/>
        <v>16</v>
      </c>
      <c r="B86" s="666" t="s">
        <v>1244</v>
      </c>
      <c r="C86" s="661" t="s">
        <v>1245</v>
      </c>
      <c r="D86" s="667">
        <v>200</v>
      </c>
      <c r="E86" s="668" t="s">
        <v>1243</v>
      </c>
      <c r="F86" s="667">
        <v>0</v>
      </c>
      <c r="G86" s="664">
        <v>200000000</v>
      </c>
      <c r="H86" s="788">
        <f>G86/G122</f>
        <v>0.0014849794330348525</v>
      </c>
      <c r="I86" s="641"/>
    </row>
    <row r="87" spans="1:9" s="655" customFormat="1" ht="15" thickBot="1">
      <c r="A87" s="659">
        <f t="shared" si="0"/>
        <v>17</v>
      </c>
      <c r="B87" s="666" t="s">
        <v>1246</v>
      </c>
      <c r="C87" s="661" t="s">
        <v>1247</v>
      </c>
      <c r="D87" s="667">
        <v>200</v>
      </c>
      <c r="E87" s="668" t="s">
        <v>1243</v>
      </c>
      <c r="F87" s="667">
        <v>0</v>
      </c>
      <c r="G87" s="664">
        <v>200000000</v>
      </c>
      <c r="H87" s="788">
        <f>G87/G122</f>
        <v>0.0014849794330348525</v>
      </c>
      <c r="I87" s="641"/>
    </row>
    <row r="88" spans="1:9" s="655" customFormat="1" ht="15" thickBot="1">
      <c r="A88" s="659">
        <f t="shared" si="0"/>
        <v>18</v>
      </c>
      <c r="B88" s="666" t="s">
        <v>1248</v>
      </c>
      <c r="C88" s="661" t="s">
        <v>1249</v>
      </c>
      <c r="D88" s="667">
        <v>70</v>
      </c>
      <c r="E88" s="668" t="s">
        <v>1243</v>
      </c>
      <c r="F88" s="667">
        <v>0</v>
      </c>
      <c r="G88" s="664">
        <v>70000000</v>
      </c>
      <c r="H88" s="788">
        <f>G88/G122</f>
        <v>0.0005197428015621984</v>
      </c>
      <c r="I88" s="641"/>
    </row>
    <row r="89" spans="1:9" s="655" customFormat="1" ht="15" thickBot="1">
      <c r="A89" s="659">
        <f t="shared" si="0"/>
        <v>19</v>
      </c>
      <c r="B89" s="666" t="s">
        <v>1248</v>
      </c>
      <c r="C89" s="661" t="s">
        <v>1250</v>
      </c>
      <c r="D89" s="667">
        <v>200</v>
      </c>
      <c r="E89" s="668" t="s">
        <v>1243</v>
      </c>
      <c r="F89" s="667">
        <v>0</v>
      </c>
      <c r="G89" s="664">
        <v>200000000</v>
      </c>
      <c r="H89" s="788">
        <f>G89/G122</f>
        <v>0.0014849794330348525</v>
      </c>
      <c r="I89" s="641"/>
    </row>
    <row r="90" spans="1:9" s="655" customFormat="1" ht="15" thickBot="1">
      <c r="A90" s="659">
        <f t="shared" si="0"/>
        <v>20</v>
      </c>
      <c r="B90" s="660" t="s">
        <v>1251</v>
      </c>
      <c r="C90" s="661" t="s">
        <v>1252</v>
      </c>
      <c r="D90" s="667">
        <v>220</v>
      </c>
      <c r="E90" s="668" t="s">
        <v>1243</v>
      </c>
      <c r="F90" s="667">
        <v>0</v>
      </c>
      <c r="G90" s="664">
        <v>220000000</v>
      </c>
      <c r="H90" s="788">
        <f>G90/G122</f>
        <v>0.0016334773763383378</v>
      </c>
      <c r="I90" s="641"/>
    </row>
    <row r="91" spans="1:9" s="655" customFormat="1" ht="15" thickBot="1">
      <c r="A91" s="659">
        <f t="shared" si="0"/>
        <v>21</v>
      </c>
      <c r="B91" s="669" t="s">
        <v>1133</v>
      </c>
      <c r="C91" s="670" t="s">
        <v>1211</v>
      </c>
      <c r="D91" s="671">
        <v>1000</v>
      </c>
      <c r="E91" s="672" t="s">
        <v>1199</v>
      </c>
      <c r="F91" s="671"/>
      <c r="G91" s="673">
        <f>+D91*1000000</f>
        <v>1000000000</v>
      </c>
      <c r="H91" s="788">
        <f>G91/G122</f>
        <v>0.007424897165174262</v>
      </c>
      <c r="I91" s="641"/>
    </row>
    <row r="92" spans="1:9" s="655" customFormat="1" ht="15" thickBot="1">
      <c r="A92" s="659">
        <f t="shared" si="0"/>
        <v>22</v>
      </c>
      <c r="B92" s="669" t="s">
        <v>1133</v>
      </c>
      <c r="C92" s="670" t="s">
        <v>1212</v>
      </c>
      <c r="D92" s="671">
        <v>944</v>
      </c>
      <c r="E92" s="672" t="s">
        <v>1199</v>
      </c>
      <c r="F92" s="671"/>
      <c r="G92" s="673">
        <f>+D92*1000000</f>
        <v>944000000</v>
      </c>
      <c r="H92" s="788">
        <f>G92/G122</f>
        <v>0.0070091029239245034</v>
      </c>
      <c r="I92" s="641"/>
    </row>
    <row r="93" spans="1:9" s="655" customFormat="1" ht="15" thickBot="1">
      <c r="A93" s="659">
        <f t="shared" si="0"/>
        <v>23</v>
      </c>
      <c r="B93" s="669" t="s">
        <v>1213</v>
      </c>
      <c r="C93" s="670" t="s">
        <v>1214</v>
      </c>
      <c r="D93" s="671">
        <v>2322</v>
      </c>
      <c r="E93" s="672" t="s">
        <v>1199</v>
      </c>
      <c r="F93" s="671"/>
      <c r="G93" s="673">
        <f>+D93*1000000</f>
        <v>2322000000</v>
      </c>
      <c r="H93" s="788">
        <f>G93/G122</f>
        <v>0.017240611217534636</v>
      </c>
      <c r="I93" s="641"/>
    </row>
    <row r="94" spans="1:9" s="655" customFormat="1" ht="15" thickBot="1">
      <c r="A94" s="659">
        <f t="shared" si="0"/>
        <v>24</v>
      </c>
      <c r="B94" s="669" t="s">
        <v>1253</v>
      </c>
      <c r="C94" s="670" t="s">
        <v>1198</v>
      </c>
      <c r="D94" s="671">
        <v>1134</v>
      </c>
      <c r="E94" s="672" t="s">
        <v>1199</v>
      </c>
      <c r="F94" s="671"/>
      <c r="G94" s="673">
        <f>+D94*1000000</f>
        <v>1134000000</v>
      </c>
      <c r="H94" s="788">
        <f>G94/G122</f>
        <v>0.008419833385307614</v>
      </c>
      <c r="I94" s="641"/>
    </row>
    <row r="95" spans="1:9" s="655" customFormat="1" ht="15" thickBot="1">
      <c r="A95" s="659">
        <f t="shared" si="0"/>
        <v>25</v>
      </c>
      <c r="B95" s="666" t="s">
        <v>1254</v>
      </c>
      <c r="C95" s="661" t="s">
        <v>1255</v>
      </c>
      <c r="D95" s="667">
        <v>3750</v>
      </c>
      <c r="E95" s="668" t="s">
        <v>1207</v>
      </c>
      <c r="F95" s="667">
        <v>0</v>
      </c>
      <c r="G95" s="664">
        <v>3750000000</v>
      </c>
      <c r="H95" s="788">
        <f>G95/G122</f>
        <v>0.027843364369403482</v>
      </c>
      <c r="I95" s="641"/>
    </row>
    <row r="96" spans="1:9" s="655" customFormat="1" ht="15" thickBot="1">
      <c r="A96" s="659">
        <f t="shared" si="0"/>
        <v>26</v>
      </c>
      <c r="B96" s="666" t="s">
        <v>1256</v>
      </c>
      <c r="C96" s="661" t="s">
        <v>1257</v>
      </c>
      <c r="D96" s="667">
        <v>1950</v>
      </c>
      <c r="E96" s="668" t="s">
        <v>1207</v>
      </c>
      <c r="F96" s="667">
        <v>0</v>
      </c>
      <c r="G96" s="664">
        <v>1950000000</v>
      </c>
      <c r="H96" s="788">
        <f>G96/G122</f>
        <v>0.014478549472089812</v>
      </c>
      <c r="I96" s="641"/>
    </row>
    <row r="97" spans="1:9" s="655" customFormat="1" ht="15" thickBot="1">
      <c r="A97" s="659">
        <f t="shared" si="0"/>
        <v>27</v>
      </c>
      <c r="B97" s="674" t="s">
        <v>1202</v>
      </c>
      <c r="C97" s="661" t="s">
        <v>1204</v>
      </c>
      <c r="D97" s="667">
        <f>3750+1950</f>
        <v>5700</v>
      </c>
      <c r="E97" s="668" t="s">
        <v>1199</v>
      </c>
      <c r="F97" s="667">
        <v>0</v>
      </c>
      <c r="G97" s="664">
        <v>5700000000</v>
      </c>
      <c r="H97" s="788">
        <f>G97/G122</f>
        <v>0.042321913841493294</v>
      </c>
      <c r="I97" s="641"/>
    </row>
    <row r="98" spans="1:9" s="655" customFormat="1" ht="15" thickBot="1">
      <c r="A98" s="659">
        <f t="shared" si="0"/>
        <v>28</v>
      </c>
      <c r="B98" s="674" t="s">
        <v>1202</v>
      </c>
      <c r="C98" s="670" t="s">
        <v>1205</v>
      </c>
      <c r="D98" s="671">
        <v>3600</v>
      </c>
      <c r="E98" s="672" t="s">
        <v>1191</v>
      </c>
      <c r="F98" s="671">
        <v>0</v>
      </c>
      <c r="G98" s="673">
        <v>3600000000</v>
      </c>
      <c r="H98" s="788">
        <f>G98/G122</f>
        <v>0.026729629794627344</v>
      </c>
      <c r="I98" s="641"/>
    </row>
    <row r="99" spans="1:9" s="655" customFormat="1" ht="15" thickBot="1">
      <c r="A99" s="659">
        <f t="shared" si="0"/>
        <v>29</v>
      </c>
      <c r="B99" s="669" t="s">
        <v>1213</v>
      </c>
      <c r="C99" s="670" t="s">
        <v>1215</v>
      </c>
      <c r="D99" s="671">
        <v>4300</v>
      </c>
      <c r="E99" s="672" t="s">
        <v>1191</v>
      </c>
      <c r="F99" s="671">
        <v>0</v>
      </c>
      <c r="G99" s="673">
        <v>4300000000</v>
      </c>
      <c r="H99" s="788">
        <f>G99/G122</f>
        <v>0.03192705781024933</v>
      </c>
      <c r="I99" s="641"/>
    </row>
    <row r="100" spans="1:9" s="655" customFormat="1" ht="15" thickBot="1">
      <c r="A100" s="659">
        <f t="shared" si="0"/>
        <v>30</v>
      </c>
      <c r="B100" s="669" t="s">
        <v>1180</v>
      </c>
      <c r="C100" s="670" t="s">
        <v>1190</v>
      </c>
      <c r="D100" s="671">
        <v>2100</v>
      </c>
      <c r="E100" s="672" t="s">
        <v>1191</v>
      </c>
      <c r="F100" s="671">
        <v>0</v>
      </c>
      <c r="G100" s="673">
        <v>2100000000</v>
      </c>
      <c r="H100" s="788">
        <f>G100/G122</f>
        <v>0.015592284046865952</v>
      </c>
      <c r="I100" s="641"/>
    </row>
    <row r="101" spans="1:9" s="655" customFormat="1" ht="15" thickBot="1">
      <c r="A101" s="659">
        <f t="shared" si="0"/>
        <v>31</v>
      </c>
      <c r="B101" s="674" t="s">
        <v>1202</v>
      </c>
      <c r="C101" s="670" t="s">
        <v>1206</v>
      </c>
      <c r="D101" s="671">
        <v>4300</v>
      </c>
      <c r="E101" s="672" t="s">
        <v>1207</v>
      </c>
      <c r="F101" s="673">
        <v>0</v>
      </c>
      <c r="G101" s="673">
        <f aca="true" t="shared" si="1" ref="G101:G116">+D101*1000000</f>
        <v>4300000000</v>
      </c>
      <c r="H101" s="788">
        <f>G101/G122</f>
        <v>0.03192705781024933</v>
      </c>
      <c r="I101" s="641"/>
    </row>
    <row r="102" spans="1:9" s="655" customFormat="1" ht="15" thickBot="1">
      <c r="A102" s="659">
        <f t="shared" si="0"/>
        <v>32</v>
      </c>
      <c r="B102" s="674" t="s">
        <v>1202</v>
      </c>
      <c r="C102" s="670" t="s">
        <v>1208</v>
      </c>
      <c r="D102" s="671">
        <v>3600</v>
      </c>
      <c r="E102" s="675" t="s">
        <v>1182</v>
      </c>
      <c r="F102" s="673">
        <f>+D102*5</f>
        <v>18000</v>
      </c>
      <c r="G102" s="673">
        <f t="shared" si="1"/>
        <v>3600000000</v>
      </c>
      <c r="H102" s="788">
        <f>G102/G122</f>
        <v>0.026729629794627344</v>
      </c>
      <c r="I102" s="641"/>
    </row>
    <row r="103" spans="1:9" s="655" customFormat="1" ht="15" thickBot="1">
      <c r="A103" s="659">
        <f t="shared" si="0"/>
        <v>33</v>
      </c>
      <c r="B103" s="666" t="s">
        <v>1120</v>
      </c>
      <c r="C103" s="670" t="s">
        <v>1220</v>
      </c>
      <c r="D103" s="671">
        <v>4100</v>
      </c>
      <c r="E103" s="675" t="s">
        <v>1182</v>
      </c>
      <c r="F103" s="673">
        <f>+D103*5</f>
        <v>20500</v>
      </c>
      <c r="G103" s="673">
        <f t="shared" si="1"/>
        <v>4100000000</v>
      </c>
      <c r="H103" s="788">
        <f>G103/G122</f>
        <v>0.030442078377214476</v>
      </c>
      <c r="I103" s="641"/>
    </row>
    <row r="104" spans="1:9" s="655" customFormat="1" ht="15" thickBot="1">
      <c r="A104" s="659">
        <f t="shared" si="0"/>
        <v>34</v>
      </c>
      <c r="B104" s="669" t="s">
        <v>1180</v>
      </c>
      <c r="C104" s="670" t="s">
        <v>1192</v>
      </c>
      <c r="D104" s="671">
        <v>1900</v>
      </c>
      <c r="E104" s="675" t="s">
        <v>1182</v>
      </c>
      <c r="F104" s="673">
        <f>+D104*5</f>
        <v>9500</v>
      </c>
      <c r="G104" s="673">
        <f t="shared" si="1"/>
        <v>1900000000</v>
      </c>
      <c r="H104" s="788">
        <f>G104/G122</f>
        <v>0.014107304613831098</v>
      </c>
      <c r="I104" s="641"/>
    </row>
    <row r="105" spans="1:9" s="655" customFormat="1" ht="15" thickBot="1">
      <c r="A105" s="659">
        <f t="shared" si="0"/>
        <v>35</v>
      </c>
      <c r="B105" s="669" t="s">
        <v>1180</v>
      </c>
      <c r="C105" s="670" t="s">
        <v>1193</v>
      </c>
      <c r="D105" s="671">
        <v>200</v>
      </c>
      <c r="E105" s="675" t="s">
        <v>1182</v>
      </c>
      <c r="F105" s="673">
        <f>+D105*5</f>
        <v>1000</v>
      </c>
      <c r="G105" s="673">
        <f t="shared" si="1"/>
        <v>200000000</v>
      </c>
      <c r="H105" s="788">
        <f>G105/G122</f>
        <v>0.0014849794330348525</v>
      </c>
      <c r="I105" s="641"/>
    </row>
    <row r="106" spans="1:9" s="655" customFormat="1" ht="15" thickBot="1">
      <c r="A106" s="659">
        <f t="shared" si="0"/>
        <v>36</v>
      </c>
      <c r="B106" s="666" t="s">
        <v>1120</v>
      </c>
      <c r="C106" s="670" t="s">
        <v>1221</v>
      </c>
      <c r="D106" s="671">
        <v>200</v>
      </c>
      <c r="E106" s="675" t="s">
        <v>1182</v>
      </c>
      <c r="F106" s="673">
        <f>+D106*5</f>
        <v>1000</v>
      </c>
      <c r="G106" s="673">
        <f t="shared" si="1"/>
        <v>200000000</v>
      </c>
      <c r="H106" s="788">
        <f>G106/G122</f>
        <v>0.0014849794330348525</v>
      </c>
      <c r="I106" s="641"/>
    </row>
    <row r="107" spans="1:9" s="655" customFormat="1" ht="15" thickBot="1">
      <c r="A107" s="659">
        <f t="shared" si="0"/>
        <v>37</v>
      </c>
      <c r="B107" s="674" t="s">
        <v>1202</v>
      </c>
      <c r="C107" s="670" t="s">
        <v>1209</v>
      </c>
      <c r="D107" s="671">
        <v>5000</v>
      </c>
      <c r="E107" s="672" t="s">
        <v>1207</v>
      </c>
      <c r="F107" s="673">
        <v>0</v>
      </c>
      <c r="G107" s="673">
        <f t="shared" si="1"/>
        <v>5000000000</v>
      </c>
      <c r="H107" s="788">
        <f>G107/G122</f>
        <v>0.037124485825871315</v>
      </c>
      <c r="I107" s="641"/>
    </row>
    <row r="108" spans="1:9" s="655" customFormat="1" ht="15" thickBot="1">
      <c r="A108" s="659">
        <f t="shared" si="0"/>
        <v>38</v>
      </c>
      <c r="B108" s="669" t="s">
        <v>1213</v>
      </c>
      <c r="C108" s="670" t="s">
        <v>1216</v>
      </c>
      <c r="D108" s="671">
        <v>17000</v>
      </c>
      <c r="E108" s="672" t="s">
        <v>1217</v>
      </c>
      <c r="F108" s="673">
        <v>0</v>
      </c>
      <c r="G108" s="673">
        <f t="shared" si="1"/>
        <v>17000000000</v>
      </c>
      <c r="H108" s="788">
        <f>G108/G122</f>
        <v>0.12622325180796246</v>
      </c>
      <c r="I108" s="641"/>
    </row>
    <row r="109" spans="1:9" s="655" customFormat="1" ht="26.25" thickBot="1">
      <c r="A109" s="659">
        <f t="shared" si="0"/>
        <v>39</v>
      </c>
      <c r="B109" s="669" t="s">
        <v>1272</v>
      </c>
      <c r="C109" s="676" t="s">
        <v>1194</v>
      </c>
      <c r="D109" s="677">
        <v>5000</v>
      </c>
      <c r="E109" s="675" t="s">
        <v>1195</v>
      </c>
      <c r="F109" s="678">
        <v>0</v>
      </c>
      <c r="G109" s="678">
        <f t="shared" si="1"/>
        <v>5000000000</v>
      </c>
      <c r="H109" s="788">
        <f>G109/G122</f>
        <v>0.037124485825871315</v>
      </c>
      <c r="I109" s="641"/>
    </row>
    <row r="110" spans="1:9" s="655" customFormat="1" ht="15" thickBot="1">
      <c r="A110" s="659">
        <f t="shared" si="0"/>
        <v>40</v>
      </c>
      <c r="B110" s="669" t="s">
        <v>1180</v>
      </c>
      <c r="C110" s="670" t="s">
        <v>1196</v>
      </c>
      <c r="D110" s="671">
        <v>2188</v>
      </c>
      <c r="E110" s="672" t="s">
        <v>1195</v>
      </c>
      <c r="F110" s="673">
        <v>0</v>
      </c>
      <c r="G110" s="673">
        <f t="shared" si="1"/>
        <v>2188000000</v>
      </c>
      <c r="H110" s="788">
        <f>G110/G122</f>
        <v>0.016245674997401285</v>
      </c>
      <c r="I110" s="641"/>
    </row>
    <row r="111" spans="1:9" s="655" customFormat="1" ht="15" thickBot="1">
      <c r="A111" s="659">
        <f t="shared" si="0"/>
        <v>41</v>
      </c>
      <c r="B111" s="669" t="s">
        <v>1180</v>
      </c>
      <c r="C111" s="670" t="s">
        <v>1201</v>
      </c>
      <c r="D111" s="671">
        <v>132</v>
      </c>
      <c r="E111" s="672" t="s">
        <v>1195</v>
      </c>
      <c r="F111" s="673">
        <v>0</v>
      </c>
      <c r="G111" s="678">
        <f t="shared" si="1"/>
        <v>132000000</v>
      </c>
      <c r="H111" s="788">
        <f>G111/G122</f>
        <v>0.0009800864258030027</v>
      </c>
      <c r="I111" s="641"/>
    </row>
    <row r="112" spans="1:9" s="655" customFormat="1" ht="15" thickBot="1">
      <c r="A112" s="659">
        <f t="shared" si="0"/>
        <v>42</v>
      </c>
      <c r="B112" s="669" t="s">
        <v>1258</v>
      </c>
      <c r="C112" s="676" t="s">
        <v>1259</v>
      </c>
      <c r="D112" s="677">
        <v>300</v>
      </c>
      <c r="E112" s="672" t="s">
        <v>1195</v>
      </c>
      <c r="F112" s="678">
        <v>0</v>
      </c>
      <c r="G112" s="678">
        <f t="shared" si="1"/>
        <v>300000000</v>
      </c>
      <c r="H112" s="788">
        <f>G112/G122</f>
        <v>0.0022274691495522787</v>
      </c>
      <c r="I112" s="641"/>
    </row>
    <row r="113" spans="1:9" s="655" customFormat="1" ht="15" thickBot="1">
      <c r="A113" s="659">
        <f t="shared" si="0"/>
        <v>43</v>
      </c>
      <c r="B113" s="669" t="s">
        <v>1180</v>
      </c>
      <c r="C113" s="670" t="s">
        <v>1200</v>
      </c>
      <c r="D113" s="671">
        <v>380</v>
      </c>
      <c r="E113" s="672" t="s">
        <v>1195</v>
      </c>
      <c r="F113" s="673">
        <v>0</v>
      </c>
      <c r="G113" s="678">
        <f t="shared" si="1"/>
        <v>380000000</v>
      </c>
      <c r="H113" s="788">
        <f>G113/G122</f>
        <v>0.00282146092276622</v>
      </c>
      <c r="I113" s="641"/>
    </row>
    <row r="114" spans="1:9" s="655" customFormat="1" ht="15" thickBot="1">
      <c r="A114" s="659">
        <f t="shared" si="0"/>
        <v>44</v>
      </c>
      <c r="B114" s="674" t="s">
        <v>1202</v>
      </c>
      <c r="C114" s="670" t="s">
        <v>1210</v>
      </c>
      <c r="D114" s="671">
        <v>7200</v>
      </c>
      <c r="E114" s="675" t="s">
        <v>1182</v>
      </c>
      <c r="F114" s="673">
        <f>+D114*5</f>
        <v>36000</v>
      </c>
      <c r="G114" s="678">
        <f t="shared" si="1"/>
        <v>7200000000</v>
      </c>
      <c r="H114" s="788">
        <f>G114/G122</f>
        <v>0.05345925958925469</v>
      </c>
      <c r="I114" s="641"/>
    </row>
    <row r="115" spans="1:9" s="655" customFormat="1" ht="15" thickBot="1">
      <c r="A115" s="659">
        <f t="shared" si="0"/>
        <v>45</v>
      </c>
      <c r="B115" s="666" t="s">
        <v>1120</v>
      </c>
      <c r="C115" s="670" t="s">
        <v>1222</v>
      </c>
      <c r="D115" s="671">
        <v>8600</v>
      </c>
      <c r="E115" s="675" t="s">
        <v>1182</v>
      </c>
      <c r="F115" s="673">
        <f>+D115*5</f>
        <v>43000</v>
      </c>
      <c r="G115" s="678">
        <f t="shared" si="1"/>
        <v>8600000000</v>
      </c>
      <c r="H115" s="788">
        <f>G115/G122</f>
        <v>0.06385411562049866</v>
      </c>
      <c r="I115" s="641"/>
    </row>
    <row r="116" spans="1:9" s="655" customFormat="1" ht="15" thickBot="1">
      <c r="A116" s="659">
        <f t="shared" si="0"/>
        <v>46</v>
      </c>
      <c r="B116" s="669" t="s">
        <v>1180</v>
      </c>
      <c r="C116" s="670" t="s">
        <v>1197</v>
      </c>
      <c r="D116" s="671">
        <v>4200</v>
      </c>
      <c r="E116" s="675" t="s">
        <v>1182</v>
      </c>
      <c r="F116" s="673">
        <f>+D116*5</f>
        <v>21000</v>
      </c>
      <c r="G116" s="678">
        <f t="shared" si="1"/>
        <v>4200000000</v>
      </c>
      <c r="H116" s="788">
        <f>G116/G122</f>
        <v>0.031184568093731903</v>
      </c>
      <c r="I116" s="641"/>
    </row>
    <row r="117" spans="1:9" s="655" customFormat="1" ht="26.25" thickBot="1">
      <c r="A117" s="659">
        <v>47</v>
      </c>
      <c r="B117" s="669" t="s">
        <v>1272</v>
      </c>
      <c r="C117" s="670" t="s">
        <v>1332</v>
      </c>
      <c r="D117" s="671">
        <v>2470</v>
      </c>
      <c r="E117" s="675" t="s">
        <v>1333</v>
      </c>
      <c r="F117" s="673">
        <v>0</v>
      </c>
      <c r="G117" s="678">
        <v>2470000000</v>
      </c>
      <c r="H117" s="788">
        <f>G117/G122</f>
        <v>0.018339495997980428</v>
      </c>
      <c r="I117" s="615"/>
    </row>
    <row r="118" spans="1:9" s="655" customFormat="1" ht="15" thickBot="1">
      <c r="A118" s="659">
        <v>48</v>
      </c>
      <c r="B118" s="669" t="s">
        <v>1180</v>
      </c>
      <c r="C118" s="670" t="s">
        <v>1334</v>
      </c>
      <c r="D118" s="671">
        <v>1512</v>
      </c>
      <c r="E118" s="675" t="s">
        <v>1335</v>
      </c>
      <c r="F118" s="673">
        <v>0</v>
      </c>
      <c r="G118" s="678">
        <v>1512000000</v>
      </c>
      <c r="H118" s="788">
        <f>G118/G122</f>
        <v>0.011226444513743484</v>
      </c>
      <c r="I118" s="615"/>
    </row>
    <row r="119" spans="1:9" s="655" customFormat="1" ht="15" thickBot="1">
      <c r="A119" s="659">
        <v>49</v>
      </c>
      <c r="B119" s="669" t="s">
        <v>1180</v>
      </c>
      <c r="C119" s="670" t="s">
        <v>1336</v>
      </c>
      <c r="D119" s="671">
        <v>5700</v>
      </c>
      <c r="E119" s="675" t="s">
        <v>1337</v>
      </c>
      <c r="F119" s="673">
        <v>0</v>
      </c>
      <c r="G119" s="678">
        <v>5700000000</v>
      </c>
      <c r="H119" s="788">
        <f>G119/G122</f>
        <v>0.042321913841493294</v>
      </c>
      <c r="I119" s="615"/>
    </row>
    <row r="120" spans="1:9" s="655" customFormat="1" ht="15" thickBot="1">
      <c r="A120" s="659">
        <v>50</v>
      </c>
      <c r="B120" s="674" t="s">
        <v>1202</v>
      </c>
      <c r="C120" s="670" t="s">
        <v>1338</v>
      </c>
      <c r="D120" s="671">
        <v>2212</v>
      </c>
      <c r="E120" s="675" t="s">
        <v>1340</v>
      </c>
      <c r="F120" s="673"/>
      <c r="G120" s="678">
        <v>2212000000</v>
      </c>
      <c r="H120" s="788">
        <f>G120/G122</f>
        <v>0.016423872529365467</v>
      </c>
      <c r="I120" s="615"/>
    </row>
    <row r="121" spans="1:9" s="655" customFormat="1" ht="15" thickBot="1">
      <c r="A121" s="659">
        <v>51</v>
      </c>
      <c r="B121" s="674" t="s">
        <v>1202</v>
      </c>
      <c r="C121" s="670" t="s">
        <v>1339</v>
      </c>
      <c r="D121" s="671">
        <v>2788</v>
      </c>
      <c r="E121" s="675" t="s">
        <v>1341</v>
      </c>
      <c r="F121" s="673"/>
      <c r="G121" s="678">
        <v>2788000000</v>
      </c>
      <c r="H121" s="788">
        <f>G121/G122</f>
        <v>0.020700613296505844</v>
      </c>
      <c r="I121" s="615"/>
    </row>
    <row r="122" spans="1:9" s="655" customFormat="1" ht="15" thickBot="1">
      <c r="A122" s="680"/>
      <c r="B122" s="681" t="s">
        <v>317</v>
      </c>
      <c r="C122" s="682"/>
      <c r="D122" s="662">
        <f>SUM(D71:D121)</f>
        <v>134682</v>
      </c>
      <c r="E122" s="663"/>
      <c r="F122" s="662">
        <f>SUM(F71:F116)</f>
        <v>250000</v>
      </c>
      <c r="G122" s="662">
        <f>SUM(G71:G121)</f>
        <v>134682000000</v>
      </c>
      <c r="H122" s="683">
        <f>SUM(H71:H121)</f>
        <v>1.0000000000000004</v>
      </c>
      <c r="I122" s="641"/>
    </row>
    <row r="123" spans="1:9" s="655" customFormat="1" ht="15" thickBot="1">
      <c r="A123" s="845"/>
      <c r="B123" s="845"/>
      <c r="C123" s="845"/>
      <c r="D123" s="845"/>
      <c r="E123" s="845"/>
      <c r="F123" s="845"/>
      <c r="G123" s="845"/>
      <c r="H123" s="845"/>
      <c r="I123" s="641"/>
    </row>
    <row r="124" spans="1:9" s="655" customFormat="1" ht="15" customHeight="1" thickBot="1">
      <c r="A124" s="835" t="s">
        <v>1260</v>
      </c>
      <c r="B124" s="836"/>
      <c r="C124" s="836"/>
      <c r="D124" s="836"/>
      <c r="E124" s="836"/>
      <c r="F124" s="836"/>
      <c r="G124" s="836"/>
      <c r="H124" s="837"/>
      <c r="I124" s="641"/>
    </row>
    <row r="125" spans="1:9" s="655" customFormat="1" ht="15" thickBot="1">
      <c r="A125" s="657" t="s">
        <v>1172</v>
      </c>
      <c r="B125" s="658" t="s">
        <v>1173</v>
      </c>
      <c r="C125" s="658" t="s">
        <v>1174</v>
      </c>
      <c r="D125" s="658" t="s">
        <v>1175</v>
      </c>
      <c r="E125" s="658" t="s">
        <v>1176</v>
      </c>
      <c r="F125" s="658" t="s">
        <v>1177</v>
      </c>
      <c r="G125" s="658" t="s">
        <v>882</v>
      </c>
      <c r="H125" s="658" t="s">
        <v>1227</v>
      </c>
      <c r="I125" s="641"/>
    </row>
    <row r="126" spans="1:9" s="655" customFormat="1" ht="15" thickBot="1">
      <c r="A126" s="659">
        <v>1</v>
      </c>
      <c r="B126" s="660" t="s">
        <v>1202</v>
      </c>
      <c r="C126" s="661" t="s">
        <v>1203</v>
      </c>
      <c r="D126" s="662">
        <v>7200</v>
      </c>
      <c r="E126" s="663" t="s">
        <v>1182</v>
      </c>
      <c r="F126" s="662">
        <f>+D126*5</f>
        <v>36000</v>
      </c>
      <c r="G126" s="664">
        <v>7200000000</v>
      </c>
      <c r="H126" s="665">
        <v>0.05345925958925469</v>
      </c>
      <c r="I126" s="641"/>
    </row>
    <row r="127" spans="1:9" s="655" customFormat="1" ht="15" thickBot="1">
      <c r="A127" s="659">
        <f>+A126+1</f>
        <v>2</v>
      </c>
      <c r="B127" s="666" t="s">
        <v>1120</v>
      </c>
      <c r="C127" s="661" t="s">
        <v>1218</v>
      </c>
      <c r="D127" s="667">
        <v>8200</v>
      </c>
      <c r="E127" s="668" t="s">
        <v>1182</v>
      </c>
      <c r="F127" s="667">
        <f>+D127*5</f>
        <v>41000</v>
      </c>
      <c r="G127" s="664">
        <v>8200000000</v>
      </c>
      <c r="H127" s="665">
        <v>0.06088415675442895</v>
      </c>
      <c r="I127" s="641"/>
    </row>
    <row r="128" spans="1:9" s="655" customFormat="1" ht="15" thickBot="1">
      <c r="A128" s="659">
        <f aca="true" t="shared" si="2" ref="A128:A171">+A127+1</f>
        <v>3</v>
      </c>
      <c r="B128" s="666" t="s">
        <v>1180</v>
      </c>
      <c r="C128" s="661" t="s">
        <v>1181</v>
      </c>
      <c r="D128" s="667">
        <v>3800</v>
      </c>
      <c r="E128" s="668" t="s">
        <v>1182</v>
      </c>
      <c r="F128" s="667">
        <f>+D128*5</f>
        <v>19000</v>
      </c>
      <c r="G128" s="664">
        <v>3800000000</v>
      </c>
      <c r="H128" s="665">
        <v>0.028214609227662196</v>
      </c>
      <c r="I128" s="641"/>
    </row>
    <row r="129" spans="1:9" s="655" customFormat="1" ht="15" thickBot="1">
      <c r="A129" s="659">
        <f t="shared" si="2"/>
        <v>4</v>
      </c>
      <c r="B129" s="666" t="s">
        <v>1180</v>
      </c>
      <c r="C129" s="661" t="s">
        <v>1183</v>
      </c>
      <c r="D129" s="667">
        <v>400</v>
      </c>
      <c r="E129" s="668" t="s">
        <v>1182</v>
      </c>
      <c r="F129" s="667">
        <f>+D129*5</f>
        <v>2000</v>
      </c>
      <c r="G129" s="664">
        <v>400000000</v>
      </c>
      <c r="H129" s="665">
        <v>0.002969958866069705</v>
      </c>
      <c r="I129" s="641"/>
    </row>
    <row r="130" spans="1:9" s="655" customFormat="1" ht="15" thickBot="1">
      <c r="A130" s="659">
        <f t="shared" si="2"/>
        <v>5</v>
      </c>
      <c r="B130" s="666" t="s">
        <v>1120</v>
      </c>
      <c r="C130" s="661" t="s">
        <v>1219</v>
      </c>
      <c r="D130" s="667">
        <v>400</v>
      </c>
      <c r="E130" s="668" t="s">
        <v>1182</v>
      </c>
      <c r="F130" s="667">
        <f>+D130*5</f>
        <v>2000</v>
      </c>
      <c r="G130" s="664">
        <v>400000000</v>
      </c>
      <c r="H130" s="665">
        <v>0.002969958866069705</v>
      </c>
      <c r="I130" s="641"/>
    </row>
    <row r="131" spans="1:9" s="655" customFormat="1" ht="26.25" thickBot="1">
      <c r="A131" s="659">
        <f t="shared" si="2"/>
        <v>6</v>
      </c>
      <c r="B131" s="666" t="s">
        <v>1228</v>
      </c>
      <c r="C131" s="661" t="s">
        <v>1229</v>
      </c>
      <c r="D131" s="667">
        <v>700</v>
      </c>
      <c r="E131" s="668" t="s">
        <v>1185</v>
      </c>
      <c r="F131" s="667">
        <v>0</v>
      </c>
      <c r="G131" s="664">
        <v>700000000</v>
      </c>
      <c r="H131" s="665">
        <v>0.005197428015621983</v>
      </c>
      <c r="I131" s="641"/>
    </row>
    <row r="132" spans="1:9" s="655" customFormat="1" ht="15" thickBot="1">
      <c r="A132" s="659">
        <f t="shared" si="2"/>
        <v>7</v>
      </c>
      <c r="B132" s="666" t="s">
        <v>1180</v>
      </c>
      <c r="C132" s="661" t="s">
        <v>1184</v>
      </c>
      <c r="D132" s="667">
        <v>400</v>
      </c>
      <c r="E132" s="668" t="s">
        <v>1185</v>
      </c>
      <c r="F132" s="667">
        <v>0</v>
      </c>
      <c r="G132" s="664">
        <v>400000000</v>
      </c>
      <c r="H132" s="665">
        <v>0.002969958866069705</v>
      </c>
      <c r="I132" s="641"/>
    </row>
    <row r="133" spans="1:9" s="655" customFormat="1" ht="15" thickBot="1">
      <c r="A133" s="659">
        <f t="shared" si="2"/>
        <v>8</v>
      </c>
      <c r="B133" s="666" t="s">
        <v>1230</v>
      </c>
      <c r="C133" s="661" t="s">
        <v>1231</v>
      </c>
      <c r="D133" s="667">
        <v>1260</v>
      </c>
      <c r="E133" s="668" t="s">
        <v>1187</v>
      </c>
      <c r="F133" s="667">
        <v>0</v>
      </c>
      <c r="G133" s="664">
        <v>1260000000</v>
      </c>
      <c r="H133" s="665">
        <v>0.009355370428119571</v>
      </c>
      <c r="I133" s="641"/>
    </row>
    <row r="134" spans="1:9" s="655" customFormat="1" ht="15" thickBot="1">
      <c r="A134" s="659">
        <f t="shared" si="2"/>
        <v>9</v>
      </c>
      <c r="B134" s="666" t="s">
        <v>1180</v>
      </c>
      <c r="C134" s="661" t="s">
        <v>1186</v>
      </c>
      <c r="D134" s="667">
        <v>940</v>
      </c>
      <c r="E134" s="668" t="s">
        <v>1187</v>
      </c>
      <c r="F134" s="667">
        <v>0</v>
      </c>
      <c r="G134" s="664">
        <v>940000000</v>
      </c>
      <c r="H134" s="665">
        <v>0.006979403335263807</v>
      </c>
      <c r="I134" s="641"/>
    </row>
    <row r="135" spans="1:9" s="655" customFormat="1" ht="15" thickBot="1">
      <c r="A135" s="659">
        <f t="shared" si="2"/>
        <v>10</v>
      </c>
      <c r="B135" s="666" t="s">
        <v>1232</v>
      </c>
      <c r="C135" s="661" t="s">
        <v>1233</v>
      </c>
      <c r="D135" s="667">
        <v>200</v>
      </c>
      <c r="E135" s="668" t="s">
        <v>1187</v>
      </c>
      <c r="F135" s="667">
        <v>0</v>
      </c>
      <c r="G135" s="664">
        <v>200000000</v>
      </c>
      <c r="H135" s="665">
        <v>0.0014849794330348525</v>
      </c>
      <c r="I135" s="641"/>
    </row>
    <row r="136" spans="1:9" s="655" customFormat="1" ht="15" thickBot="1">
      <c r="A136" s="659">
        <f t="shared" si="2"/>
        <v>11</v>
      </c>
      <c r="B136" s="660" t="s">
        <v>1234</v>
      </c>
      <c r="C136" s="661" t="s">
        <v>1235</v>
      </c>
      <c r="D136" s="667">
        <v>1200</v>
      </c>
      <c r="E136" s="668" t="s">
        <v>1236</v>
      </c>
      <c r="F136" s="667">
        <v>0</v>
      </c>
      <c r="G136" s="664">
        <v>1200000000</v>
      </c>
      <c r="H136" s="665">
        <v>0.008909876598209115</v>
      </c>
      <c r="I136" s="641"/>
    </row>
    <row r="137" spans="1:9" s="655" customFormat="1" ht="26.25" thickBot="1">
      <c r="A137" s="659">
        <f t="shared" si="2"/>
        <v>12</v>
      </c>
      <c r="B137" s="666" t="s">
        <v>1237</v>
      </c>
      <c r="C137" s="661" t="s">
        <v>1238</v>
      </c>
      <c r="D137" s="667">
        <v>365</v>
      </c>
      <c r="E137" s="668" t="s">
        <v>1189</v>
      </c>
      <c r="F137" s="667">
        <v>0</v>
      </c>
      <c r="G137" s="664">
        <v>365000000</v>
      </c>
      <c r="H137" s="665">
        <v>0.0027100874652886057</v>
      </c>
      <c r="I137" s="641"/>
    </row>
    <row r="138" spans="1:9" s="655" customFormat="1" ht="15" thickBot="1">
      <c r="A138" s="659">
        <f t="shared" si="2"/>
        <v>13</v>
      </c>
      <c r="B138" s="666" t="s">
        <v>1239</v>
      </c>
      <c r="C138" s="661" t="s">
        <v>1240</v>
      </c>
      <c r="D138" s="667">
        <v>135</v>
      </c>
      <c r="E138" s="668" t="s">
        <v>1189</v>
      </c>
      <c r="F138" s="667">
        <v>0</v>
      </c>
      <c r="G138" s="664">
        <v>135000000</v>
      </c>
      <c r="H138" s="665">
        <v>0.0010023611172985255</v>
      </c>
      <c r="I138" s="641"/>
    </row>
    <row r="139" spans="1:9" s="655" customFormat="1" ht="15" thickBot="1">
      <c r="A139" s="659">
        <f t="shared" si="2"/>
        <v>14</v>
      </c>
      <c r="B139" s="666" t="s">
        <v>1180</v>
      </c>
      <c r="C139" s="661" t="s">
        <v>1188</v>
      </c>
      <c r="D139" s="667">
        <v>400</v>
      </c>
      <c r="E139" s="668" t="s">
        <v>1189</v>
      </c>
      <c r="F139" s="667">
        <v>0</v>
      </c>
      <c r="G139" s="664">
        <v>400000000</v>
      </c>
      <c r="H139" s="665">
        <v>0.002969958866069705</v>
      </c>
      <c r="I139" s="641"/>
    </row>
    <row r="140" spans="1:9" s="655" customFormat="1" ht="15" thickBot="1">
      <c r="A140" s="659">
        <f t="shared" si="2"/>
        <v>15</v>
      </c>
      <c r="B140" s="666" t="s">
        <v>1241</v>
      </c>
      <c r="C140" s="661" t="s">
        <v>1242</v>
      </c>
      <c r="D140" s="667">
        <v>2410</v>
      </c>
      <c r="E140" s="668" t="s">
        <v>1243</v>
      </c>
      <c r="F140" s="667">
        <v>0</v>
      </c>
      <c r="G140" s="664">
        <v>2410000000</v>
      </c>
      <c r="H140" s="665">
        <v>0.017894002168069974</v>
      </c>
      <c r="I140" s="641"/>
    </row>
    <row r="141" spans="1:9" s="655" customFormat="1" ht="15" thickBot="1">
      <c r="A141" s="659">
        <f t="shared" si="2"/>
        <v>16</v>
      </c>
      <c r="B141" s="666" t="s">
        <v>1244</v>
      </c>
      <c r="C141" s="661" t="s">
        <v>1245</v>
      </c>
      <c r="D141" s="667">
        <v>200</v>
      </c>
      <c r="E141" s="668" t="s">
        <v>1243</v>
      </c>
      <c r="F141" s="667">
        <v>0</v>
      </c>
      <c r="G141" s="664">
        <v>200000000</v>
      </c>
      <c r="H141" s="665">
        <v>0.0014849794330348525</v>
      </c>
      <c r="I141" s="641"/>
    </row>
    <row r="142" spans="1:9" s="655" customFormat="1" ht="15" thickBot="1">
      <c r="A142" s="659">
        <f t="shared" si="2"/>
        <v>17</v>
      </c>
      <c r="B142" s="666" t="s">
        <v>1246</v>
      </c>
      <c r="C142" s="661" t="s">
        <v>1247</v>
      </c>
      <c r="D142" s="667">
        <v>200</v>
      </c>
      <c r="E142" s="668" t="s">
        <v>1243</v>
      </c>
      <c r="F142" s="667">
        <v>0</v>
      </c>
      <c r="G142" s="664">
        <v>200000000</v>
      </c>
      <c r="H142" s="665">
        <v>0.0014849794330348525</v>
      </c>
      <c r="I142" s="641"/>
    </row>
    <row r="143" spans="1:9" s="655" customFormat="1" ht="15" thickBot="1">
      <c r="A143" s="659">
        <f t="shared" si="2"/>
        <v>18</v>
      </c>
      <c r="B143" s="666" t="s">
        <v>1248</v>
      </c>
      <c r="C143" s="661" t="s">
        <v>1249</v>
      </c>
      <c r="D143" s="667">
        <v>70</v>
      </c>
      <c r="E143" s="668" t="s">
        <v>1243</v>
      </c>
      <c r="F143" s="667">
        <v>0</v>
      </c>
      <c r="G143" s="664">
        <v>70000000</v>
      </c>
      <c r="H143" s="665">
        <v>0.0005197428015621984</v>
      </c>
      <c r="I143" s="641"/>
    </row>
    <row r="144" spans="1:9" s="655" customFormat="1" ht="15" thickBot="1">
      <c r="A144" s="659">
        <f t="shared" si="2"/>
        <v>19</v>
      </c>
      <c r="B144" s="666" t="s">
        <v>1248</v>
      </c>
      <c r="C144" s="661" t="s">
        <v>1250</v>
      </c>
      <c r="D144" s="667">
        <v>200</v>
      </c>
      <c r="E144" s="668" t="s">
        <v>1243</v>
      </c>
      <c r="F144" s="667">
        <v>0</v>
      </c>
      <c r="G144" s="664">
        <v>200000000</v>
      </c>
      <c r="H144" s="665">
        <v>0.0014849794330348525</v>
      </c>
      <c r="I144" s="641"/>
    </row>
    <row r="145" spans="1:9" s="655" customFormat="1" ht="15" thickBot="1">
      <c r="A145" s="659">
        <f t="shared" si="2"/>
        <v>20</v>
      </c>
      <c r="B145" s="660" t="s">
        <v>1251</v>
      </c>
      <c r="C145" s="661" t="s">
        <v>1252</v>
      </c>
      <c r="D145" s="667">
        <v>220</v>
      </c>
      <c r="E145" s="668" t="s">
        <v>1243</v>
      </c>
      <c r="F145" s="667">
        <v>0</v>
      </c>
      <c r="G145" s="664">
        <v>220000000</v>
      </c>
      <c r="H145" s="665">
        <v>0.0016334773763383378</v>
      </c>
      <c r="I145" s="641"/>
    </row>
    <row r="146" spans="1:9" s="655" customFormat="1" ht="15" thickBot="1">
      <c r="A146" s="659">
        <f t="shared" si="2"/>
        <v>21</v>
      </c>
      <c r="B146" s="669" t="s">
        <v>1133</v>
      </c>
      <c r="C146" s="670" t="s">
        <v>1211</v>
      </c>
      <c r="D146" s="671">
        <v>1000</v>
      </c>
      <c r="E146" s="672" t="s">
        <v>1199</v>
      </c>
      <c r="F146" s="667">
        <v>0</v>
      </c>
      <c r="G146" s="673">
        <f>+D146*1000000</f>
        <v>1000000000</v>
      </c>
      <c r="H146" s="665">
        <v>0.007424897165174262</v>
      </c>
      <c r="I146" s="641"/>
    </row>
    <row r="147" spans="1:9" s="655" customFormat="1" ht="15" thickBot="1">
      <c r="A147" s="659">
        <f t="shared" si="2"/>
        <v>22</v>
      </c>
      <c r="B147" s="669" t="s">
        <v>1133</v>
      </c>
      <c r="C147" s="670" t="s">
        <v>1212</v>
      </c>
      <c r="D147" s="671">
        <v>944</v>
      </c>
      <c r="E147" s="672" t="s">
        <v>1199</v>
      </c>
      <c r="F147" s="667">
        <v>0</v>
      </c>
      <c r="G147" s="673">
        <f>+D147*1000000</f>
        <v>944000000</v>
      </c>
      <c r="H147" s="665">
        <v>0.0070091029239245034</v>
      </c>
      <c r="I147" s="641"/>
    </row>
    <row r="148" spans="1:9" s="655" customFormat="1" ht="15" thickBot="1">
      <c r="A148" s="659">
        <f t="shared" si="2"/>
        <v>23</v>
      </c>
      <c r="B148" s="669" t="s">
        <v>1213</v>
      </c>
      <c r="C148" s="670" t="s">
        <v>1214</v>
      </c>
      <c r="D148" s="671">
        <v>2322</v>
      </c>
      <c r="E148" s="672" t="s">
        <v>1199</v>
      </c>
      <c r="F148" s="667">
        <v>0</v>
      </c>
      <c r="G148" s="673">
        <f>+D148*1000000</f>
        <v>2322000000</v>
      </c>
      <c r="H148" s="665">
        <v>0.017240611217534636</v>
      </c>
      <c r="I148" s="641"/>
    </row>
    <row r="149" spans="1:9" s="655" customFormat="1" ht="15" thickBot="1">
      <c r="A149" s="659">
        <f t="shared" si="2"/>
        <v>24</v>
      </c>
      <c r="B149" s="669" t="s">
        <v>1253</v>
      </c>
      <c r="C149" s="670" t="s">
        <v>1198</v>
      </c>
      <c r="D149" s="671">
        <v>1134</v>
      </c>
      <c r="E149" s="672" t="s">
        <v>1199</v>
      </c>
      <c r="F149" s="667">
        <v>0</v>
      </c>
      <c r="G149" s="673">
        <f>+D149*1000000</f>
        <v>1134000000</v>
      </c>
      <c r="H149" s="665">
        <v>0.008419833385307614</v>
      </c>
      <c r="I149" s="641"/>
    </row>
    <row r="150" spans="1:9" s="655" customFormat="1" ht="15" thickBot="1">
      <c r="A150" s="659">
        <f t="shared" si="2"/>
        <v>25</v>
      </c>
      <c r="B150" s="666" t="s">
        <v>1254</v>
      </c>
      <c r="C150" s="661" t="s">
        <v>1255</v>
      </c>
      <c r="D150" s="667">
        <v>3750</v>
      </c>
      <c r="E150" s="668" t="s">
        <v>1207</v>
      </c>
      <c r="F150" s="667">
        <v>0</v>
      </c>
      <c r="G150" s="664">
        <v>3750000000</v>
      </c>
      <c r="H150" s="665">
        <v>0.027843364369403482</v>
      </c>
      <c r="I150" s="641"/>
    </row>
    <row r="151" spans="1:9" s="655" customFormat="1" ht="15" thickBot="1">
      <c r="A151" s="659">
        <f t="shared" si="2"/>
        <v>26</v>
      </c>
      <c r="B151" s="666" t="s">
        <v>1256</v>
      </c>
      <c r="C151" s="661" t="s">
        <v>1257</v>
      </c>
      <c r="D151" s="667">
        <v>1950</v>
      </c>
      <c r="E151" s="668" t="s">
        <v>1207</v>
      </c>
      <c r="F151" s="667">
        <v>0</v>
      </c>
      <c r="G151" s="664">
        <v>1950000000</v>
      </c>
      <c r="H151" s="665">
        <v>0.014478549472089812</v>
      </c>
      <c r="I151" s="641"/>
    </row>
    <row r="152" spans="1:9" s="655" customFormat="1" ht="15" thickBot="1">
      <c r="A152" s="659">
        <f t="shared" si="2"/>
        <v>27</v>
      </c>
      <c r="B152" s="674" t="s">
        <v>1202</v>
      </c>
      <c r="C152" s="661" t="s">
        <v>1204</v>
      </c>
      <c r="D152" s="667">
        <f>3750+1950</f>
        <v>5700</v>
      </c>
      <c r="E152" s="668" t="s">
        <v>1199</v>
      </c>
      <c r="F152" s="667">
        <v>0</v>
      </c>
      <c r="G152" s="664">
        <v>5700000000</v>
      </c>
      <c r="H152" s="665">
        <v>0.042321913841493294</v>
      </c>
      <c r="I152" s="641"/>
    </row>
    <row r="153" spans="1:9" s="655" customFormat="1" ht="15" thickBot="1">
      <c r="A153" s="659">
        <f t="shared" si="2"/>
        <v>28</v>
      </c>
      <c r="B153" s="674" t="s">
        <v>1202</v>
      </c>
      <c r="C153" s="670" t="s">
        <v>1205</v>
      </c>
      <c r="D153" s="671">
        <v>3600</v>
      </c>
      <c r="E153" s="672" t="s">
        <v>1191</v>
      </c>
      <c r="F153" s="671">
        <v>0</v>
      </c>
      <c r="G153" s="673">
        <v>3600000000</v>
      </c>
      <c r="H153" s="629">
        <v>0.026729629794627344</v>
      </c>
      <c r="I153" s="641"/>
    </row>
    <row r="154" spans="1:9" s="655" customFormat="1" ht="15" thickBot="1">
      <c r="A154" s="659">
        <f t="shared" si="2"/>
        <v>29</v>
      </c>
      <c r="B154" s="669" t="s">
        <v>1213</v>
      </c>
      <c r="C154" s="670" t="s">
        <v>1215</v>
      </c>
      <c r="D154" s="671">
        <v>4300</v>
      </c>
      <c r="E154" s="672" t="s">
        <v>1191</v>
      </c>
      <c r="F154" s="671">
        <v>0</v>
      </c>
      <c r="G154" s="673">
        <v>4300000000</v>
      </c>
      <c r="H154" s="629">
        <v>0.03192705781024933</v>
      </c>
      <c r="I154" s="641"/>
    </row>
    <row r="155" spans="1:9" s="655" customFormat="1" ht="15" thickBot="1">
      <c r="A155" s="659">
        <f t="shared" si="2"/>
        <v>30</v>
      </c>
      <c r="B155" s="669" t="s">
        <v>1180</v>
      </c>
      <c r="C155" s="670" t="s">
        <v>1190</v>
      </c>
      <c r="D155" s="671">
        <v>2100</v>
      </c>
      <c r="E155" s="672" t="s">
        <v>1191</v>
      </c>
      <c r="F155" s="671">
        <v>0</v>
      </c>
      <c r="G155" s="673">
        <v>2100000000</v>
      </c>
      <c r="H155" s="629">
        <v>0.015592284046865952</v>
      </c>
      <c r="I155" s="641"/>
    </row>
    <row r="156" spans="1:9" s="655" customFormat="1" ht="15" thickBot="1">
      <c r="A156" s="659">
        <f t="shared" si="2"/>
        <v>31</v>
      </c>
      <c r="B156" s="674" t="s">
        <v>1202</v>
      </c>
      <c r="C156" s="670" t="s">
        <v>1206</v>
      </c>
      <c r="D156" s="671">
        <v>4300</v>
      </c>
      <c r="E156" s="672" t="s">
        <v>1207</v>
      </c>
      <c r="F156" s="673">
        <v>0</v>
      </c>
      <c r="G156" s="673">
        <f aca="true" t="shared" si="3" ref="G156:G163">+D156*1000000</f>
        <v>4300000000</v>
      </c>
      <c r="H156" s="629">
        <v>0.03192705781024933</v>
      </c>
      <c r="I156" s="641"/>
    </row>
    <row r="157" spans="1:9" s="655" customFormat="1" ht="15" thickBot="1">
      <c r="A157" s="659">
        <f t="shared" si="2"/>
        <v>32</v>
      </c>
      <c r="B157" s="674" t="s">
        <v>1202</v>
      </c>
      <c r="C157" s="670" t="s">
        <v>1208</v>
      </c>
      <c r="D157" s="671">
        <v>3600</v>
      </c>
      <c r="E157" s="675" t="s">
        <v>1182</v>
      </c>
      <c r="F157" s="673">
        <f>+D157*5</f>
        <v>18000</v>
      </c>
      <c r="G157" s="673">
        <f t="shared" si="3"/>
        <v>3600000000</v>
      </c>
      <c r="H157" s="629">
        <v>0.026729629794627344</v>
      </c>
      <c r="I157" s="641"/>
    </row>
    <row r="158" spans="1:9" s="655" customFormat="1" ht="15" thickBot="1">
      <c r="A158" s="659">
        <f t="shared" si="2"/>
        <v>33</v>
      </c>
      <c r="B158" s="666" t="s">
        <v>1120</v>
      </c>
      <c r="C158" s="670" t="s">
        <v>1220</v>
      </c>
      <c r="D158" s="671">
        <v>4100</v>
      </c>
      <c r="E158" s="675" t="s">
        <v>1182</v>
      </c>
      <c r="F158" s="673">
        <f>+D158*5</f>
        <v>20500</v>
      </c>
      <c r="G158" s="673">
        <f t="shared" si="3"/>
        <v>4100000000</v>
      </c>
      <c r="H158" s="629">
        <v>0.030442078377214476</v>
      </c>
      <c r="I158" s="641"/>
    </row>
    <row r="159" spans="1:9" s="655" customFormat="1" ht="15" thickBot="1">
      <c r="A159" s="659">
        <f t="shared" si="2"/>
        <v>34</v>
      </c>
      <c r="B159" s="669" t="s">
        <v>1180</v>
      </c>
      <c r="C159" s="670" t="s">
        <v>1192</v>
      </c>
      <c r="D159" s="671">
        <v>1900</v>
      </c>
      <c r="E159" s="675" t="s">
        <v>1182</v>
      </c>
      <c r="F159" s="673">
        <f>+D159*5</f>
        <v>9500</v>
      </c>
      <c r="G159" s="673">
        <f t="shared" si="3"/>
        <v>1900000000</v>
      </c>
      <c r="H159" s="629">
        <v>0.014107304613831098</v>
      </c>
      <c r="I159" s="641"/>
    </row>
    <row r="160" spans="1:9" s="655" customFormat="1" ht="15" thickBot="1">
      <c r="A160" s="659">
        <f t="shared" si="2"/>
        <v>35</v>
      </c>
      <c r="B160" s="669" t="s">
        <v>1180</v>
      </c>
      <c r="C160" s="670" t="s">
        <v>1193</v>
      </c>
      <c r="D160" s="671">
        <v>200</v>
      </c>
      <c r="E160" s="675" t="s">
        <v>1182</v>
      </c>
      <c r="F160" s="673">
        <f>+D160*5</f>
        <v>1000</v>
      </c>
      <c r="G160" s="673">
        <f t="shared" si="3"/>
        <v>200000000</v>
      </c>
      <c r="H160" s="629">
        <v>0.0014849794330348525</v>
      </c>
      <c r="I160" s="641"/>
    </row>
    <row r="161" spans="1:9" s="655" customFormat="1" ht="15" thickBot="1">
      <c r="A161" s="659">
        <f t="shared" si="2"/>
        <v>36</v>
      </c>
      <c r="B161" s="666" t="s">
        <v>1120</v>
      </c>
      <c r="C161" s="670" t="s">
        <v>1221</v>
      </c>
      <c r="D161" s="671">
        <v>200</v>
      </c>
      <c r="E161" s="675" t="s">
        <v>1182</v>
      </c>
      <c r="F161" s="673">
        <f>+D161*5</f>
        <v>1000</v>
      </c>
      <c r="G161" s="673">
        <f t="shared" si="3"/>
        <v>200000000</v>
      </c>
      <c r="H161" s="629">
        <v>0.0014849794330348525</v>
      </c>
      <c r="I161" s="641"/>
    </row>
    <row r="162" spans="1:9" s="655" customFormat="1" ht="15" thickBot="1">
      <c r="A162" s="659">
        <f t="shared" si="2"/>
        <v>37</v>
      </c>
      <c r="B162" s="674" t="s">
        <v>1202</v>
      </c>
      <c r="C162" s="670" t="s">
        <v>1209</v>
      </c>
      <c r="D162" s="671">
        <v>5000</v>
      </c>
      <c r="E162" s="672" t="s">
        <v>1207</v>
      </c>
      <c r="F162" s="673">
        <v>0</v>
      </c>
      <c r="G162" s="673">
        <f t="shared" si="3"/>
        <v>5000000000</v>
      </c>
      <c r="H162" s="629">
        <v>0.037124485825871315</v>
      </c>
      <c r="I162" s="641"/>
    </row>
    <row r="163" spans="1:9" s="655" customFormat="1" ht="15" thickBot="1">
      <c r="A163" s="659">
        <f t="shared" si="2"/>
        <v>38</v>
      </c>
      <c r="B163" s="669" t="s">
        <v>1213</v>
      </c>
      <c r="C163" s="670" t="s">
        <v>1216</v>
      </c>
      <c r="D163" s="671">
        <v>17000</v>
      </c>
      <c r="E163" s="672" t="s">
        <v>1217</v>
      </c>
      <c r="F163" s="673">
        <v>0</v>
      </c>
      <c r="G163" s="673">
        <f t="shared" si="3"/>
        <v>17000000000</v>
      </c>
      <c r="H163" s="629">
        <v>0.12622325180796246</v>
      </c>
      <c r="I163" s="641"/>
    </row>
    <row r="164" spans="1:9" s="655" customFormat="1" ht="26.25" thickBot="1">
      <c r="A164" s="659">
        <f t="shared" si="2"/>
        <v>39</v>
      </c>
      <c r="B164" s="669" t="s">
        <v>1272</v>
      </c>
      <c r="C164" s="676" t="s">
        <v>1194</v>
      </c>
      <c r="D164" s="677">
        <v>5000</v>
      </c>
      <c r="E164" s="675" t="s">
        <v>1195</v>
      </c>
      <c r="F164" s="678">
        <v>0</v>
      </c>
      <c r="G164" s="678">
        <f>+D164*1000000</f>
        <v>5000000000</v>
      </c>
      <c r="H164" s="679">
        <v>0.037124485825871315</v>
      </c>
      <c r="I164" s="641"/>
    </row>
    <row r="165" spans="1:9" s="655" customFormat="1" ht="15" thickBot="1">
      <c r="A165" s="659">
        <f t="shared" si="2"/>
        <v>40</v>
      </c>
      <c r="B165" s="669" t="s">
        <v>1180</v>
      </c>
      <c r="C165" s="670" t="s">
        <v>1196</v>
      </c>
      <c r="D165" s="671">
        <v>2188</v>
      </c>
      <c r="E165" s="672" t="s">
        <v>1195</v>
      </c>
      <c r="F165" s="673">
        <v>0</v>
      </c>
      <c r="G165" s="673">
        <f aca="true" t="shared" si="4" ref="G165:G171">+D165*1000000</f>
        <v>2188000000</v>
      </c>
      <c r="H165" s="629">
        <v>0.016245674997401285</v>
      </c>
      <c r="I165" s="641"/>
    </row>
    <row r="166" spans="1:9" s="655" customFormat="1" ht="15" thickBot="1">
      <c r="A166" s="659">
        <f t="shared" si="2"/>
        <v>41</v>
      </c>
      <c r="B166" s="669" t="s">
        <v>1180</v>
      </c>
      <c r="C166" s="670" t="s">
        <v>1201</v>
      </c>
      <c r="D166" s="671">
        <v>132</v>
      </c>
      <c r="E166" s="672" t="s">
        <v>1195</v>
      </c>
      <c r="F166" s="673">
        <v>0</v>
      </c>
      <c r="G166" s="678">
        <f t="shared" si="4"/>
        <v>132000000</v>
      </c>
      <c r="H166" s="679">
        <v>0.0009800864258030027</v>
      </c>
      <c r="I166" s="641"/>
    </row>
    <row r="167" spans="1:9" s="655" customFormat="1" ht="15" thickBot="1">
      <c r="A167" s="659">
        <f t="shared" si="2"/>
        <v>42</v>
      </c>
      <c r="B167" s="669" t="s">
        <v>1258</v>
      </c>
      <c r="C167" s="676" t="s">
        <v>1259</v>
      </c>
      <c r="D167" s="677">
        <v>300</v>
      </c>
      <c r="E167" s="672" t="s">
        <v>1195</v>
      </c>
      <c r="F167" s="678">
        <v>0</v>
      </c>
      <c r="G167" s="678">
        <f t="shared" si="4"/>
        <v>300000000</v>
      </c>
      <c r="H167" s="679">
        <v>0.0022274691495522787</v>
      </c>
      <c r="I167" s="641"/>
    </row>
    <row r="168" spans="1:9" s="655" customFormat="1" ht="15" thickBot="1">
      <c r="A168" s="659">
        <f>+A167+1</f>
        <v>43</v>
      </c>
      <c r="B168" s="669" t="s">
        <v>1180</v>
      </c>
      <c r="C168" s="670" t="s">
        <v>1200</v>
      </c>
      <c r="D168" s="671">
        <v>380</v>
      </c>
      <c r="E168" s="672" t="s">
        <v>1195</v>
      </c>
      <c r="F168" s="673">
        <v>0</v>
      </c>
      <c r="G168" s="678">
        <f t="shared" si="4"/>
        <v>380000000</v>
      </c>
      <c r="H168" s="679">
        <v>0.00282146092276622</v>
      </c>
      <c r="I168" s="641"/>
    </row>
    <row r="169" spans="1:9" s="655" customFormat="1" ht="15" thickBot="1">
      <c r="A169" s="659">
        <f t="shared" si="2"/>
        <v>44</v>
      </c>
      <c r="B169" s="674" t="s">
        <v>1202</v>
      </c>
      <c r="C169" s="670" t="s">
        <v>1210</v>
      </c>
      <c r="D169" s="671">
        <v>7200</v>
      </c>
      <c r="E169" s="675" t="s">
        <v>1182</v>
      </c>
      <c r="F169" s="673">
        <f>+D169*5</f>
        <v>36000</v>
      </c>
      <c r="G169" s="678">
        <f t="shared" si="4"/>
        <v>7200000000</v>
      </c>
      <c r="H169" s="679">
        <v>0.05345925958925469</v>
      </c>
      <c r="I169" s="641"/>
    </row>
    <row r="170" spans="1:9" s="655" customFormat="1" ht="15" thickBot="1">
      <c r="A170" s="659">
        <f t="shared" si="2"/>
        <v>45</v>
      </c>
      <c r="B170" s="666" t="s">
        <v>1120</v>
      </c>
      <c r="C170" s="670" t="s">
        <v>1222</v>
      </c>
      <c r="D170" s="671">
        <v>8600</v>
      </c>
      <c r="E170" s="675" t="s">
        <v>1182</v>
      </c>
      <c r="F170" s="673">
        <f>+D170*5</f>
        <v>43000</v>
      </c>
      <c r="G170" s="678">
        <f t="shared" si="4"/>
        <v>8600000000</v>
      </c>
      <c r="H170" s="679">
        <v>0.06385411562049866</v>
      </c>
      <c r="I170" s="641"/>
    </row>
    <row r="171" spans="1:9" s="655" customFormat="1" ht="15" thickBot="1">
      <c r="A171" s="659">
        <f t="shared" si="2"/>
        <v>46</v>
      </c>
      <c r="B171" s="669" t="s">
        <v>1180</v>
      </c>
      <c r="C171" s="670" t="s">
        <v>1197</v>
      </c>
      <c r="D171" s="671">
        <v>4200</v>
      </c>
      <c r="E171" s="675" t="s">
        <v>1182</v>
      </c>
      <c r="F171" s="673">
        <f>+D171*5</f>
        <v>21000</v>
      </c>
      <c r="G171" s="678">
        <f t="shared" si="4"/>
        <v>4200000000</v>
      </c>
      <c r="H171" s="679">
        <v>0.031184568093731903</v>
      </c>
      <c r="I171" s="641"/>
    </row>
    <row r="172" spans="1:9" s="655" customFormat="1" ht="26.25" thickBot="1">
      <c r="A172" s="659">
        <v>47</v>
      </c>
      <c r="B172" s="669" t="s">
        <v>1272</v>
      </c>
      <c r="C172" s="670" t="s">
        <v>1332</v>
      </c>
      <c r="D172" s="671">
        <v>2470</v>
      </c>
      <c r="E172" s="675" t="s">
        <v>1333</v>
      </c>
      <c r="F172" s="673">
        <v>0</v>
      </c>
      <c r="G172" s="678">
        <v>2470000000</v>
      </c>
      <c r="H172" s="788">
        <v>0.018339495997980428</v>
      </c>
      <c r="I172" s="641"/>
    </row>
    <row r="173" spans="1:9" s="655" customFormat="1" ht="15" thickBot="1">
      <c r="A173" s="659">
        <v>48</v>
      </c>
      <c r="B173" s="669" t="s">
        <v>1180</v>
      </c>
      <c r="C173" s="670" t="s">
        <v>1334</v>
      </c>
      <c r="D173" s="671">
        <v>1512</v>
      </c>
      <c r="E173" s="675" t="s">
        <v>1335</v>
      </c>
      <c r="F173" s="673">
        <v>0</v>
      </c>
      <c r="G173" s="678">
        <v>1512000000</v>
      </c>
      <c r="H173" s="788">
        <v>0.0112264445137435</v>
      </c>
      <c r="I173" s="641"/>
    </row>
    <row r="174" spans="1:9" s="655" customFormat="1" ht="15" thickBot="1">
      <c r="A174" s="659">
        <v>49</v>
      </c>
      <c r="B174" s="669" t="s">
        <v>1180</v>
      </c>
      <c r="C174" s="670" t="s">
        <v>1336</v>
      </c>
      <c r="D174" s="671">
        <v>5700</v>
      </c>
      <c r="E174" s="675" t="s">
        <v>1337</v>
      </c>
      <c r="F174" s="673">
        <v>0</v>
      </c>
      <c r="G174" s="678">
        <v>5700000000</v>
      </c>
      <c r="H174" s="788">
        <v>0.042321913841493294</v>
      </c>
      <c r="I174" s="641"/>
    </row>
    <row r="175" spans="1:9" s="655" customFormat="1" ht="15" thickBot="1">
      <c r="A175" s="659">
        <v>50</v>
      </c>
      <c r="B175" s="674" t="s">
        <v>1202</v>
      </c>
      <c r="C175" s="670" t="s">
        <v>1338</v>
      </c>
      <c r="D175" s="671">
        <v>2212</v>
      </c>
      <c r="E175" s="675" t="s">
        <v>1340</v>
      </c>
      <c r="F175" s="673"/>
      <c r="G175" s="678">
        <v>2212000000</v>
      </c>
      <c r="H175" s="788">
        <v>0.016423872529365467</v>
      </c>
      <c r="I175" s="641"/>
    </row>
    <row r="176" spans="1:9" s="655" customFormat="1" ht="15" thickBot="1">
      <c r="A176" s="659">
        <v>51</v>
      </c>
      <c r="B176" s="674" t="s">
        <v>1202</v>
      </c>
      <c r="C176" s="670" t="s">
        <v>1339</v>
      </c>
      <c r="D176" s="671">
        <v>2788</v>
      </c>
      <c r="E176" s="675" t="s">
        <v>1341</v>
      </c>
      <c r="F176" s="673"/>
      <c r="G176" s="678">
        <v>2788000000</v>
      </c>
      <c r="H176" s="788">
        <v>0.020700613296505844</v>
      </c>
      <c r="I176" s="641"/>
    </row>
    <row r="177" spans="1:9" s="655" customFormat="1" ht="15" thickBot="1">
      <c r="A177" s="680"/>
      <c r="B177" s="681" t="s">
        <v>317</v>
      </c>
      <c r="C177" s="682"/>
      <c r="D177" s="662">
        <f>SUM(D126:D176)</f>
        <v>134682</v>
      </c>
      <c r="E177" s="663"/>
      <c r="F177" s="662">
        <f>SUM(F126:F171)</f>
        <v>250000</v>
      </c>
      <c r="G177" s="662">
        <f>SUM(G126:G176)</f>
        <v>134682000000</v>
      </c>
      <c r="H177" s="683">
        <f>SUM(H126:H176)</f>
        <v>1.0000000000000004</v>
      </c>
      <c r="I177" s="641"/>
    </row>
    <row r="178" spans="1:9" s="655" customFormat="1" ht="14.25">
      <c r="A178" s="656"/>
      <c r="B178" s="656"/>
      <c r="C178" s="656"/>
      <c r="D178" s="656"/>
      <c r="E178" s="656"/>
      <c r="F178" s="656"/>
      <c r="I178" s="641"/>
    </row>
    <row r="179" spans="1:6" ht="14.25">
      <c r="A179" s="450"/>
      <c r="B179" s="450"/>
      <c r="C179" s="450"/>
      <c r="D179" s="450"/>
      <c r="E179" s="450"/>
      <c r="F179" s="450"/>
    </row>
    <row r="180" spans="1:6" ht="14.25">
      <c r="A180" s="450" t="s">
        <v>1171</v>
      </c>
      <c r="B180" s="450"/>
      <c r="C180" s="450"/>
      <c r="D180" s="450"/>
      <c r="E180" s="450"/>
      <c r="F180" s="450"/>
    </row>
    <row r="181" spans="1:6" ht="14.25">
      <c r="A181" s="450"/>
      <c r="B181" s="450"/>
      <c r="C181" s="450"/>
      <c r="D181" s="450"/>
      <c r="E181" s="450"/>
      <c r="F181" s="450"/>
    </row>
    <row r="182" ht="15" thickBot="1"/>
    <row r="183" spans="1:9" ht="26.25" thickBot="1">
      <c r="A183" s="604" t="s">
        <v>1172</v>
      </c>
      <c r="B183" s="605" t="s">
        <v>1173</v>
      </c>
      <c r="C183" s="605" t="s">
        <v>1174</v>
      </c>
      <c r="D183" s="605" t="s">
        <v>1175</v>
      </c>
      <c r="E183" s="605" t="s">
        <v>1176</v>
      </c>
      <c r="F183" s="605" t="s">
        <v>1177</v>
      </c>
      <c r="G183" s="605" t="s">
        <v>882</v>
      </c>
      <c r="H183" s="605" t="s">
        <v>1178</v>
      </c>
      <c r="I183" s="644" t="s">
        <v>1179</v>
      </c>
    </row>
    <row r="184" spans="1:9" ht="14.25">
      <c r="A184" s="606"/>
      <c r="B184" s="607" t="s">
        <v>1180</v>
      </c>
      <c r="C184" s="608" t="s">
        <v>1181</v>
      </c>
      <c r="D184" s="609">
        <v>3800</v>
      </c>
      <c r="E184" s="608" t="s">
        <v>1182</v>
      </c>
      <c r="F184" s="609">
        <f>+D184*5</f>
        <v>19000</v>
      </c>
      <c r="G184" s="609">
        <v>3800000000</v>
      </c>
      <c r="H184" s="610">
        <v>0.028214609227662196</v>
      </c>
      <c r="I184" s="611"/>
    </row>
    <row r="185" spans="1:9" ht="14.25">
      <c r="A185" s="612"/>
      <c r="B185" s="613" t="s">
        <v>1180</v>
      </c>
      <c r="C185" s="614" t="s">
        <v>1183</v>
      </c>
      <c r="D185" s="615">
        <v>400</v>
      </c>
      <c r="E185" s="614" t="s">
        <v>1182</v>
      </c>
      <c r="F185" s="615">
        <f>+D185*5</f>
        <v>2000</v>
      </c>
      <c r="G185" s="615">
        <v>400000000</v>
      </c>
      <c r="H185" s="616">
        <v>0.002969958866069705</v>
      </c>
      <c r="I185" s="617"/>
    </row>
    <row r="186" spans="1:9" ht="14.25">
      <c r="A186" s="612"/>
      <c r="B186" s="613" t="s">
        <v>1180</v>
      </c>
      <c r="C186" s="614" t="s">
        <v>1184</v>
      </c>
      <c r="D186" s="615">
        <v>400</v>
      </c>
      <c r="E186" s="614" t="s">
        <v>1185</v>
      </c>
      <c r="F186" s="615">
        <v>0</v>
      </c>
      <c r="G186" s="615">
        <v>400000000</v>
      </c>
      <c r="H186" s="616">
        <v>0.002969958866069705</v>
      </c>
      <c r="I186" s="617"/>
    </row>
    <row r="187" spans="1:9" ht="14.25">
      <c r="A187" s="612"/>
      <c r="B187" s="613" t="s">
        <v>1180</v>
      </c>
      <c r="C187" s="614" t="s">
        <v>1186</v>
      </c>
      <c r="D187" s="615">
        <v>940</v>
      </c>
      <c r="E187" s="614" t="s">
        <v>1187</v>
      </c>
      <c r="F187" s="615">
        <v>0</v>
      </c>
      <c r="G187" s="615">
        <v>940000000</v>
      </c>
      <c r="H187" s="616">
        <v>0.006979403335263807</v>
      </c>
      <c r="I187" s="617"/>
    </row>
    <row r="188" spans="1:9" ht="14.25">
      <c r="A188" s="612">
        <v>1</v>
      </c>
      <c r="B188" s="613" t="s">
        <v>1180</v>
      </c>
      <c r="C188" s="614" t="s">
        <v>1188</v>
      </c>
      <c r="D188" s="615">
        <v>400</v>
      </c>
      <c r="E188" s="614" t="s">
        <v>1189</v>
      </c>
      <c r="F188" s="615">
        <v>0</v>
      </c>
      <c r="G188" s="615">
        <v>400000000</v>
      </c>
      <c r="H188" s="616">
        <v>0.002969958866069705</v>
      </c>
      <c r="I188" s="617">
        <f>SUM(H184:H198)</f>
        <v>0.18848843943511384</v>
      </c>
    </row>
    <row r="189" spans="1:9" ht="14.25">
      <c r="A189" s="612"/>
      <c r="B189" s="613" t="s">
        <v>1180</v>
      </c>
      <c r="C189" s="614" t="s">
        <v>1190</v>
      </c>
      <c r="D189" s="615">
        <v>2100</v>
      </c>
      <c r="E189" s="614" t="s">
        <v>1191</v>
      </c>
      <c r="F189" s="615">
        <v>0</v>
      </c>
      <c r="G189" s="615">
        <v>2100000000</v>
      </c>
      <c r="H189" s="616">
        <v>0.015592284046865952</v>
      </c>
      <c r="I189" s="617"/>
    </row>
    <row r="190" spans="1:9" ht="14.25">
      <c r="A190" s="612"/>
      <c r="B190" s="613" t="s">
        <v>1180</v>
      </c>
      <c r="C190" s="614" t="s">
        <v>1192</v>
      </c>
      <c r="D190" s="615">
        <v>1900</v>
      </c>
      <c r="E190" s="614" t="s">
        <v>1182</v>
      </c>
      <c r="F190" s="615">
        <f>+D190*5</f>
        <v>9500</v>
      </c>
      <c r="G190" s="615">
        <f aca="true" t="shared" si="5" ref="G190:G195">+D190*1000000</f>
        <v>1900000000</v>
      </c>
      <c r="H190" s="616">
        <v>0.014107304613831098</v>
      </c>
      <c r="I190" s="617"/>
    </row>
    <row r="191" spans="1:9" ht="14.25">
      <c r="A191" s="612"/>
      <c r="B191" s="613" t="s">
        <v>1180</v>
      </c>
      <c r="C191" s="614" t="s">
        <v>1193</v>
      </c>
      <c r="D191" s="615">
        <v>200</v>
      </c>
      <c r="E191" s="614" t="s">
        <v>1182</v>
      </c>
      <c r="F191" s="615">
        <f>+D191*5</f>
        <v>1000</v>
      </c>
      <c r="G191" s="615">
        <f t="shared" si="5"/>
        <v>200000000</v>
      </c>
      <c r="H191" s="616">
        <v>0.0014849794330348525</v>
      </c>
      <c r="I191" s="617"/>
    </row>
    <row r="192" spans="1:9" ht="14.25">
      <c r="A192" s="612"/>
      <c r="B192" s="613" t="s">
        <v>1180</v>
      </c>
      <c r="C192" s="614" t="s">
        <v>1196</v>
      </c>
      <c r="D192" s="615">
        <v>2188</v>
      </c>
      <c r="E192" s="614" t="s">
        <v>1195</v>
      </c>
      <c r="F192" s="615">
        <v>0</v>
      </c>
      <c r="G192" s="615">
        <f t="shared" si="5"/>
        <v>2188000000</v>
      </c>
      <c r="H192" s="616">
        <v>0.016245674997401285</v>
      </c>
      <c r="I192" s="617"/>
    </row>
    <row r="193" spans="1:9" ht="14.25">
      <c r="A193" s="612"/>
      <c r="B193" s="613" t="s">
        <v>1180</v>
      </c>
      <c r="C193" s="614" t="s">
        <v>1197</v>
      </c>
      <c r="D193" s="615">
        <v>4200</v>
      </c>
      <c r="E193" s="614" t="s">
        <v>1182</v>
      </c>
      <c r="F193" s="615">
        <f>+D193*5</f>
        <v>21000</v>
      </c>
      <c r="G193" s="615">
        <f t="shared" si="5"/>
        <v>4200000000</v>
      </c>
      <c r="H193" s="616">
        <v>0.031184568093731903</v>
      </c>
      <c r="I193" s="617"/>
    </row>
    <row r="194" spans="1:9" ht="14.25">
      <c r="A194" s="612"/>
      <c r="B194" s="613" t="s">
        <v>1180</v>
      </c>
      <c r="C194" s="614" t="s">
        <v>1198</v>
      </c>
      <c r="D194" s="615">
        <v>1134</v>
      </c>
      <c r="E194" s="614" t="s">
        <v>1199</v>
      </c>
      <c r="F194" s="615">
        <v>0</v>
      </c>
      <c r="G194" s="615">
        <f t="shared" si="5"/>
        <v>1134000000</v>
      </c>
      <c r="H194" s="616">
        <v>0.008419833385307614</v>
      </c>
      <c r="I194" s="617"/>
    </row>
    <row r="195" spans="1:9" ht="14.25">
      <c r="A195" s="612"/>
      <c r="B195" s="613" t="s">
        <v>1180</v>
      </c>
      <c r="C195" s="614" t="s">
        <v>1200</v>
      </c>
      <c r="D195" s="615">
        <v>380</v>
      </c>
      <c r="E195" s="614" t="s">
        <v>1195</v>
      </c>
      <c r="F195" s="615">
        <v>0</v>
      </c>
      <c r="G195" s="615">
        <f t="shared" si="5"/>
        <v>380000000</v>
      </c>
      <c r="H195" s="616">
        <v>0.00282146092276622</v>
      </c>
      <c r="I195" s="617"/>
    </row>
    <row r="196" spans="1:9" s="655" customFormat="1" ht="14.25">
      <c r="A196" s="612"/>
      <c r="B196" s="613" t="s">
        <v>1180</v>
      </c>
      <c r="C196" s="614" t="s">
        <v>1201</v>
      </c>
      <c r="D196" s="615">
        <v>132</v>
      </c>
      <c r="E196" s="614" t="s">
        <v>1195</v>
      </c>
      <c r="F196" s="615">
        <v>0</v>
      </c>
      <c r="G196" s="615">
        <f>+D196*1000000</f>
        <v>132000000</v>
      </c>
      <c r="H196" s="616">
        <v>0.0009800864258030027</v>
      </c>
      <c r="I196" s="617"/>
    </row>
    <row r="197" spans="1:9" s="655" customFormat="1" ht="14.25">
      <c r="A197" s="612"/>
      <c r="B197" s="613" t="s">
        <v>1180</v>
      </c>
      <c r="C197" s="614" t="s">
        <v>1334</v>
      </c>
      <c r="D197" s="615">
        <v>1512</v>
      </c>
      <c r="E197" s="614" t="s">
        <v>1335</v>
      </c>
      <c r="F197" s="615">
        <v>0</v>
      </c>
      <c r="G197" s="615">
        <v>1512000000</v>
      </c>
      <c r="H197" s="616">
        <v>0.0112264445137435</v>
      </c>
      <c r="I197" s="617"/>
    </row>
    <row r="198" spans="1:9" ht="15" thickBot="1">
      <c r="A198" s="618"/>
      <c r="B198" s="619" t="s">
        <v>1180</v>
      </c>
      <c r="C198" s="620" t="s">
        <v>1336</v>
      </c>
      <c r="D198" s="621">
        <v>5700</v>
      </c>
      <c r="E198" s="620" t="s">
        <v>1337</v>
      </c>
      <c r="F198" s="621">
        <v>0</v>
      </c>
      <c r="G198" s="621">
        <v>5700000000</v>
      </c>
      <c r="H198" s="622">
        <v>0.042321913841493294</v>
      </c>
      <c r="I198" s="623"/>
    </row>
    <row r="199" spans="1:9" ht="15" thickTop="1">
      <c r="A199" s="612"/>
      <c r="B199" s="613" t="s">
        <v>1202</v>
      </c>
      <c r="C199" s="614" t="s">
        <v>1203</v>
      </c>
      <c r="D199" s="615">
        <v>7200</v>
      </c>
      <c r="E199" s="614" t="s">
        <v>1182</v>
      </c>
      <c r="F199" s="615">
        <f>+D199*5</f>
        <v>36000</v>
      </c>
      <c r="G199" s="615">
        <v>7200000000</v>
      </c>
      <c r="H199" s="616">
        <v>0.05345925958925469</v>
      </c>
      <c r="I199" s="617"/>
    </row>
    <row r="200" spans="1:9" ht="14.25">
      <c r="A200" s="612"/>
      <c r="B200" s="613" t="s">
        <v>1202</v>
      </c>
      <c r="C200" s="614" t="s">
        <v>1204</v>
      </c>
      <c r="D200" s="615">
        <f>3750+1950</f>
        <v>5700</v>
      </c>
      <c r="E200" s="614" t="s">
        <v>1199</v>
      </c>
      <c r="F200" s="615">
        <v>0</v>
      </c>
      <c r="G200" s="615">
        <v>5700000000</v>
      </c>
      <c r="H200" s="616">
        <v>0.042321913841493294</v>
      </c>
      <c r="I200" s="617"/>
    </row>
    <row r="201" spans="1:9" ht="14.25">
      <c r="A201" s="612"/>
      <c r="B201" s="613" t="s">
        <v>1202</v>
      </c>
      <c r="C201" s="614" t="s">
        <v>1205</v>
      </c>
      <c r="D201" s="615">
        <v>3600</v>
      </c>
      <c r="E201" s="614" t="s">
        <v>1191</v>
      </c>
      <c r="F201" s="615">
        <v>0</v>
      </c>
      <c r="G201" s="615">
        <v>3600000000</v>
      </c>
      <c r="H201" s="616">
        <v>0.026729629794627344</v>
      </c>
      <c r="I201" s="617"/>
    </row>
    <row r="202" spans="1:9" ht="14.25">
      <c r="A202" s="612">
        <v>2</v>
      </c>
      <c r="B202" s="613" t="s">
        <v>1202</v>
      </c>
      <c r="C202" s="614" t="s">
        <v>1206</v>
      </c>
      <c r="D202" s="615">
        <v>4300</v>
      </c>
      <c r="E202" s="614" t="s">
        <v>1207</v>
      </c>
      <c r="F202" s="615">
        <v>0</v>
      </c>
      <c r="G202" s="615">
        <f aca="true" t="shared" si="6" ref="G202:G210">+D202*1000000</f>
        <v>4300000000</v>
      </c>
      <c r="H202" s="616">
        <v>0.03192705781024933</v>
      </c>
      <c r="I202" s="617">
        <f>SUM(H199:H209)</f>
        <v>0.32330972216034803</v>
      </c>
    </row>
    <row r="203" spans="1:9" ht="14.25">
      <c r="A203" s="612"/>
      <c r="B203" s="613" t="s">
        <v>1202</v>
      </c>
      <c r="C203" s="614" t="s">
        <v>1208</v>
      </c>
      <c r="D203" s="615">
        <v>3600</v>
      </c>
      <c r="E203" s="614" t="s">
        <v>1182</v>
      </c>
      <c r="F203" s="615">
        <f>+D203*5</f>
        <v>18000</v>
      </c>
      <c r="G203" s="615">
        <f t="shared" si="6"/>
        <v>3600000000</v>
      </c>
      <c r="H203" s="616">
        <v>0.026729629794627344</v>
      </c>
      <c r="I203" s="617"/>
    </row>
    <row r="204" spans="1:9" ht="14.25">
      <c r="A204" s="612"/>
      <c r="B204" s="613" t="s">
        <v>1202</v>
      </c>
      <c r="C204" s="614" t="s">
        <v>1209</v>
      </c>
      <c r="D204" s="615">
        <v>5000</v>
      </c>
      <c r="E204" s="614" t="s">
        <v>1207</v>
      </c>
      <c r="F204" s="615">
        <v>0</v>
      </c>
      <c r="G204" s="615">
        <f t="shared" si="6"/>
        <v>5000000000</v>
      </c>
      <c r="H204" s="616">
        <v>0.037124485825871315</v>
      </c>
      <c r="I204" s="617"/>
    </row>
    <row r="205" spans="1:9" ht="14.25">
      <c r="A205" s="612"/>
      <c r="B205" s="613" t="s">
        <v>1202</v>
      </c>
      <c r="C205" s="614" t="s">
        <v>1210</v>
      </c>
      <c r="D205" s="615">
        <v>7200</v>
      </c>
      <c r="E205" s="614" t="s">
        <v>1182</v>
      </c>
      <c r="F205" s="615">
        <f>+D205*5</f>
        <v>36000</v>
      </c>
      <c r="G205" s="615">
        <f t="shared" si="6"/>
        <v>7200000000</v>
      </c>
      <c r="H205" s="616">
        <v>0.05345925958925469</v>
      </c>
      <c r="I205" s="617"/>
    </row>
    <row r="206" spans="1:9" ht="14.25">
      <c r="A206" s="612"/>
      <c r="B206" s="613" t="s">
        <v>1133</v>
      </c>
      <c r="C206" s="614" t="s">
        <v>1211</v>
      </c>
      <c r="D206" s="615">
        <v>1000</v>
      </c>
      <c r="E206" s="614" t="s">
        <v>1199</v>
      </c>
      <c r="F206" s="615">
        <v>0</v>
      </c>
      <c r="G206" s="615">
        <f t="shared" si="6"/>
        <v>1000000000</v>
      </c>
      <c r="H206" s="616">
        <v>0.007424897165174262</v>
      </c>
      <c r="I206" s="617"/>
    </row>
    <row r="207" spans="1:9" s="655" customFormat="1" ht="14.25">
      <c r="A207" s="612"/>
      <c r="B207" s="613" t="s">
        <v>1133</v>
      </c>
      <c r="C207" s="614" t="s">
        <v>1212</v>
      </c>
      <c r="D207" s="615">
        <v>944</v>
      </c>
      <c r="E207" s="614" t="s">
        <v>1199</v>
      </c>
      <c r="F207" s="615">
        <v>0</v>
      </c>
      <c r="G207" s="615">
        <f>+D207*1000000</f>
        <v>944000000</v>
      </c>
      <c r="H207" s="616">
        <v>0.0070091029239245034</v>
      </c>
      <c r="I207" s="617"/>
    </row>
    <row r="208" spans="1:9" s="655" customFormat="1" ht="14.25">
      <c r="A208" s="612"/>
      <c r="B208" s="613" t="s">
        <v>1202</v>
      </c>
      <c r="C208" s="614" t="s">
        <v>1338</v>
      </c>
      <c r="D208" s="615">
        <v>2212</v>
      </c>
      <c r="E208" s="614" t="s">
        <v>1340</v>
      </c>
      <c r="F208" s="615">
        <v>0</v>
      </c>
      <c r="G208" s="615">
        <v>2212000000</v>
      </c>
      <c r="H208" s="616">
        <v>0.016423872529365467</v>
      </c>
      <c r="I208" s="617"/>
    </row>
    <row r="209" spans="1:9" ht="15" thickBot="1">
      <c r="A209" s="612"/>
      <c r="B209" s="613" t="s">
        <v>1202</v>
      </c>
      <c r="C209" s="614" t="s">
        <v>1339</v>
      </c>
      <c r="D209" s="615">
        <v>2788</v>
      </c>
      <c r="E209" s="614" t="s">
        <v>1341</v>
      </c>
      <c r="F209" s="615">
        <v>0</v>
      </c>
      <c r="G209" s="615">
        <v>2788000000</v>
      </c>
      <c r="H209" s="616">
        <v>0.020700613296505844</v>
      </c>
      <c r="I209" s="617"/>
    </row>
    <row r="210" spans="1:9" ht="14.25">
      <c r="A210" s="606"/>
      <c r="B210" s="607" t="s">
        <v>1213</v>
      </c>
      <c r="C210" s="608" t="s">
        <v>1214</v>
      </c>
      <c r="D210" s="609">
        <v>2322</v>
      </c>
      <c r="E210" s="608" t="s">
        <v>1199</v>
      </c>
      <c r="F210" s="609"/>
      <c r="G210" s="609">
        <f t="shared" si="6"/>
        <v>2322000000</v>
      </c>
      <c r="H210" s="610">
        <v>0.017240611217534636</v>
      </c>
      <c r="I210" s="611"/>
    </row>
    <row r="211" spans="1:9" ht="14.25">
      <c r="A211" s="612">
        <v>3</v>
      </c>
      <c r="B211" s="613" t="s">
        <v>1213</v>
      </c>
      <c r="C211" s="614" t="s">
        <v>1215</v>
      </c>
      <c r="D211" s="615">
        <v>4300</v>
      </c>
      <c r="E211" s="614" t="s">
        <v>1191</v>
      </c>
      <c r="F211" s="615">
        <v>0</v>
      </c>
      <c r="G211" s="615">
        <v>4300000000</v>
      </c>
      <c r="H211" s="616">
        <v>0.03192705781024933</v>
      </c>
      <c r="I211" s="617">
        <f>SUM(H210:H212)</f>
        <v>0.17539092083574642</v>
      </c>
    </row>
    <row r="212" spans="1:9" ht="15" thickBot="1">
      <c r="A212" s="612"/>
      <c r="B212" s="613" t="s">
        <v>1213</v>
      </c>
      <c r="C212" s="614" t="s">
        <v>1216</v>
      </c>
      <c r="D212" s="615">
        <v>17000</v>
      </c>
      <c r="E212" s="614" t="s">
        <v>1217</v>
      </c>
      <c r="F212" s="615">
        <v>0</v>
      </c>
      <c r="G212" s="615">
        <f>+D212*1000000</f>
        <v>17000000000</v>
      </c>
      <c r="H212" s="616">
        <v>0.12622325180796246</v>
      </c>
      <c r="I212" s="617"/>
    </row>
    <row r="213" spans="1:9" ht="14.25">
      <c r="A213" s="606"/>
      <c r="B213" s="607" t="s">
        <v>1120</v>
      </c>
      <c r="C213" s="608" t="s">
        <v>1218</v>
      </c>
      <c r="D213" s="609">
        <v>8200</v>
      </c>
      <c r="E213" s="608" t="s">
        <v>1182</v>
      </c>
      <c r="F213" s="609">
        <f>+D213*5</f>
        <v>41000</v>
      </c>
      <c r="G213" s="609">
        <v>8200000000</v>
      </c>
      <c r="H213" s="610">
        <v>0.06088415675442895</v>
      </c>
      <c r="I213" s="611"/>
    </row>
    <row r="214" spans="1:9" ht="14.25">
      <c r="A214" s="612"/>
      <c r="B214" s="613" t="s">
        <v>1120</v>
      </c>
      <c r="C214" s="614" t="s">
        <v>1219</v>
      </c>
      <c r="D214" s="615">
        <v>400</v>
      </c>
      <c r="E214" s="614" t="s">
        <v>1182</v>
      </c>
      <c r="F214" s="615">
        <f>+D214*5</f>
        <v>2000</v>
      </c>
      <c r="G214" s="615">
        <v>400000000</v>
      </c>
      <c r="H214" s="616">
        <v>0.002969958866069705</v>
      </c>
      <c r="I214" s="617"/>
    </row>
    <row r="215" spans="1:9" ht="14.25">
      <c r="A215" s="612">
        <v>4</v>
      </c>
      <c r="B215" s="613" t="s">
        <v>1120</v>
      </c>
      <c r="C215" s="614" t="s">
        <v>1220</v>
      </c>
      <c r="D215" s="615">
        <v>4100</v>
      </c>
      <c r="E215" s="614" t="s">
        <v>1182</v>
      </c>
      <c r="F215" s="615">
        <f>+D215*5</f>
        <v>20500</v>
      </c>
      <c r="G215" s="615">
        <f>+D215*1000000</f>
        <v>4100000000</v>
      </c>
      <c r="H215" s="616">
        <v>0.030442078377214476</v>
      </c>
      <c r="I215" s="617">
        <f>SUM(H213:H217)</f>
        <v>0.15963528905124663</v>
      </c>
    </row>
    <row r="216" spans="1:9" ht="14.25">
      <c r="A216" s="612"/>
      <c r="B216" s="613" t="s">
        <v>1120</v>
      </c>
      <c r="C216" s="614" t="s">
        <v>1221</v>
      </c>
      <c r="D216" s="615">
        <v>200</v>
      </c>
      <c r="E216" s="614" t="s">
        <v>1182</v>
      </c>
      <c r="F216" s="615">
        <f>+D216*5</f>
        <v>1000</v>
      </c>
      <c r="G216" s="615">
        <f>+D216*1000000</f>
        <v>200000000</v>
      </c>
      <c r="H216" s="616">
        <v>0.0014849794330348525</v>
      </c>
      <c r="I216" s="617"/>
    </row>
    <row r="217" spans="1:9" ht="15" thickBot="1">
      <c r="A217" s="624"/>
      <c r="B217" s="625" t="s">
        <v>1120</v>
      </c>
      <c r="C217" s="626" t="s">
        <v>1222</v>
      </c>
      <c r="D217" s="627">
        <v>8600</v>
      </c>
      <c r="E217" s="626" t="s">
        <v>1182</v>
      </c>
      <c r="F217" s="627">
        <f>+D217*5</f>
        <v>43000</v>
      </c>
      <c r="G217" s="627">
        <f>+D217*1000000</f>
        <v>8600000000</v>
      </c>
      <c r="H217" s="628">
        <v>0.06385411562049866</v>
      </c>
      <c r="I217" s="629"/>
    </row>
    <row r="219" ht="24" customHeight="1"/>
    <row r="220" spans="1:2" ht="15">
      <c r="A220" s="684" t="s">
        <v>1261</v>
      </c>
      <c r="B220" s="684"/>
    </row>
    <row r="221" s="449" customFormat="1" ht="14.25">
      <c r="I221" s="641"/>
    </row>
    <row r="222" ht="14.25">
      <c r="A222" s="28" t="s">
        <v>1314</v>
      </c>
    </row>
    <row r="224" ht="14.25">
      <c r="A224" s="28" t="s">
        <v>1223</v>
      </c>
    </row>
  </sheetData>
  <sheetProtection/>
  <mergeCells count="18">
    <mergeCell ref="A69:H69"/>
    <mergeCell ref="A123:H123"/>
    <mergeCell ref="A124:H124"/>
    <mergeCell ref="A63:E63"/>
    <mergeCell ref="J31:O32"/>
    <mergeCell ref="A30:F30"/>
    <mergeCell ref="A31:F31"/>
    <mergeCell ref="A32:F32"/>
    <mergeCell ref="J13:O14"/>
    <mergeCell ref="J16:O26"/>
    <mergeCell ref="A68:H68"/>
    <mergeCell ref="A8:F8"/>
    <mergeCell ref="G11:I11"/>
    <mergeCell ref="J28:O29"/>
    <mergeCell ref="A12:F12"/>
    <mergeCell ref="A19:D26"/>
    <mergeCell ref="A28:F28"/>
    <mergeCell ref="A29:F29"/>
  </mergeCells>
  <hyperlinks>
    <hyperlink ref="F1" location="BG!A1" display="BG"/>
  </hyperlinks>
  <printOptions/>
  <pageMargins left="0.7086614173228347" right="0.7086614173228347" top="0.7480314960629921" bottom="0.7480314960629921" header="0.31496062992125984" footer="0.31496062992125984"/>
  <pageSetup fitToHeight="0" fitToWidth="1" horizontalDpi="1200" verticalDpi="1200" orientation="portrait" paperSize="5" scale="37" r:id="rId2"/>
  <drawing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17">
      <selection activeCell="K49" sqref="K49"/>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6.8515625" style="2" customWidth="1"/>
    <col min="10" max="10" width="11.421875" style="2" customWidth="1"/>
    <col min="11" max="11" width="15.28125" style="2" bestFit="1" customWidth="1"/>
    <col min="12" max="16384" width="11.421875" style="2" customWidth="1"/>
  </cols>
  <sheetData>
    <row r="1" ht="15" customHeight="1">
      <c r="I1" s="141" t="s">
        <v>132</v>
      </c>
    </row>
    <row r="2" ht="15" customHeight="1"/>
    <row r="3" ht="15" customHeight="1"/>
    <row r="4" ht="15" customHeight="1"/>
    <row r="5" ht="15" customHeight="1"/>
    <row r="6" spans="1:9" s="33" customFormat="1" ht="15" customHeight="1">
      <c r="A6" s="877" t="s">
        <v>1</v>
      </c>
      <c r="B6" s="878"/>
      <c r="C6" s="878"/>
      <c r="D6" s="878"/>
      <c r="E6" s="878"/>
      <c r="F6" s="878"/>
      <c r="G6" s="878"/>
      <c r="H6" s="878"/>
      <c r="I6" s="879"/>
    </row>
    <row r="7" spans="1:11" s="33" customFormat="1" ht="26.25" customHeight="1">
      <c r="A7" s="886" t="s">
        <v>166</v>
      </c>
      <c r="B7" s="887"/>
      <c r="C7" s="887"/>
      <c r="D7" s="887"/>
      <c r="E7" s="887"/>
      <c r="F7" s="887"/>
      <c r="G7" s="887"/>
      <c r="H7" s="887"/>
      <c r="I7" s="888"/>
      <c r="J7" s="52"/>
      <c r="K7" s="52"/>
    </row>
    <row r="8" spans="1:9" s="33" customFormat="1" ht="15" customHeight="1">
      <c r="A8" s="89"/>
      <c r="B8" s="50"/>
      <c r="C8" s="50"/>
      <c r="D8" s="50"/>
      <c r="E8" s="50"/>
      <c r="F8" s="50"/>
      <c r="G8" s="50"/>
      <c r="H8" s="50"/>
      <c r="I8" s="90"/>
    </row>
    <row r="9" spans="1:9" s="33" customFormat="1" ht="15" customHeight="1">
      <c r="A9" s="89"/>
      <c r="B9" s="50"/>
      <c r="C9" s="50"/>
      <c r="D9" s="50"/>
      <c r="E9" s="50"/>
      <c r="F9" s="50"/>
      <c r="G9" s="50"/>
      <c r="H9" s="50"/>
      <c r="I9" s="90"/>
    </row>
    <row r="10" spans="1:11" s="33" customFormat="1" ht="15" customHeight="1">
      <c r="A10" s="874" t="s">
        <v>219</v>
      </c>
      <c r="B10" s="875"/>
      <c r="C10" s="875"/>
      <c r="D10" s="875"/>
      <c r="E10" s="875"/>
      <c r="F10" s="875"/>
      <c r="G10" s="875"/>
      <c r="H10" s="875"/>
      <c r="I10" s="876"/>
      <c r="J10" s="52"/>
      <c r="K10" s="52"/>
    </row>
    <row r="11" spans="1:9" s="53" customFormat="1" ht="55.5" customHeight="1">
      <c r="A11" s="850" t="s">
        <v>906</v>
      </c>
      <c r="B11" s="851"/>
      <c r="C11" s="851"/>
      <c r="D11" s="851"/>
      <c r="E11" s="851"/>
      <c r="F11" s="851"/>
      <c r="G11" s="851"/>
      <c r="H11" s="851"/>
      <c r="I11" s="852"/>
    </row>
    <row r="12" spans="1:9" s="53" customFormat="1" ht="48" customHeight="1">
      <c r="A12" s="880" t="s">
        <v>1317</v>
      </c>
      <c r="B12" s="881"/>
      <c r="C12" s="881"/>
      <c r="D12" s="881"/>
      <c r="E12" s="881"/>
      <c r="F12" s="881"/>
      <c r="G12" s="881"/>
      <c r="H12" s="881"/>
      <c r="I12" s="882"/>
    </row>
    <row r="13" spans="1:9" s="53" customFormat="1" ht="15" customHeight="1">
      <c r="A13" s="230"/>
      <c r="B13" s="231"/>
      <c r="C13" s="231"/>
      <c r="D13" s="231"/>
      <c r="E13" s="231"/>
      <c r="F13" s="231"/>
      <c r="G13" s="231"/>
      <c r="H13" s="231"/>
      <c r="I13" s="232"/>
    </row>
    <row r="14" spans="1:9" s="33" customFormat="1" ht="15" customHeight="1">
      <c r="A14" s="853"/>
      <c r="B14" s="854"/>
      <c r="C14" s="854"/>
      <c r="D14" s="854"/>
      <c r="E14" s="854"/>
      <c r="F14" s="854"/>
      <c r="G14" s="854"/>
      <c r="H14" s="854"/>
      <c r="I14" s="855"/>
    </row>
    <row r="15" spans="1:11" s="33" customFormat="1" ht="15" customHeight="1">
      <c r="A15" s="856" t="s">
        <v>104</v>
      </c>
      <c r="B15" s="857"/>
      <c r="C15" s="857"/>
      <c r="D15" s="857"/>
      <c r="E15" s="857"/>
      <c r="F15" s="857"/>
      <c r="G15" s="857"/>
      <c r="H15" s="857"/>
      <c r="I15" s="858"/>
      <c r="J15" s="52"/>
      <c r="K15" s="52"/>
    </row>
    <row r="16" spans="1:9" s="33" customFormat="1" ht="42.75" customHeight="1">
      <c r="A16" s="880" t="s">
        <v>167</v>
      </c>
      <c r="B16" s="881"/>
      <c r="C16" s="881"/>
      <c r="D16" s="881"/>
      <c r="E16" s="881"/>
      <c r="F16" s="881"/>
      <c r="G16" s="881"/>
      <c r="H16" s="881"/>
      <c r="I16" s="882"/>
    </row>
    <row r="17" spans="1:9" s="33" customFormat="1" ht="15" customHeight="1">
      <c r="A17" s="853"/>
      <c r="B17" s="854"/>
      <c r="C17" s="854"/>
      <c r="D17" s="854"/>
      <c r="E17" s="854"/>
      <c r="F17" s="854"/>
      <c r="G17" s="854"/>
      <c r="H17" s="854"/>
      <c r="I17" s="855"/>
    </row>
    <row r="18" spans="1:11" s="33" customFormat="1" ht="15" customHeight="1">
      <c r="A18" s="856" t="s">
        <v>105</v>
      </c>
      <c r="B18" s="857"/>
      <c r="C18" s="857"/>
      <c r="D18" s="857"/>
      <c r="E18" s="857"/>
      <c r="F18" s="857"/>
      <c r="G18" s="857"/>
      <c r="H18" s="857"/>
      <c r="I18" s="858"/>
      <c r="J18" s="52"/>
      <c r="K18" s="52"/>
    </row>
    <row r="19" spans="1:9" s="33" customFormat="1" ht="15" customHeight="1">
      <c r="A19" s="880" t="s">
        <v>382</v>
      </c>
      <c r="B19" s="881"/>
      <c r="C19" s="881"/>
      <c r="D19" s="881"/>
      <c r="E19" s="881"/>
      <c r="F19" s="881"/>
      <c r="G19" s="881"/>
      <c r="H19" s="881"/>
      <c r="I19" s="882"/>
    </row>
    <row r="20" spans="1:9" s="33" customFormat="1" ht="28.5" customHeight="1">
      <c r="A20" s="880" t="s">
        <v>168</v>
      </c>
      <c r="B20" s="881"/>
      <c r="C20" s="881"/>
      <c r="D20" s="881"/>
      <c r="E20" s="881"/>
      <c r="F20" s="881"/>
      <c r="G20" s="881"/>
      <c r="H20" s="881"/>
      <c r="I20" s="882"/>
    </row>
    <row r="21" spans="1:9" s="33" customFormat="1" ht="15" customHeight="1">
      <c r="A21" s="258"/>
      <c r="B21" s="259"/>
      <c r="C21" s="259"/>
      <c r="D21" s="259"/>
      <c r="E21" s="259"/>
      <c r="F21" s="259"/>
      <c r="G21" s="259"/>
      <c r="H21" s="259"/>
      <c r="I21" s="260"/>
    </row>
    <row r="22" spans="1:9" s="33" customFormat="1" ht="15" customHeight="1">
      <c r="A22" s="171"/>
      <c r="B22" s="169"/>
      <c r="C22" s="50"/>
      <c r="D22" s="50"/>
      <c r="E22" s="50"/>
      <c r="F22" s="50"/>
      <c r="G22" s="169"/>
      <c r="H22" s="50"/>
      <c r="I22" s="90"/>
    </row>
    <row r="23" spans="1:11" s="33" customFormat="1" ht="15" customHeight="1">
      <c r="A23" s="171"/>
      <c r="B23" s="389"/>
      <c r="C23" s="389">
        <f>_xlfn.IFERROR(IF(Indice!B6="","2XX2",YEAR(Indice!B6)),"2XX2")</f>
        <v>2021</v>
      </c>
      <c r="D23" s="389"/>
      <c r="E23" s="266"/>
      <c r="F23" s="389"/>
      <c r="G23" s="389">
        <f>_xlfn.IFERROR(YEAR(Indice!B6-365),"2XX1")</f>
        <v>2020</v>
      </c>
      <c r="H23" s="389"/>
      <c r="I23" s="268"/>
      <c r="J23" s="266"/>
      <c r="K23" s="121"/>
    </row>
    <row r="24" spans="1:9" s="33" customFormat="1" ht="15" customHeight="1">
      <c r="A24" s="171"/>
      <c r="B24" s="125" t="s">
        <v>107</v>
      </c>
      <c r="C24" s="193" t="s">
        <v>181</v>
      </c>
      <c r="D24" s="193" t="s">
        <v>182</v>
      </c>
      <c r="E24" s="50"/>
      <c r="F24" s="125" t="s">
        <v>107</v>
      </c>
      <c r="G24" s="193" t="s">
        <v>181</v>
      </c>
      <c r="H24" s="193" t="s">
        <v>182</v>
      </c>
      <c r="I24" s="90"/>
    </row>
    <row r="25" spans="1:11" s="33" customFormat="1" ht="15" customHeight="1">
      <c r="A25" s="171" t="s">
        <v>106</v>
      </c>
      <c r="B25" s="169"/>
      <c r="C25" s="169"/>
      <c r="D25" s="169"/>
      <c r="E25" s="169"/>
      <c r="F25" s="269"/>
      <c r="G25" s="169"/>
      <c r="H25" s="169"/>
      <c r="I25" s="172"/>
      <c r="J25" s="121"/>
      <c r="K25" s="129"/>
    </row>
    <row r="26" spans="1:11" s="33" customFormat="1" ht="15" customHeight="1">
      <c r="A26" s="171"/>
      <c r="B26" s="169"/>
      <c r="C26" s="169"/>
      <c r="D26" s="169"/>
      <c r="E26" s="169"/>
      <c r="F26" s="269"/>
      <c r="G26" s="169"/>
      <c r="H26" s="169"/>
      <c r="I26" s="172"/>
      <c r="J26" s="121"/>
      <c r="K26" s="129"/>
    </row>
    <row r="27" spans="1:11" s="33" customFormat="1" ht="15" customHeight="1">
      <c r="A27" s="171" t="s">
        <v>108</v>
      </c>
      <c r="B27" s="169"/>
      <c r="C27" s="169"/>
      <c r="D27" s="169"/>
      <c r="E27" s="169"/>
      <c r="F27" s="269"/>
      <c r="G27" s="169"/>
      <c r="H27" s="169"/>
      <c r="I27" s="172"/>
      <c r="J27" s="121"/>
      <c r="K27" s="129"/>
    </row>
    <row r="28" spans="1:9" s="33" customFormat="1" ht="15" customHeight="1">
      <c r="A28" s="171"/>
      <c r="B28" s="124"/>
      <c r="C28" s="124"/>
      <c r="D28" s="170"/>
      <c r="E28" s="50"/>
      <c r="F28" s="124"/>
      <c r="G28" s="124"/>
      <c r="H28" s="170"/>
      <c r="I28" s="90"/>
    </row>
    <row r="29" spans="1:9" s="33" customFormat="1" ht="15" customHeight="1">
      <c r="A29" s="270" t="s">
        <v>109</v>
      </c>
      <c r="B29" s="271"/>
      <c r="C29" s="271"/>
      <c r="D29" s="272">
        <f>F25-F27</f>
        <v>0</v>
      </c>
      <c r="E29" s="50"/>
      <c r="F29" s="271"/>
      <c r="G29" s="271"/>
      <c r="H29" s="272">
        <f>K25-K27</f>
        <v>0</v>
      </c>
      <c r="I29" s="90"/>
    </row>
    <row r="30" spans="1:11" s="33" customFormat="1" ht="15" customHeight="1">
      <c r="A30" s="171"/>
      <c r="B30" s="169"/>
      <c r="C30" s="169"/>
      <c r="D30" s="169"/>
      <c r="E30" s="169"/>
      <c r="F30" s="169"/>
      <c r="G30" s="169"/>
      <c r="H30" s="169"/>
      <c r="I30" s="172"/>
      <c r="J30" s="121"/>
      <c r="K30" s="121"/>
    </row>
    <row r="31" spans="1:11" s="33" customFormat="1" ht="15" customHeight="1">
      <c r="A31" s="171"/>
      <c r="B31" s="169"/>
      <c r="C31" s="169"/>
      <c r="D31" s="169"/>
      <c r="E31" s="169"/>
      <c r="F31" s="169"/>
      <c r="G31" s="169"/>
      <c r="H31" s="169"/>
      <c r="I31" s="172"/>
      <c r="J31" s="121"/>
      <c r="K31" s="121"/>
    </row>
    <row r="32" spans="1:11" s="33" customFormat="1" ht="33" customHeight="1">
      <c r="A32" s="850" t="s">
        <v>383</v>
      </c>
      <c r="B32" s="851"/>
      <c r="C32" s="851"/>
      <c r="D32" s="851"/>
      <c r="E32" s="851"/>
      <c r="F32" s="851"/>
      <c r="G32" s="851"/>
      <c r="H32" s="851"/>
      <c r="I32" s="852"/>
      <c r="J32" s="267"/>
      <c r="K32" s="121"/>
    </row>
    <row r="33" spans="1:9" s="33" customFormat="1" ht="15" customHeight="1">
      <c r="A33" s="258"/>
      <c r="B33" s="259"/>
      <c r="C33" s="259"/>
      <c r="D33" s="259"/>
      <c r="E33" s="259"/>
      <c r="F33" s="259"/>
      <c r="G33" s="259"/>
      <c r="H33" s="259"/>
      <c r="I33" s="260"/>
    </row>
    <row r="34" spans="1:11" s="33" customFormat="1" ht="15" customHeight="1">
      <c r="A34" s="856" t="s">
        <v>42</v>
      </c>
      <c r="B34" s="857"/>
      <c r="C34" s="857"/>
      <c r="D34" s="857"/>
      <c r="E34" s="857"/>
      <c r="F34" s="857"/>
      <c r="G34" s="857"/>
      <c r="H34" s="857"/>
      <c r="I34" s="858"/>
      <c r="J34" s="52"/>
      <c r="K34" s="52"/>
    </row>
    <row r="35" spans="1:9" s="33" customFormat="1" ht="28.5" customHeight="1">
      <c r="A35" s="850" t="s">
        <v>287</v>
      </c>
      <c r="B35" s="851"/>
      <c r="C35" s="851"/>
      <c r="D35" s="851"/>
      <c r="E35" s="851"/>
      <c r="F35" s="851"/>
      <c r="G35" s="851"/>
      <c r="H35" s="851"/>
      <c r="I35" s="852"/>
    </row>
    <row r="36" spans="1:9" s="33" customFormat="1" ht="15" customHeight="1">
      <c r="A36" s="224"/>
      <c r="B36" s="225"/>
      <c r="C36" s="225"/>
      <c r="D36" s="225"/>
      <c r="E36" s="225"/>
      <c r="F36" s="225"/>
      <c r="G36" s="225"/>
      <c r="H36" s="225"/>
      <c r="I36" s="226"/>
    </row>
    <row r="37" spans="1:9" s="33" customFormat="1" ht="15" customHeight="1">
      <c r="A37" s="853"/>
      <c r="B37" s="854"/>
      <c r="C37" s="854"/>
      <c r="D37" s="854"/>
      <c r="E37" s="854"/>
      <c r="F37" s="854"/>
      <c r="G37" s="854"/>
      <c r="H37" s="854"/>
      <c r="I37" s="855"/>
    </row>
    <row r="38" spans="1:11" s="33" customFormat="1" ht="15" customHeight="1">
      <c r="A38" s="874" t="s">
        <v>170</v>
      </c>
      <c r="B38" s="875"/>
      <c r="C38" s="875"/>
      <c r="D38" s="875"/>
      <c r="E38" s="875"/>
      <c r="F38" s="875"/>
      <c r="G38" s="875"/>
      <c r="H38" s="875"/>
      <c r="I38" s="876"/>
      <c r="J38" s="52"/>
      <c r="K38" s="52"/>
    </row>
    <row r="39" spans="1:11" s="33" customFormat="1" ht="122.25" customHeight="1">
      <c r="A39" s="850" t="s">
        <v>288</v>
      </c>
      <c r="B39" s="869"/>
      <c r="C39" s="869"/>
      <c r="D39" s="869"/>
      <c r="E39" s="869"/>
      <c r="F39" s="869"/>
      <c r="G39" s="869"/>
      <c r="H39" s="869"/>
      <c r="I39" s="870"/>
      <c r="J39" s="52"/>
      <c r="K39" s="52"/>
    </row>
    <row r="40" spans="1:11" s="33" customFormat="1" ht="27" customHeight="1">
      <c r="A40" s="883" t="s">
        <v>384</v>
      </c>
      <c r="B40" s="884"/>
      <c r="C40" s="884"/>
      <c r="D40" s="884"/>
      <c r="E40" s="884"/>
      <c r="F40" s="884"/>
      <c r="G40" s="884"/>
      <c r="H40" s="884"/>
      <c r="I40" s="885"/>
      <c r="J40" s="52"/>
      <c r="K40" s="52"/>
    </row>
    <row r="41" spans="1:11" s="72" customFormat="1" ht="15" customHeight="1">
      <c r="A41" s="164"/>
      <c r="B41" s="165"/>
      <c r="C41" s="165"/>
      <c r="D41" s="165"/>
      <c r="E41" s="165"/>
      <c r="F41" s="165"/>
      <c r="G41" s="165"/>
      <c r="H41" s="165"/>
      <c r="I41" s="166"/>
      <c r="J41" s="167"/>
      <c r="K41" s="167"/>
    </row>
    <row r="42" spans="1:9" s="33" customFormat="1" ht="15" customHeight="1">
      <c r="A42" s="853"/>
      <c r="B42" s="854"/>
      <c r="C42" s="854"/>
      <c r="D42" s="854"/>
      <c r="E42" s="854"/>
      <c r="F42" s="854"/>
      <c r="G42" s="854"/>
      <c r="H42" s="854"/>
      <c r="I42" s="855"/>
    </row>
    <row r="43" spans="1:11" s="33" customFormat="1" ht="15" customHeight="1">
      <c r="A43" s="856" t="s">
        <v>169</v>
      </c>
      <c r="B43" s="857"/>
      <c r="C43" s="857"/>
      <c r="D43" s="857"/>
      <c r="E43" s="857"/>
      <c r="F43" s="857"/>
      <c r="G43" s="857"/>
      <c r="H43" s="857"/>
      <c r="I43" s="858"/>
      <c r="J43" s="52"/>
      <c r="K43" s="52"/>
    </row>
    <row r="44" spans="1:9" s="33" customFormat="1" ht="43.5" customHeight="1">
      <c r="A44" s="871" t="s">
        <v>289</v>
      </c>
      <c r="B44" s="872"/>
      <c r="C44" s="872"/>
      <c r="D44" s="872"/>
      <c r="E44" s="872"/>
      <c r="F44" s="872"/>
      <c r="G44" s="872"/>
      <c r="H44" s="872"/>
      <c r="I44" s="873"/>
    </row>
    <row r="45" spans="1:9" s="33" customFormat="1" ht="21" customHeight="1">
      <c r="A45" s="871" t="s">
        <v>1262</v>
      </c>
      <c r="B45" s="872"/>
      <c r="C45" s="872"/>
      <c r="D45" s="872"/>
      <c r="E45" s="872"/>
      <c r="F45" s="872"/>
      <c r="G45" s="872"/>
      <c r="H45" s="872"/>
      <c r="I45" s="873"/>
    </row>
    <row r="46" spans="1:9" s="33" customFormat="1" ht="28.5" customHeight="1">
      <c r="A46" s="685"/>
      <c r="B46" s="685"/>
      <c r="C46" s="685"/>
      <c r="D46" s="685"/>
      <c r="E46" s="685"/>
      <c r="F46" s="685"/>
      <c r="G46" s="685"/>
      <c r="H46" s="685"/>
      <c r="I46" s="686"/>
    </row>
    <row r="47" spans="1:9" s="33" customFormat="1" ht="43.5" customHeight="1">
      <c r="A47" s="685"/>
      <c r="B47" s="685"/>
      <c r="C47" s="685"/>
      <c r="D47" s="685"/>
      <c r="E47" s="685"/>
      <c r="F47" s="685"/>
      <c r="G47" s="685"/>
      <c r="H47" s="685"/>
      <c r="I47" s="686"/>
    </row>
    <row r="48" spans="1:9" s="33" customFormat="1" ht="43.5" customHeight="1">
      <c r="A48" s="685"/>
      <c r="B48" s="685"/>
      <c r="C48" s="685"/>
      <c r="D48" s="685"/>
      <c r="E48" s="685"/>
      <c r="F48" s="685"/>
      <c r="G48" s="685"/>
      <c r="H48" s="685"/>
      <c r="I48" s="686"/>
    </row>
    <row r="49" spans="1:11" s="33" customFormat="1" ht="15.75" customHeight="1">
      <c r="A49" s="685"/>
      <c r="B49" s="685"/>
      <c r="C49" s="685"/>
      <c r="D49" s="685"/>
      <c r="E49" s="685"/>
      <c r="F49" s="685"/>
      <c r="G49" s="685"/>
      <c r="H49" s="685"/>
      <c r="I49" s="686"/>
      <c r="K49" s="789"/>
    </row>
    <row r="50" spans="1:9" s="33" customFormat="1" ht="14.25" customHeight="1">
      <c r="A50" s="871" t="s">
        <v>1263</v>
      </c>
      <c r="B50" s="872"/>
      <c r="C50" s="872"/>
      <c r="D50" s="872"/>
      <c r="E50" s="872"/>
      <c r="F50" s="872"/>
      <c r="G50" s="872"/>
      <c r="H50" s="872"/>
      <c r="I50" s="873"/>
    </row>
    <row r="51" spans="1:9" s="33" customFormat="1" ht="15" customHeight="1">
      <c r="A51" s="871" t="s">
        <v>1342</v>
      </c>
      <c r="B51" s="872"/>
      <c r="C51" s="872"/>
      <c r="D51" s="872"/>
      <c r="E51" s="872"/>
      <c r="F51" s="872"/>
      <c r="G51" s="872"/>
      <c r="H51" s="872"/>
      <c r="I51" s="873"/>
    </row>
    <row r="52" spans="1:9" s="33" customFormat="1" ht="15" customHeight="1">
      <c r="A52" s="871" t="s">
        <v>1315</v>
      </c>
      <c r="B52" s="872"/>
      <c r="C52" s="872"/>
      <c r="D52" s="872"/>
      <c r="E52" s="872"/>
      <c r="F52" s="872"/>
      <c r="G52" s="872"/>
      <c r="H52" s="872"/>
      <c r="I52" s="873"/>
    </row>
    <row r="53" spans="1:11" s="33" customFormat="1" ht="15" customHeight="1">
      <c r="A53" s="856" t="s">
        <v>907</v>
      </c>
      <c r="B53" s="857"/>
      <c r="C53" s="857"/>
      <c r="D53" s="857"/>
      <c r="E53" s="857"/>
      <c r="F53" s="857"/>
      <c r="G53" s="857"/>
      <c r="H53" s="857"/>
      <c r="I53" s="858"/>
      <c r="J53" s="52"/>
      <c r="K53" s="52"/>
    </row>
    <row r="54" spans="1:11" s="33" customFormat="1" ht="40.5" customHeight="1">
      <c r="A54" s="871" t="s">
        <v>972</v>
      </c>
      <c r="B54" s="872"/>
      <c r="C54" s="872"/>
      <c r="D54" s="872"/>
      <c r="E54" s="872"/>
      <c r="F54" s="872"/>
      <c r="G54" s="872"/>
      <c r="H54" s="872"/>
      <c r="I54" s="873"/>
      <c r="J54" s="52"/>
      <c r="K54" s="52"/>
    </row>
    <row r="55" spans="1:9" s="33" customFormat="1" ht="15" customHeight="1">
      <c r="A55" s="89"/>
      <c r="B55" s="50"/>
      <c r="C55" s="50"/>
      <c r="D55" s="50"/>
      <c r="E55" s="50"/>
      <c r="F55" s="50"/>
      <c r="G55" s="50"/>
      <c r="H55" s="50"/>
      <c r="I55" s="90"/>
    </row>
    <row r="56" spans="1:9" s="33" customFormat="1" ht="15" customHeight="1">
      <c r="A56" s="227"/>
      <c r="B56" s="228"/>
      <c r="C56" s="228"/>
      <c r="D56" s="228"/>
      <c r="E56" s="228"/>
      <c r="F56" s="228"/>
      <c r="G56" s="228"/>
      <c r="H56" s="228"/>
      <c r="I56" s="229"/>
    </row>
    <row r="57" spans="1:11" s="33" customFormat="1" ht="15" customHeight="1">
      <c r="A57" s="856" t="s">
        <v>908</v>
      </c>
      <c r="B57" s="857"/>
      <c r="C57" s="857"/>
      <c r="D57" s="857"/>
      <c r="E57" s="857"/>
      <c r="F57" s="857"/>
      <c r="G57" s="857"/>
      <c r="H57" s="857"/>
      <c r="I57" s="858"/>
      <c r="J57" s="52"/>
      <c r="K57" s="52"/>
    </row>
    <row r="58" spans="1:9" s="33" customFormat="1" ht="27" customHeight="1">
      <c r="A58" s="850" t="s">
        <v>171</v>
      </c>
      <c r="B58" s="851"/>
      <c r="C58" s="851"/>
      <c r="D58" s="851"/>
      <c r="E58" s="851"/>
      <c r="F58" s="851"/>
      <c r="G58" s="851"/>
      <c r="H58" s="851"/>
      <c r="I58" s="852"/>
    </row>
    <row r="59" spans="1:9" s="33" customFormat="1" ht="15" customHeight="1">
      <c r="A59" s="236"/>
      <c r="B59" s="237"/>
      <c r="C59" s="237"/>
      <c r="D59" s="237"/>
      <c r="E59" s="237"/>
      <c r="F59" s="237"/>
      <c r="G59" s="237"/>
      <c r="H59" s="237"/>
      <c r="I59" s="238"/>
    </row>
    <row r="60" spans="1:9" s="33" customFormat="1" ht="15" customHeight="1">
      <c r="A60" s="89"/>
      <c r="B60" s="50"/>
      <c r="C60" s="50"/>
      <c r="D60" s="50"/>
      <c r="E60" s="50"/>
      <c r="F60" s="50"/>
      <c r="G60" s="50"/>
      <c r="H60" s="50"/>
      <c r="I60" s="90"/>
    </row>
    <row r="61" spans="1:11" s="33" customFormat="1" ht="15" customHeight="1">
      <c r="A61" s="856" t="s">
        <v>909</v>
      </c>
      <c r="B61" s="857"/>
      <c r="C61" s="857"/>
      <c r="D61" s="857"/>
      <c r="E61" s="857"/>
      <c r="F61" s="857"/>
      <c r="G61" s="857"/>
      <c r="H61" s="857"/>
      <c r="I61" s="858"/>
      <c r="J61" s="849"/>
      <c r="K61" s="849"/>
    </row>
    <row r="62" spans="1:11" s="33" customFormat="1" ht="30" customHeight="1">
      <c r="A62" s="850" t="s">
        <v>172</v>
      </c>
      <c r="B62" s="851"/>
      <c r="C62" s="851"/>
      <c r="D62" s="851"/>
      <c r="E62" s="851"/>
      <c r="F62" s="851"/>
      <c r="G62" s="851"/>
      <c r="H62" s="851"/>
      <c r="I62" s="852"/>
      <c r="J62" s="849"/>
      <c r="K62" s="849"/>
    </row>
    <row r="63" spans="1:11" s="33" customFormat="1" ht="15" customHeight="1">
      <c r="A63" s="853"/>
      <c r="B63" s="854"/>
      <c r="C63" s="854"/>
      <c r="D63" s="854"/>
      <c r="E63" s="854"/>
      <c r="F63" s="854"/>
      <c r="G63" s="854"/>
      <c r="H63" s="854"/>
      <c r="I63" s="855"/>
      <c r="J63" s="849"/>
      <c r="K63" s="849"/>
    </row>
    <row r="64" spans="1:11" s="33" customFormat="1" ht="15" customHeight="1">
      <c r="A64" s="856" t="s">
        <v>910</v>
      </c>
      <c r="B64" s="857"/>
      <c r="C64" s="857"/>
      <c r="D64" s="857"/>
      <c r="E64" s="857"/>
      <c r="F64" s="857"/>
      <c r="G64" s="857"/>
      <c r="H64" s="857"/>
      <c r="I64" s="858"/>
      <c r="J64" s="849"/>
      <c r="K64" s="849"/>
    </row>
    <row r="65" spans="1:11" s="33" customFormat="1" ht="22.5" customHeight="1">
      <c r="A65" s="850" t="s">
        <v>1310</v>
      </c>
      <c r="B65" s="851"/>
      <c r="C65" s="851"/>
      <c r="D65" s="851"/>
      <c r="E65" s="851"/>
      <c r="F65" s="851"/>
      <c r="G65" s="851"/>
      <c r="H65" s="851"/>
      <c r="I65" s="852"/>
      <c r="J65" s="849"/>
      <c r="K65" s="849"/>
    </row>
    <row r="66" spans="1:11" s="33" customFormat="1" ht="25.5" customHeight="1">
      <c r="A66" s="850" t="s">
        <v>173</v>
      </c>
      <c r="B66" s="851"/>
      <c r="C66" s="851"/>
      <c r="D66" s="851"/>
      <c r="E66" s="851"/>
      <c r="F66" s="851"/>
      <c r="G66" s="851"/>
      <c r="H66" s="851"/>
      <c r="I66" s="852"/>
      <c r="J66" s="849"/>
      <c r="K66" s="849"/>
    </row>
    <row r="67" spans="1:11" s="33" customFormat="1" ht="39" customHeight="1">
      <c r="A67" s="850" t="s">
        <v>1264</v>
      </c>
      <c r="B67" s="851"/>
      <c r="C67" s="851"/>
      <c r="D67" s="851"/>
      <c r="E67" s="851"/>
      <c r="F67" s="851"/>
      <c r="G67" s="851"/>
      <c r="H67" s="851"/>
      <c r="I67" s="852"/>
      <c r="J67" s="163"/>
      <c r="K67" s="163"/>
    </row>
    <row r="68" spans="1:11" s="33" customFormat="1" ht="24.75" customHeight="1">
      <c r="A68" s="850" t="s">
        <v>1265</v>
      </c>
      <c r="B68" s="851"/>
      <c r="C68" s="851"/>
      <c r="D68" s="851"/>
      <c r="E68" s="851"/>
      <c r="F68" s="851"/>
      <c r="G68" s="851"/>
      <c r="H68" s="851"/>
      <c r="I68" s="852"/>
      <c r="J68" s="163"/>
      <c r="K68" s="163"/>
    </row>
    <row r="69" spans="1:11" s="33" customFormat="1" ht="15" customHeight="1">
      <c r="A69" s="236"/>
      <c r="B69" s="237"/>
      <c r="C69" s="237"/>
      <c r="D69" s="237"/>
      <c r="E69" s="237"/>
      <c r="F69" s="237"/>
      <c r="G69" s="237"/>
      <c r="H69" s="237"/>
      <c r="I69" s="238"/>
      <c r="J69" s="163"/>
      <c r="K69" s="163"/>
    </row>
    <row r="70" spans="1:11" s="33" customFormat="1" ht="15" customHeight="1">
      <c r="A70" s="853"/>
      <c r="B70" s="854"/>
      <c r="C70" s="854"/>
      <c r="D70" s="854"/>
      <c r="E70" s="854"/>
      <c r="F70" s="854"/>
      <c r="G70" s="854"/>
      <c r="H70" s="854"/>
      <c r="I70" s="855"/>
      <c r="J70" s="849"/>
      <c r="K70" s="849"/>
    </row>
    <row r="71" spans="1:11" s="33" customFormat="1" ht="15" customHeight="1">
      <c r="A71" s="856" t="s">
        <v>911</v>
      </c>
      <c r="B71" s="857"/>
      <c r="C71" s="857"/>
      <c r="D71" s="857"/>
      <c r="E71" s="857"/>
      <c r="F71" s="857"/>
      <c r="G71" s="857"/>
      <c r="H71" s="857"/>
      <c r="I71" s="858"/>
      <c r="J71" s="849"/>
      <c r="K71" s="849"/>
    </row>
    <row r="72" spans="1:11" s="53" customFormat="1" ht="15" customHeight="1">
      <c r="A72" s="850" t="s">
        <v>174</v>
      </c>
      <c r="B72" s="851"/>
      <c r="C72" s="851"/>
      <c r="D72" s="851"/>
      <c r="E72" s="851"/>
      <c r="F72" s="851"/>
      <c r="G72" s="851"/>
      <c r="H72" s="851"/>
      <c r="I72" s="852"/>
      <c r="J72" s="859"/>
      <c r="K72" s="859"/>
    </row>
    <row r="73" spans="1:11" s="53" customFormat="1" ht="24.75" customHeight="1">
      <c r="A73" s="850" t="s">
        <v>1266</v>
      </c>
      <c r="B73" s="851"/>
      <c r="C73" s="851"/>
      <c r="D73" s="851"/>
      <c r="E73" s="851"/>
      <c r="F73" s="851"/>
      <c r="G73" s="851"/>
      <c r="H73" s="851"/>
      <c r="I73" s="852"/>
      <c r="J73" s="859"/>
      <c r="K73" s="859"/>
    </row>
    <row r="74" spans="1:11" s="53" customFormat="1" ht="15" customHeight="1">
      <c r="A74" s="850" t="s">
        <v>175</v>
      </c>
      <c r="B74" s="851"/>
      <c r="C74" s="851"/>
      <c r="D74" s="851"/>
      <c r="E74" s="851"/>
      <c r="F74" s="851"/>
      <c r="G74" s="851"/>
      <c r="H74" s="851"/>
      <c r="I74" s="852"/>
      <c r="J74" s="859"/>
      <c r="K74" s="859"/>
    </row>
    <row r="75" spans="1:11" s="33" customFormat="1" ht="15" customHeight="1">
      <c r="A75" s="236"/>
      <c r="B75" s="237"/>
      <c r="C75" s="237"/>
      <c r="D75" s="237"/>
      <c r="E75" s="237"/>
      <c r="F75" s="237"/>
      <c r="G75" s="237"/>
      <c r="H75" s="237"/>
      <c r="I75" s="238"/>
      <c r="J75" s="191"/>
      <c r="K75" s="191"/>
    </row>
    <row r="76" spans="1:11" s="33" customFormat="1" ht="15" customHeight="1">
      <c r="A76" s="853"/>
      <c r="B76" s="854"/>
      <c r="C76" s="854"/>
      <c r="D76" s="854"/>
      <c r="E76" s="854"/>
      <c r="F76" s="854"/>
      <c r="G76" s="854"/>
      <c r="H76" s="854"/>
      <c r="I76" s="855"/>
      <c r="J76" s="849"/>
      <c r="K76" s="849"/>
    </row>
    <row r="77" spans="1:11" s="33" customFormat="1" ht="15" customHeight="1">
      <c r="A77" s="856" t="s">
        <v>912</v>
      </c>
      <c r="B77" s="857"/>
      <c r="C77" s="857"/>
      <c r="D77" s="857"/>
      <c r="E77" s="857"/>
      <c r="F77" s="857"/>
      <c r="G77" s="857"/>
      <c r="H77" s="857"/>
      <c r="I77" s="858"/>
      <c r="J77" s="849"/>
      <c r="K77" s="849"/>
    </row>
    <row r="78" spans="1:11" s="53" customFormat="1" ht="25.5" customHeight="1">
      <c r="A78" s="850" t="s">
        <v>972</v>
      </c>
      <c r="B78" s="851"/>
      <c r="C78" s="851"/>
      <c r="D78" s="851"/>
      <c r="E78" s="851"/>
      <c r="F78" s="851"/>
      <c r="G78" s="851"/>
      <c r="H78" s="851"/>
      <c r="I78" s="852"/>
      <c r="J78" s="192"/>
      <c r="K78" s="192"/>
    </row>
    <row r="79" spans="1:11" s="33" customFormat="1" ht="15" customHeight="1">
      <c r="A79" s="89"/>
      <c r="B79" s="50"/>
      <c r="C79" s="50"/>
      <c r="D79" s="50"/>
      <c r="E79" s="50"/>
      <c r="F79" s="50"/>
      <c r="G79" s="50"/>
      <c r="H79" s="50"/>
      <c r="I79" s="90"/>
      <c r="J79" s="163"/>
      <c r="K79" s="163"/>
    </row>
    <row r="80" spans="1:11" s="26" customFormat="1" ht="15" customHeight="1">
      <c r="A80" s="233"/>
      <c r="B80" s="234"/>
      <c r="C80" s="234"/>
      <c r="D80" s="234"/>
      <c r="E80" s="234"/>
      <c r="F80" s="234"/>
      <c r="G80" s="234"/>
      <c r="H80" s="234"/>
      <c r="I80" s="235"/>
      <c r="J80" s="168"/>
      <c r="K80" s="168"/>
    </row>
    <row r="81" spans="1:11" s="26" customFormat="1" ht="15" customHeight="1">
      <c r="A81" s="856" t="s">
        <v>913</v>
      </c>
      <c r="B81" s="857"/>
      <c r="C81" s="857"/>
      <c r="D81" s="857"/>
      <c r="E81" s="857"/>
      <c r="F81" s="857"/>
      <c r="G81" s="857"/>
      <c r="H81" s="857"/>
      <c r="I81" s="858"/>
      <c r="J81" s="168"/>
      <c r="K81" s="168"/>
    </row>
    <row r="82" spans="1:11" s="26" customFormat="1" ht="15" customHeight="1">
      <c r="A82" s="850" t="s">
        <v>176</v>
      </c>
      <c r="B82" s="851"/>
      <c r="C82" s="851"/>
      <c r="D82" s="851"/>
      <c r="E82" s="851"/>
      <c r="F82" s="851"/>
      <c r="G82" s="851"/>
      <c r="H82" s="851"/>
      <c r="I82" s="852"/>
      <c r="J82" s="168"/>
      <c r="K82" s="168"/>
    </row>
    <row r="83" spans="1:11" s="33" customFormat="1" ht="15" customHeight="1">
      <c r="A83" s="89"/>
      <c r="B83" s="50"/>
      <c r="C83" s="50"/>
      <c r="D83" s="50"/>
      <c r="E83" s="50"/>
      <c r="F83" s="50"/>
      <c r="G83" s="50"/>
      <c r="H83" s="50"/>
      <c r="I83" s="90"/>
      <c r="J83" s="849"/>
      <c r="K83" s="849"/>
    </row>
    <row r="84" spans="1:11" s="33" customFormat="1" ht="15" customHeight="1">
      <c r="A84" s="236"/>
      <c r="B84" s="237"/>
      <c r="C84" s="237"/>
      <c r="D84" s="237"/>
      <c r="E84" s="237"/>
      <c r="F84" s="237"/>
      <c r="G84" s="237"/>
      <c r="H84" s="237"/>
      <c r="I84" s="238"/>
      <c r="J84" s="163"/>
      <c r="K84" s="163"/>
    </row>
    <row r="85" spans="1:11" s="33" customFormat="1" ht="15" customHeight="1">
      <c r="A85" s="856" t="s">
        <v>914</v>
      </c>
      <c r="B85" s="857"/>
      <c r="C85" s="857"/>
      <c r="D85" s="857"/>
      <c r="E85" s="857"/>
      <c r="F85" s="857"/>
      <c r="G85" s="857"/>
      <c r="H85" s="857"/>
      <c r="I85" s="858"/>
      <c r="J85" s="849"/>
      <c r="K85" s="849"/>
    </row>
    <row r="86" spans="1:11" s="33" customFormat="1" ht="36.75" customHeight="1">
      <c r="A86" s="850" t="s">
        <v>177</v>
      </c>
      <c r="B86" s="851"/>
      <c r="C86" s="851"/>
      <c r="D86" s="851"/>
      <c r="E86" s="851"/>
      <c r="F86" s="851"/>
      <c r="G86" s="851"/>
      <c r="H86" s="851"/>
      <c r="I86" s="852"/>
      <c r="J86" s="163"/>
      <c r="K86" s="163"/>
    </row>
    <row r="87" spans="1:11" s="33" customFormat="1" ht="15" customHeight="1">
      <c r="A87" s="258"/>
      <c r="B87" s="259"/>
      <c r="C87" s="259"/>
      <c r="D87" s="259"/>
      <c r="E87" s="259"/>
      <c r="F87" s="259"/>
      <c r="G87" s="259"/>
      <c r="H87" s="259"/>
      <c r="I87" s="260"/>
      <c r="J87" s="257"/>
      <c r="K87" s="257"/>
    </row>
    <row r="88" spans="1:11" s="33" customFormat="1" ht="15" customHeight="1">
      <c r="A88" s="866" t="s">
        <v>915</v>
      </c>
      <c r="B88" s="867"/>
      <c r="C88" s="867"/>
      <c r="D88" s="867"/>
      <c r="E88" s="867"/>
      <c r="F88" s="867"/>
      <c r="G88" s="867"/>
      <c r="H88" s="867"/>
      <c r="I88" s="868"/>
      <c r="J88" s="51"/>
      <c r="K88" s="51"/>
    </row>
    <row r="89" spans="1:11" s="33" customFormat="1" ht="15" customHeight="1">
      <c r="A89" s="850" t="s">
        <v>183</v>
      </c>
      <c r="B89" s="851"/>
      <c r="C89" s="851"/>
      <c r="D89" s="851"/>
      <c r="E89" s="851"/>
      <c r="F89" s="851"/>
      <c r="G89" s="851"/>
      <c r="H89" s="851"/>
      <c r="I89" s="852"/>
      <c r="J89" s="273"/>
      <c r="K89" s="273"/>
    </row>
    <row r="90" spans="1:11" s="33" customFormat="1" ht="15" customHeight="1">
      <c r="A90" s="261"/>
      <c r="B90" s="262"/>
      <c r="C90" s="262"/>
      <c r="D90" s="262"/>
      <c r="E90" s="262"/>
      <c r="F90" s="262"/>
      <c r="G90" s="262"/>
      <c r="H90" s="262"/>
      <c r="I90" s="263"/>
      <c r="J90" s="163"/>
      <c r="K90" s="163"/>
    </row>
    <row r="91" spans="1:11" s="33" customFormat="1" ht="15" customHeight="1">
      <c r="A91" s="856" t="s">
        <v>916</v>
      </c>
      <c r="B91" s="857"/>
      <c r="C91" s="857"/>
      <c r="D91" s="857"/>
      <c r="E91" s="857"/>
      <c r="F91" s="857"/>
      <c r="G91" s="857"/>
      <c r="H91" s="857"/>
      <c r="I91" s="858"/>
      <c r="J91" s="163"/>
      <c r="K91" s="163"/>
    </row>
    <row r="92" spans="1:11" s="53" customFormat="1" ht="36" customHeight="1">
      <c r="A92" s="850" t="s">
        <v>178</v>
      </c>
      <c r="B92" s="851"/>
      <c r="C92" s="851"/>
      <c r="D92" s="851"/>
      <c r="E92" s="851"/>
      <c r="F92" s="851"/>
      <c r="G92" s="851"/>
      <c r="H92" s="851"/>
      <c r="I92" s="852"/>
      <c r="J92" s="192"/>
      <c r="K92" s="192"/>
    </row>
    <row r="93" spans="1:11" s="53" customFormat="1" ht="23.25" customHeight="1">
      <c r="A93" s="850" t="s">
        <v>179</v>
      </c>
      <c r="B93" s="851"/>
      <c r="C93" s="851"/>
      <c r="D93" s="851"/>
      <c r="E93" s="851"/>
      <c r="F93" s="851"/>
      <c r="G93" s="851"/>
      <c r="H93" s="851"/>
      <c r="I93" s="852"/>
      <c r="J93" s="192"/>
      <c r="K93" s="192"/>
    </row>
    <row r="94" spans="1:11" s="33" customFormat="1" ht="15" customHeight="1">
      <c r="A94" s="89"/>
      <c r="B94" s="50"/>
      <c r="C94" s="50"/>
      <c r="D94" s="50"/>
      <c r="E94" s="50"/>
      <c r="F94" s="50"/>
      <c r="G94" s="50"/>
      <c r="H94" s="50"/>
      <c r="I94" s="90"/>
      <c r="J94" s="191"/>
      <c r="K94" s="191"/>
    </row>
    <row r="95" spans="1:11" s="33" customFormat="1" ht="15" customHeight="1">
      <c r="A95" s="856" t="s">
        <v>917</v>
      </c>
      <c r="B95" s="857"/>
      <c r="C95" s="857"/>
      <c r="D95" s="857"/>
      <c r="E95" s="857"/>
      <c r="F95" s="857"/>
      <c r="G95" s="857"/>
      <c r="H95" s="857"/>
      <c r="I95" s="858"/>
      <c r="J95" s="163"/>
      <c r="K95" s="163"/>
    </row>
    <row r="96" spans="1:11" s="33" customFormat="1" ht="25.5" customHeight="1">
      <c r="A96" s="850" t="s">
        <v>180</v>
      </c>
      <c r="B96" s="851"/>
      <c r="C96" s="851"/>
      <c r="D96" s="851"/>
      <c r="E96" s="851"/>
      <c r="F96" s="851"/>
      <c r="G96" s="851"/>
      <c r="H96" s="851"/>
      <c r="I96" s="852"/>
      <c r="J96" s="163"/>
      <c r="K96" s="163"/>
    </row>
    <row r="97" spans="1:11" s="33" customFormat="1" ht="29.25" customHeight="1">
      <c r="A97" s="864" t="s">
        <v>411</v>
      </c>
      <c r="B97" s="864"/>
      <c r="C97" s="864"/>
      <c r="D97" s="864"/>
      <c r="E97" s="864"/>
      <c r="F97" s="864"/>
      <c r="G97" s="864"/>
      <c r="H97" s="864"/>
      <c r="I97" s="865"/>
      <c r="J97" s="163"/>
      <c r="K97" s="163"/>
    </row>
    <row r="98" spans="1:9" s="26" customFormat="1" ht="15" customHeight="1">
      <c r="A98" s="861"/>
      <c r="B98" s="862"/>
      <c r="C98" s="862"/>
      <c r="D98" s="862"/>
      <c r="E98" s="862"/>
      <c r="F98" s="862"/>
      <c r="G98" s="862"/>
      <c r="H98" s="862"/>
      <c r="I98" s="863"/>
    </row>
    <row r="99" s="33" customFormat="1" ht="15" customHeight="1"/>
    <row r="100" s="33" customFormat="1" ht="15" customHeight="1"/>
    <row r="101" s="33" customFormat="1" ht="15" customHeight="1">
      <c r="A101" s="275"/>
    </row>
    <row r="102" s="33" customFormat="1" ht="15" customHeight="1"/>
    <row r="103" s="33"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860"/>
      <c r="G115" s="860"/>
      <c r="H115" s="860"/>
      <c r="I115" s="860"/>
      <c r="J115" s="860"/>
      <c r="K115" s="860"/>
      <c r="L115" s="860"/>
      <c r="M115" s="860"/>
      <c r="N115" s="860"/>
    </row>
  </sheetData>
  <sheetProtection/>
  <mergeCells count="75">
    <mergeCell ref="A32:I32"/>
    <mergeCell ref="A7:I7"/>
    <mergeCell ref="A15:I15"/>
    <mergeCell ref="A11:I11"/>
    <mergeCell ref="A12:I12"/>
    <mergeCell ref="A10:I10"/>
    <mergeCell ref="A14:I14"/>
    <mergeCell ref="A17:I17"/>
    <mergeCell ref="A18:I18"/>
    <mergeCell ref="A38:I38"/>
    <mergeCell ref="A34:I34"/>
    <mergeCell ref="A42:I42"/>
    <mergeCell ref="A6:I6"/>
    <mergeCell ref="A67:I67"/>
    <mergeCell ref="A16:I16"/>
    <mergeCell ref="A20:I20"/>
    <mergeCell ref="A19:I19"/>
    <mergeCell ref="A53:I53"/>
    <mergeCell ref="A40:I40"/>
    <mergeCell ref="A35:I35"/>
    <mergeCell ref="A39:I39"/>
    <mergeCell ref="A44:I44"/>
    <mergeCell ref="A43:I43"/>
    <mergeCell ref="A54:I54"/>
    <mergeCell ref="A45:I45"/>
    <mergeCell ref="A50:I50"/>
    <mergeCell ref="A51:I51"/>
    <mergeCell ref="A52:I52"/>
    <mergeCell ref="A37:I37"/>
    <mergeCell ref="A57:I57"/>
    <mergeCell ref="A86:I86"/>
    <mergeCell ref="A88:I88"/>
    <mergeCell ref="A82:I82"/>
    <mergeCell ref="A58:I58"/>
    <mergeCell ref="A64:I64"/>
    <mergeCell ref="A61:I61"/>
    <mergeCell ref="A73:I73"/>
    <mergeCell ref="A63:I63"/>
    <mergeCell ref="A68:I68"/>
    <mergeCell ref="F115:N115"/>
    <mergeCell ref="J83:K83"/>
    <mergeCell ref="J85:K85"/>
    <mergeCell ref="A74:I74"/>
    <mergeCell ref="J74:K74"/>
    <mergeCell ref="A98:I98"/>
    <mergeCell ref="A91:I91"/>
    <mergeCell ref="A92:I92"/>
    <mergeCell ref="A97:I97"/>
    <mergeCell ref="A95:I95"/>
    <mergeCell ref="A89:I89"/>
    <mergeCell ref="A96:I96"/>
    <mergeCell ref="A78:I78"/>
    <mergeCell ref="A85:I85"/>
    <mergeCell ref="A93:I93"/>
    <mergeCell ref="A81:I81"/>
    <mergeCell ref="J61:K61"/>
    <mergeCell ref="J62:K62"/>
    <mergeCell ref="A77:I77"/>
    <mergeCell ref="J72:K72"/>
    <mergeCell ref="J73:K73"/>
    <mergeCell ref="J66:K66"/>
    <mergeCell ref="J77:K77"/>
    <mergeCell ref="J70:K70"/>
    <mergeCell ref="J71:K71"/>
    <mergeCell ref="J64:K64"/>
    <mergeCell ref="J63:K63"/>
    <mergeCell ref="A66:I66"/>
    <mergeCell ref="A62:I62"/>
    <mergeCell ref="J76:K76"/>
    <mergeCell ref="A76:I76"/>
    <mergeCell ref="J65:K65"/>
    <mergeCell ref="A70:I70"/>
    <mergeCell ref="A71:I71"/>
    <mergeCell ref="A65:I65"/>
    <mergeCell ref="A72:I7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0">
      <selection activeCell="C21" sqref="C21"/>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5" width="11.421875" style="2" customWidth="1"/>
    <col min="6" max="6" width="15.28125" style="2" bestFit="1" customWidth="1"/>
    <col min="7" max="16384" width="11.421875" style="2" customWidth="1"/>
  </cols>
  <sheetData>
    <row r="1" spans="1:5" ht="15">
      <c r="A1" s="2" t="str">
        <f>Indice!C1</f>
        <v>NEGOFIN S.A.E.C.A.</v>
      </c>
      <c r="E1" s="141" t="s">
        <v>132</v>
      </c>
    </row>
    <row r="2" ht="12.75">
      <c r="A2" s="2" t="s">
        <v>121</v>
      </c>
    </row>
    <row r="7" spans="1:4" ht="12.75">
      <c r="A7" s="276" t="s">
        <v>439</v>
      </c>
      <c r="B7" s="276"/>
      <c r="C7" s="276"/>
      <c r="D7" s="276"/>
    </row>
    <row r="8" spans="1:2" ht="12.75">
      <c r="A8" s="390" t="s">
        <v>313</v>
      </c>
      <c r="B8" s="390"/>
    </row>
    <row r="9" ht="12.75">
      <c r="A9" s="4" t="s">
        <v>4</v>
      </c>
    </row>
    <row r="10" ht="12.75">
      <c r="A10" s="4"/>
    </row>
    <row r="11" spans="1:4" ht="12.75">
      <c r="A11" s="34" t="s">
        <v>5</v>
      </c>
      <c r="B11" s="35"/>
      <c r="C11" s="389">
        <f>_xlfn.IFERROR(IF(Indice!B6="","2XX2",YEAR(Indice!B6)),"2XX2")</f>
        <v>2021</v>
      </c>
      <c r="D11" s="389">
        <f>_xlfn.IFERROR(YEAR(Indice!B6-365),"2XX1")</f>
        <v>2020</v>
      </c>
    </row>
    <row r="12" spans="1:4" ht="12.75">
      <c r="A12" s="36"/>
      <c r="B12" s="35"/>
      <c r="C12" s="96"/>
      <c r="D12" s="96"/>
    </row>
    <row r="13" spans="1:4" ht="14.25">
      <c r="A13" s="38" t="s">
        <v>2</v>
      </c>
      <c r="B13" s="35"/>
      <c r="C13" s="453">
        <v>56509.409</v>
      </c>
      <c r="D13" s="453">
        <v>29617.476</v>
      </c>
    </row>
    <row r="14" spans="1:4" ht="14.25">
      <c r="A14" s="10" t="s">
        <v>6</v>
      </c>
      <c r="B14" s="37"/>
      <c r="C14" s="453">
        <v>0</v>
      </c>
      <c r="D14" s="453">
        <v>0</v>
      </c>
    </row>
    <row r="15" spans="1:7" ht="14.25">
      <c r="A15" s="38" t="s">
        <v>436</v>
      </c>
      <c r="B15" s="37"/>
      <c r="C15" s="453">
        <v>10277704.582</v>
      </c>
      <c r="D15" s="453">
        <v>18844219.62</v>
      </c>
      <c r="F15" s="453"/>
      <c r="G15" s="453"/>
    </row>
    <row r="16" spans="1:6" ht="15">
      <c r="A16" s="38" t="s">
        <v>435</v>
      </c>
      <c r="B16" s="37"/>
      <c r="C16" s="453">
        <v>0</v>
      </c>
      <c r="D16" s="453">
        <v>0</v>
      </c>
      <c r="F16" s="451"/>
    </row>
    <row r="17" spans="1:4" ht="14.25">
      <c r="A17" s="38" t="s">
        <v>438</v>
      </c>
      <c r="B17" s="37"/>
      <c r="C17" s="453">
        <v>0</v>
      </c>
      <c r="D17" s="453">
        <v>0</v>
      </c>
    </row>
    <row r="18" spans="1:4" ht="14.25">
      <c r="A18" s="38" t="s">
        <v>437</v>
      </c>
      <c r="B18" s="37"/>
      <c r="C18" s="453">
        <v>0</v>
      </c>
      <c r="D18" s="453">
        <v>0</v>
      </c>
    </row>
    <row r="19" spans="1:4" ht="14.25">
      <c r="A19" s="38" t="s">
        <v>453</v>
      </c>
      <c r="B19" s="37"/>
      <c r="C19" s="453">
        <v>0</v>
      </c>
      <c r="D19" s="453">
        <v>0</v>
      </c>
    </row>
    <row r="20" spans="1:4" ht="15.75" thickBot="1">
      <c r="A20" s="39" t="s">
        <v>3</v>
      </c>
      <c r="B20" s="40"/>
      <c r="C20" s="492">
        <f>SUM($C$13:C19)</f>
        <v>10334213.991</v>
      </c>
      <c r="D20" s="492">
        <f>SUM($D$13:D19)</f>
        <v>18873837.096</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zoomScalePageLayoutView="0" workbookViewId="0" topLeftCell="A1">
      <selection activeCell="B18" sqref="B18:C18"/>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21" customWidth="1"/>
  </cols>
  <sheetData>
    <row r="1" spans="1:6" ht="15">
      <c r="A1" s="121" t="str">
        <f>Indice!C1</f>
        <v>NEGOFIN S.A.E.C.A.</v>
      </c>
      <c r="B1" s="121"/>
      <c r="C1" s="121"/>
      <c r="D1" s="142" t="s">
        <v>132</v>
      </c>
      <c r="E1" s="121"/>
      <c r="F1" s="121"/>
    </row>
    <row r="2" spans="1:6" ht="15">
      <c r="A2" s="121"/>
      <c r="B2" s="121"/>
      <c r="C2" s="121"/>
      <c r="D2" s="121"/>
      <c r="E2" s="121"/>
      <c r="F2" s="121"/>
    </row>
    <row r="3" spans="1:6" ht="15">
      <c r="A3" s="121"/>
      <c r="B3" s="121"/>
      <c r="C3" s="121"/>
      <c r="D3" s="121"/>
      <c r="E3" s="121"/>
      <c r="F3" s="121"/>
    </row>
    <row r="4" spans="1:6" ht="15">
      <c r="A4" s="889" t="s">
        <v>290</v>
      </c>
      <c r="B4" s="889"/>
      <c r="C4" s="889"/>
      <c r="D4" s="121"/>
      <c r="E4" s="121"/>
      <c r="F4" s="121"/>
    </row>
    <row r="5" spans="1:6" ht="15">
      <c r="A5" s="120"/>
      <c r="B5" s="120"/>
      <c r="C5" s="120"/>
      <c r="D5" s="121"/>
      <c r="E5" s="121"/>
      <c r="F5" s="121"/>
    </row>
    <row r="6" spans="1:6" ht="15">
      <c r="A6" s="119" t="s">
        <v>4</v>
      </c>
      <c r="B6" s="120"/>
      <c r="C6" s="120"/>
      <c r="D6" s="121"/>
      <c r="E6" s="121"/>
      <c r="F6" s="121"/>
    </row>
    <row r="7" spans="1:6" ht="15">
      <c r="A7" s="119"/>
      <c r="B7" s="890" t="s">
        <v>313</v>
      </c>
      <c r="C7" s="890"/>
      <c r="D7" s="121"/>
      <c r="E7" s="121"/>
      <c r="F7" s="121"/>
    </row>
    <row r="8" spans="1:6" ht="15">
      <c r="A8" s="34" t="s">
        <v>5</v>
      </c>
      <c r="B8" s="389">
        <f>_xlfn.IFERROR(IF(Indice!B6="","2XX2",YEAR(Indice!B6)),"2XX2")</f>
        <v>2021</v>
      </c>
      <c r="C8" s="389">
        <f>_xlfn.IFERROR(YEAR(Indice!B6-365),"2XX1")</f>
        <v>2020</v>
      </c>
      <c r="D8" s="121"/>
      <c r="E8" s="121"/>
      <c r="F8" s="121"/>
    </row>
    <row r="9" spans="1:6" ht="15">
      <c r="A9" s="121" t="s">
        <v>446</v>
      </c>
      <c r="B9" s="445">
        <v>0</v>
      </c>
      <c r="C9" s="445">
        <v>0</v>
      </c>
      <c r="D9" s="121"/>
      <c r="E9" s="121"/>
      <c r="F9" s="121"/>
    </row>
    <row r="10" spans="1:30" s="256" customFormat="1" ht="15">
      <c r="A10" s="121" t="s">
        <v>441</v>
      </c>
      <c r="B10" s="445">
        <v>0</v>
      </c>
      <c r="C10" s="445">
        <v>0</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0" s="256" customFormat="1" ht="15">
      <c r="A11" s="121" t="s">
        <v>440</v>
      </c>
      <c r="B11" s="445">
        <v>0</v>
      </c>
      <c r="C11" s="445">
        <v>0</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row>
    <row r="12" spans="1:256" s="289" customFormat="1" ht="15">
      <c r="A12" s="121" t="s">
        <v>447</v>
      </c>
      <c r="B12" s="445">
        <v>0</v>
      </c>
      <c r="C12" s="445">
        <v>0</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256" s="289" customFormat="1" ht="15">
      <c r="A13" s="121" t="s">
        <v>442</v>
      </c>
      <c r="B13" s="445">
        <v>0</v>
      </c>
      <c r="C13" s="445">
        <v>0</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row>
    <row r="14" spans="1:256" s="289" customFormat="1" ht="15">
      <c r="A14" s="121" t="s">
        <v>443</v>
      </c>
      <c r="B14" s="445">
        <v>0</v>
      </c>
      <c r="C14" s="445">
        <v>0</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row>
    <row r="15" spans="1:256" s="289" customFormat="1" ht="15">
      <c r="A15" s="121" t="s">
        <v>444</v>
      </c>
      <c r="B15" s="445">
        <v>0</v>
      </c>
      <c r="C15" s="445">
        <v>0</v>
      </c>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row>
    <row r="16" spans="1:6" ht="15">
      <c r="A16" s="121" t="s">
        <v>445</v>
      </c>
      <c r="B16" s="467">
        <v>15003702.669</v>
      </c>
      <c r="C16" s="467">
        <v>15064421.911</v>
      </c>
      <c r="D16" s="121"/>
      <c r="E16" s="121"/>
      <c r="F16" s="121"/>
    </row>
    <row r="17" spans="1:6" ht="15">
      <c r="A17" s="121" t="s">
        <v>448</v>
      </c>
      <c r="B17" s="445">
        <v>0</v>
      </c>
      <c r="C17" s="445">
        <v>0</v>
      </c>
      <c r="D17" s="121"/>
      <c r="E17" s="121"/>
      <c r="F17" s="121"/>
    </row>
    <row r="18" spans="1:6" ht="15.75" thickBot="1">
      <c r="A18" s="39" t="s">
        <v>3</v>
      </c>
      <c r="B18" s="765">
        <f>SUM($B$9:B17)</f>
        <v>15003702.669</v>
      </c>
      <c r="C18" s="765">
        <f>SUM($C$9:C17)</f>
        <v>15064421.911</v>
      </c>
      <c r="D18" s="121"/>
      <c r="E18" s="121"/>
      <c r="F18" s="121"/>
    </row>
    <row r="19" spans="1:6" ht="15.75" thickTop="1">
      <c r="A19" s="121"/>
      <c r="B19" s="121"/>
      <c r="C19" s="121"/>
      <c r="D19" s="121"/>
      <c r="E19" s="121"/>
      <c r="F19" s="121"/>
    </row>
    <row r="20" spans="1:6" ht="15">
      <c r="A20" s="121"/>
      <c r="B20" s="121"/>
      <c r="C20" s="121"/>
      <c r="D20" s="121"/>
      <c r="E20" s="121"/>
      <c r="F20" s="121"/>
    </row>
    <row r="21" spans="1:6" ht="15">
      <c r="A21" s="121"/>
      <c r="B21" s="121"/>
      <c r="C21" s="121"/>
      <c r="D21" s="121"/>
      <c r="E21" s="121"/>
      <c r="F21" s="121"/>
    </row>
    <row r="22" spans="1:6" ht="15">
      <c r="A22" s="121"/>
      <c r="B22" s="121"/>
      <c r="C22" s="121"/>
      <c r="D22" s="121"/>
      <c r="E22" s="121"/>
      <c r="F22" s="121"/>
    </row>
    <row r="23" spans="1:6" ht="15">
      <c r="A23" s="121"/>
      <c r="B23" s="121"/>
      <c r="C23" s="121"/>
      <c r="D23" s="121"/>
      <c r="E23" s="121"/>
      <c r="F23" s="121"/>
    </row>
    <row r="24" spans="1:6" ht="15">
      <c r="A24" s="121"/>
      <c r="B24" s="121"/>
      <c r="C24" s="121"/>
      <c r="D24" s="121"/>
      <c r="E24" s="121"/>
      <c r="F24" s="121"/>
    </row>
    <row r="25" spans="1:6" ht="15">
      <c r="A25" s="121"/>
      <c r="B25" s="121"/>
      <c r="C25" s="121"/>
      <c r="D25" s="121"/>
      <c r="E25" s="121"/>
      <c r="F25" s="121"/>
    </row>
    <row r="26" spans="1:6" ht="15">
      <c r="A26" s="121"/>
      <c r="B26" s="121"/>
      <c r="C26" s="121"/>
      <c r="D26" s="121"/>
      <c r="E26" s="121"/>
      <c r="F26" s="121"/>
    </row>
    <row r="27" spans="1:6" ht="15">
      <c r="A27" s="121"/>
      <c r="B27" s="121"/>
      <c r="C27" s="121"/>
      <c r="D27" s="121"/>
      <c r="E27" s="121"/>
      <c r="F27" s="121"/>
    </row>
    <row r="28" spans="1:6" ht="15">
      <c r="A28" s="121"/>
      <c r="B28" s="121"/>
      <c r="C28" s="121"/>
      <c r="D28" s="121"/>
      <c r="E28" s="121"/>
      <c r="F28" s="121"/>
    </row>
    <row r="29" spans="1:6" ht="15">
      <c r="A29" s="121"/>
      <c r="B29" s="121"/>
      <c r="C29" s="121"/>
      <c r="D29" s="121"/>
      <c r="E29" s="121"/>
      <c r="F29" s="121"/>
    </row>
    <row r="30" spans="1:6" ht="15">
      <c r="A30" s="121"/>
      <c r="B30" s="121"/>
      <c r="C30" s="121"/>
      <c r="D30" s="121"/>
      <c r="E30" s="121"/>
      <c r="F30" s="121"/>
    </row>
    <row r="31" spans="1:6" ht="15">
      <c r="A31" s="121"/>
      <c r="B31" s="121"/>
      <c r="C31" s="121"/>
      <c r="D31" s="121"/>
      <c r="E31" s="121"/>
      <c r="F31" s="121"/>
    </row>
    <row r="32" spans="1:6" ht="15">
      <c r="A32" s="121"/>
      <c r="B32" s="121"/>
      <c r="C32" s="121"/>
      <c r="D32" s="121"/>
      <c r="E32" s="121"/>
      <c r="F32" s="121"/>
    </row>
    <row r="33" spans="1:6" ht="15">
      <c r="A33" s="121"/>
      <c r="B33" s="121"/>
      <c r="C33" s="121"/>
      <c r="D33" s="121"/>
      <c r="E33" s="121"/>
      <c r="F33" s="121"/>
    </row>
    <row r="34" spans="1:6" ht="15">
      <c r="A34" s="121"/>
      <c r="B34" s="121"/>
      <c r="C34" s="121"/>
      <c r="D34" s="121"/>
      <c r="E34" s="121"/>
      <c r="F34" s="121"/>
    </row>
    <row r="35" spans="1:6" ht="15">
      <c r="A35" s="121"/>
      <c r="B35" s="121"/>
      <c r="C35" s="121"/>
      <c r="D35" s="121"/>
      <c r="E35" s="121"/>
      <c r="F35" s="121"/>
    </row>
    <row r="36" spans="1:6" ht="15">
      <c r="A36" s="121"/>
      <c r="B36" s="121"/>
      <c r="C36" s="121"/>
      <c r="D36" s="121"/>
      <c r="E36" s="121"/>
      <c r="F36" s="121"/>
    </row>
    <row r="37" spans="1:6" ht="15">
      <c r="A37" s="121"/>
      <c r="B37" s="121"/>
      <c r="C37" s="121"/>
      <c r="D37" s="121"/>
      <c r="E37" s="121"/>
      <c r="F37" s="121"/>
    </row>
    <row r="38" spans="1:6" ht="15">
      <c r="A38" s="121"/>
      <c r="B38" s="121"/>
      <c r="C38" s="121"/>
      <c r="D38" s="121"/>
      <c r="E38" s="121"/>
      <c r="F38" s="121"/>
    </row>
    <row r="39" spans="1:6" ht="15">
      <c r="A39" s="121"/>
      <c r="B39" s="121"/>
      <c r="C39" s="121"/>
      <c r="D39" s="121"/>
      <c r="E39" s="121"/>
      <c r="F39" s="121"/>
    </row>
    <row r="40" spans="1:6" ht="15">
      <c r="A40" s="121"/>
      <c r="B40" s="121"/>
      <c r="C40" s="121"/>
      <c r="D40" s="121"/>
      <c r="E40" s="121"/>
      <c r="F40" s="121"/>
    </row>
    <row r="41" spans="1:6" ht="15">
      <c r="A41" s="121"/>
      <c r="B41" s="121"/>
      <c r="C41" s="121"/>
      <c r="D41" s="121"/>
      <c r="E41" s="121"/>
      <c r="F41" s="121"/>
    </row>
    <row r="42" spans="1:6" ht="15">
      <c r="A42" s="121"/>
      <c r="B42" s="121"/>
      <c r="C42" s="121"/>
      <c r="D42" s="121"/>
      <c r="E42" s="121"/>
      <c r="F42" s="121"/>
    </row>
    <row r="43" spans="1:6" ht="15">
      <c r="A43" s="121"/>
      <c r="B43" s="121"/>
      <c r="C43" s="121"/>
      <c r="D43" s="121"/>
      <c r="E43" s="121"/>
      <c r="F43" s="121"/>
    </row>
    <row r="44" spans="1:6" ht="15">
      <c r="A44" s="121"/>
      <c r="B44" s="121"/>
      <c r="C44" s="121"/>
      <c r="D44" s="121"/>
      <c r="E44" s="121"/>
      <c r="F44" s="121"/>
    </row>
    <row r="45" spans="1:6" ht="15">
      <c r="A45" s="121"/>
      <c r="B45" s="121"/>
      <c r="C45" s="121"/>
      <c r="D45" s="121"/>
      <c r="E45" s="121"/>
      <c r="F45" s="121"/>
    </row>
    <row r="46" spans="1:6" ht="15">
      <c r="A46" s="121"/>
      <c r="B46" s="121"/>
      <c r="C46" s="121"/>
      <c r="D46" s="121"/>
      <c r="E46" s="121"/>
      <c r="F46" s="121"/>
    </row>
    <row r="47" spans="1:6" ht="15">
      <c r="A47" s="121"/>
      <c r="B47" s="121"/>
      <c r="C47" s="121"/>
      <c r="D47" s="121"/>
      <c r="E47" s="121"/>
      <c r="F47" s="121"/>
    </row>
    <row r="48" spans="1:6" ht="15">
      <c r="A48" s="121"/>
      <c r="B48" s="121"/>
      <c r="C48" s="121"/>
      <c r="D48" s="121"/>
      <c r="E48" s="121"/>
      <c r="F48" s="121"/>
    </row>
    <row r="49" spans="1:6" ht="15">
      <c r="A49" s="121"/>
      <c r="B49" s="121"/>
      <c r="C49" s="121"/>
      <c r="D49" s="121"/>
      <c r="E49" s="121"/>
      <c r="F49" s="121"/>
    </row>
    <row r="50" spans="1:6" ht="15">
      <c r="A50" s="121"/>
      <c r="B50" s="121"/>
      <c r="C50" s="121"/>
      <c r="D50" s="121"/>
      <c r="E50" s="121"/>
      <c r="F50" s="121"/>
    </row>
    <row r="51" spans="1:6" ht="15">
      <c r="A51" s="121"/>
      <c r="B51" s="121"/>
      <c r="C51" s="121"/>
      <c r="D51" s="121"/>
      <c r="E51" s="121"/>
      <c r="F51" s="121"/>
    </row>
    <row r="52" spans="1:6" ht="15">
      <c r="A52" s="121"/>
      <c r="B52" s="121"/>
      <c r="C52" s="121"/>
      <c r="D52" s="121"/>
      <c r="E52" s="121"/>
      <c r="F52" s="121"/>
    </row>
    <row r="53" spans="1:6" ht="15">
      <c r="A53" s="121"/>
      <c r="B53" s="121"/>
      <c r="C53" s="121"/>
      <c r="D53" s="121"/>
      <c r="E53" s="121"/>
      <c r="F53" s="121"/>
    </row>
    <row r="54" spans="1:6" ht="15">
      <c r="A54" s="121"/>
      <c r="B54" s="121"/>
      <c r="C54" s="121"/>
      <c r="D54" s="121"/>
      <c r="E54" s="121"/>
      <c r="F54" s="121"/>
    </row>
    <row r="55" spans="1:6" ht="15">
      <c r="A55" s="121"/>
      <c r="B55" s="121"/>
      <c r="C55" s="121"/>
      <c r="D55" s="121"/>
      <c r="E55" s="121"/>
      <c r="F55" s="121"/>
    </row>
    <row r="56" spans="1:6" ht="15">
      <c r="A56" s="121"/>
      <c r="B56" s="121"/>
      <c r="C56" s="121"/>
      <c r="D56" s="121"/>
      <c r="E56" s="121"/>
      <c r="F56" s="121"/>
    </row>
    <row r="57" spans="1:6" ht="15">
      <c r="A57" s="121"/>
      <c r="B57" s="121"/>
      <c r="C57" s="121"/>
      <c r="D57" s="121"/>
      <c r="E57" s="121"/>
      <c r="F57" s="121"/>
    </row>
    <row r="58" spans="1:6" ht="15">
      <c r="A58" s="121"/>
      <c r="B58" s="121"/>
      <c r="C58" s="121"/>
      <c r="D58" s="121"/>
      <c r="E58" s="121"/>
      <c r="F58" s="121"/>
    </row>
    <row r="59" spans="1:6" ht="15">
      <c r="A59" s="121"/>
      <c r="B59" s="121"/>
      <c r="C59" s="121"/>
      <c r="D59" s="121"/>
      <c r="E59" s="121"/>
      <c r="F59" s="121"/>
    </row>
    <row r="60" spans="1:6" ht="15">
      <c r="A60" s="121"/>
      <c r="B60" s="121"/>
      <c r="C60" s="121"/>
      <c r="D60" s="121"/>
      <c r="E60" s="121"/>
      <c r="F60" s="121"/>
    </row>
    <row r="61" spans="1:6" ht="15">
      <c r="A61" s="121"/>
      <c r="B61" s="121"/>
      <c r="C61" s="121"/>
      <c r="D61" s="121"/>
      <c r="E61" s="121"/>
      <c r="F61" s="121"/>
    </row>
    <row r="62" spans="1:6" ht="15">
      <c r="A62" s="121"/>
      <c r="B62" s="121"/>
      <c r="C62" s="121"/>
      <c r="D62" s="121"/>
      <c r="E62" s="121"/>
      <c r="F62" s="121"/>
    </row>
    <row r="63" spans="1:6" ht="15">
      <c r="A63" s="121"/>
      <c r="B63" s="121"/>
      <c r="C63" s="121"/>
      <c r="D63" s="121"/>
      <c r="E63" s="121"/>
      <c r="F63" s="121"/>
    </row>
    <row r="64" spans="1:6" ht="15">
      <c r="A64" s="121"/>
      <c r="B64" s="121"/>
      <c r="C64" s="121"/>
      <c r="D64" s="121"/>
      <c r="E64" s="121"/>
      <c r="F64" s="121"/>
    </row>
    <row r="65" spans="1:6" ht="15">
      <c r="A65" s="121"/>
      <c r="B65" s="121"/>
      <c r="C65" s="121"/>
      <c r="D65" s="121"/>
      <c r="E65" s="121"/>
      <c r="F65" s="121"/>
    </row>
    <row r="66" spans="1:6" ht="15">
      <c r="A66" s="121"/>
      <c r="B66" s="121"/>
      <c r="C66" s="121"/>
      <c r="D66" s="121"/>
      <c r="E66" s="121"/>
      <c r="F66" s="121"/>
    </row>
    <row r="67" spans="1:6" ht="15">
      <c r="A67" s="121"/>
      <c r="B67" s="121"/>
      <c r="C67" s="121"/>
      <c r="D67" s="121"/>
      <c r="E67" s="121"/>
      <c r="F67" s="121"/>
    </row>
    <row r="68" spans="1:6" ht="15">
      <c r="A68" s="121"/>
      <c r="B68" s="121"/>
      <c r="C68" s="121"/>
      <c r="D68" s="121"/>
      <c r="E68" s="121"/>
      <c r="F68" s="121"/>
    </row>
    <row r="69" spans="1:6" ht="15">
      <c r="A69" s="121"/>
      <c r="B69" s="121"/>
      <c r="C69" s="121"/>
      <c r="D69" s="121"/>
      <c r="E69" s="121"/>
      <c r="F69" s="121"/>
    </row>
    <row r="70" spans="1:6" ht="15">
      <c r="A70" s="121"/>
      <c r="B70" s="121"/>
      <c r="C70" s="121"/>
      <c r="D70" s="121"/>
      <c r="E70" s="121"/>
      <c r="F70" s="121"/>
    </row>
  </sheetData>
  <sheetProtection/>
  <mergeCells count="2">
    <mergeCell ref="A4:C4"/>
    <mergeCell ref="B7:C7"/>
  </mergeCells>
  <hyperlinks>
    <hyperlink ref="D1" location="BG!A1" display="BG"/>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Gladys Fiorella Vergara Pacheco</cp:lastModifiedBy>
  <cp:lastPrinted>2021-11-15T18:20:18Z</cp:lastPrinted>
  <dcterms:created xsi:type="dcterms:W3CDTF">2019-05-02T15:06:12Z</dcterms:created>
  <dcterms:modified xsi:type="dcterms:W3CDTF">2021-11-15T18:40:03Z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