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94" firstSheet="4" activeTab="10"/>
  </bookViews>
  <sheets>
    <sheet name="BALANCE" sheetId="1" r:id="rId1"/>
    <sheet name="ESTADO R." sheetId="2" r:id="rId2"/>
    <sheet name="FLUJO DE CAJA" sheetId="3" r:id="rId3"/>
    <sheet name="E. VARIACION" sheetId="4" r:id="rId4"/>
    <sheet name="ANEXO A" sheetId="5" r:id="rId5"/>
    <sheet name="ANEXO B" sheetId="6" r:id="rId6"/>
    <sheet name="ANEXO C" sheetId="7" r:id="rId7"/>
    <sheet name="ANEXO D" sheetId="8" r:id="rId8"/>
    <sheet name="ANEXO E" sheetId="9" r:id="rId9"/>
    <sheet name="ANEXO F" sheetId="10" r:id="rId10"/>
    <sheet name="ANEXO G" sheetId="11" r:id="rId11"/>
    <sheet name="ANEXO H" sheetId="12" r:id="rId12"/>
    <sheet name="ANEXO I" sheetId="13" r:id="rId13"/>
    <sheet name="ANEXO J" sheetId="14" r:id="rId14"/>
    <sheet name="ANEXO K" sheetId="15" r:id="rId15"/>
    <sheet name="RES-1272-A" sheetId="16" r:id="rId16"/>
  </sheets>
  <externalReferences>
    <externalReference r:id="rId19"/>
  </externalReferences>
  <definedNames>
    <definedName name="_xlnm.Print_Area" localSheetId="4">'ANEXO A'!$B$4:$O$87</definedName>
    <definedName name="_xlnm.Print_Area" localSheetId="5">'ANEXO B'!$B$1:$L$33</definedName>
    <definedName name="_xlnm.Print_Area" localSheetId="6">'ANEXO C'!$B$1:$O$38</definedName>
    <definedName name="_xlnm.Print_Area" localSheetId="7">'ANEXO D'!$B$1:$G$72</definedName>
    <definedName name="_xlnm.Print_Area" localSheetId="8">'ANEXO E'!$B$1:$H$29</definedName>
    <definedName name="_xlnm.Print_Area" localSheetId="9">'ANEXO F'!$B$1:$G$39</definedName>
    <definedName name="_xlnm.Print_Area" localSheetId="10">'ANEXO G'!$C$1:$I$97</definedName>
    <definedName name="_xlnm.Print_Area" localSheetId="11">'ANEXO H'!$B$1:$L$60</definedName>
    <definedName name="_xlnm.Print_Area" localSheetId="12">'ANEXO I'!$B$1:$E$27</definedName>
    <definedName name="_xlnm.Print_Area" localSheetId="13">'ANEXO J'!$B$1:$E$40</definedName>
    <definedName name="_xlnm.Print_Area" localSheetId="0">'BALANCE'!$B$1:$G$32</definedName>
    <definedName name="_xlnm.Print_Area" localSheetId="3">'E. VARIACION'!$A$2:$M$42</definedName>
    <definedName name="_xlnm.Print_Area" localSheetId="1">'ESTADO R.'!$B$1:$E$56</definedName>
    <definedName name="_xlnm.Print_Area" localSheetId="2">'FLUJO DE CAJA'!$C$2:$F$49</definedName>
  </definedNames>
  <calcPr fullCalcOnLoad="1"/>
</workbook>
</file>

<file path=xl/comments12.xml><?xml version="1.0" encoding="utf-8"?>
<comments xmlns="http://schemas.openxmlformats.org/spreadsheetml/2006/main">
  <authors>
    <author/>
    <author>Alejandra Ayala</author>
  </authors>
  <commentList>
    <comment ref="B18" authorId="0">
      <text>
        <r>
          <rPr>
            <b/>
            <sz val="8"/>
            <color indexed="8"/>
            <rFont val="Tahoma"/>
            <family val="2"/>
          </rPr>
          <t xml:space="preserve">celeste:
</t>
        </r>
        <r>
          <rPr>
            <u val="single"/>
            <sz val="8"/>
            <color indexed="8"/>
            <rFont val="Tahoma"/>
            <family val="2"/>
          </rPr>
          <t>sueldos, comisiones</t>
        </r>
        <r>
          <rPr>
            <sz val="8"/>
            <color indexed="8"/>
            <rFont val="Tahoma"/>
            <family val="2"/>
          </rPr>
          <t xml:space="preserve">-
P/ administ.
(ADM+Auditoria+ informat+RRHH+Planific y report.
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celeste:
</t>
        </r>
        <r>
          <rPr>
            <sz val="8"/>
            <color indexed="8"/>
            <rFont val="Tahoma"/>
            <family val="2"/>
          </rPr>
          <t xml:space="preserve">vacaciones, indemnizaciones, aporte ips, bonificación, aguinaldo
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isabel_villalba:
</t>
        </r>
        <r>
          <rPr>
            <sz val="8"/>
            <color indexed="8"/>
            <rFont val="Tahoma"/>
            <family val="2"/>
          </rPr>
          <t xml:space="preserve">almuerzos,uniformes,capacitacion, asist medica,benef. Social, otros gastos per.Gratificaciones
</t>
        </r>
      </text>
    </comment>
    <comment ref="B24" authorId="0">
      <text>
        <r>
          <rPr>
            <b/>
            <sz val="8"/>
            <color indexed="8"/>
            <rFont val="Tahoma"/>
            <family val="2"/>
          </rPr>
          <t xml:space="preserve">celeste:
</t>
        </r>
        <r>
          <rPr>
            <sz val="8"/>
            <color indexed="8"/>
            <rFont val="Tahoma"/>
            <family val="2"/>
          </rPr>
          <t xml:space="preserve">comisiones a vendedores s/ vtas grav.
</t>
        </r>
      </text>
    </comment>
    <comment ref="B28" authorId="0">
      <text>
        <r>
          <rPr>
            <sz val="10"/>
            <rFont val="Arial"/>
            <family val="2"/>
          </rPr>
          <t>Seguros accidentes personales.</t>
        </r>
      </text>
    </comment>
    <comment ref="B50" authorId="0">
      <text>
        <r>
          <rPr>
            <b/>
            <sz val="8"/>
            <color indexed="8"/>
            <rFont val="Tahoma"/>
            <family val="2"/>
          </rPr>
          <t xml:space="preserve">auditoria_aux_st:
</t>
        </r>
        <r>
          <rPr>
            <sz val="8"/>
            <color indexed="8"/>
            <rFont val="Tahoma"/>
            <family val="2"/>
          </rPr>
          <t xml:space="preserve">costo de M.O (costo de ventas)
</t>
        </r>
      </text>
    </comment>
    <comment ref="G18" authorId="1">
      <text>
        <r>
          <rPr>
            <b/>
            <sz val="9"/>
            <rFont val="Tahoma"/>
            <family val="2"/>
          </rPr>
          <t>Alejandra Ayala:</t>
        </r>
        <r>
          <rPr>
            <sz val="9"/>
            <rFont val="Tahoma"/>
            <family val="2"/>
          </rPr>
          <t xml:space="preserve">
No olvidar comisiones tec s/ merc grav.</t>
        </r>
      </text>
    </comment>
  </commentList>
</comments>
</file>

<file path=xl/comments2.xml><?xml version="1.0" encoding="utf-8"?>
<comments xmlns="http://schemas.openxmlformats.org/spreadsheetml/2006/main">
  <authors>
    <author>Alejandra Ayala</author>
  </authors>
  <commentList>
    <comment ref="B31" authorId="0">
      <text>
        <r>
          <rPr>
            <b/>
            <sz val="9"/>
            <rFont val="Tahoma"/>
            <family val="2"/>
          </rPr>
          <t>Alejandra Ayala:</t>
        </r>
        <r>
          <rPr>
            <sz val="9"/>
            <rFont val="Tahoma"/>
            <family val="2"/>
          </rPr>
          <t xml:space="preserve">
Restar : Intereses de inv. Financieras
</t>
        </r>
      </text>
    </comment>
  </commentList>
</comments>
</file>

<file path=xl/comments4.xml><?xml version="1.0" encoding="utf-8"?>
<comments xmlns="http://schemas.openxmlformats.org/spreadsheetml/2006/main">
  <authors>
    <author>Alejandra Ayala</author>
  </authors>
  <commentList>
    <comment ref="K37" authorId="0">
      <text>
        <r>
          <rPr>
            <b/>
            <sz val="9"/>
            <rFont val="Tahoma"/>
            <family val="2"/>
          </rPr>
          <t>Alejandra Ayala:</t>
        </r>
        <r>
          <rPr>
            <sz val="9"/>
            <rFont val="Tahoma"/>
            <family val="2"/>
          </rPr>
          <t xml:space="preserve">
Debe coincidir con el importe del balance 
PATRIMONIO NETO (según estado respectivo)
</t>
        </r>
      </text>
    </comment>
  </commentList>
</comments>
</file>

<file path=xl/sharedStrings.xml><?xml version="1.0" encoding="utf-8"?>
<sst xmlns="http://schemas.openxmlformats.org/spreadsheetml/2006/main" count="888" uniqueCount="637">
  <si>
    <t xml:space="preserve">                                                                                              (EXPRESADO EN GUARANIES)</t>
  </si>
  <si>
    <t>A  C  T  I  V  O</t>
  </si>
  <si>
    <t>P  A  S  I  V  O</t>
  </si>
  <si>
    <t>ACTIVO CORRIENTE</t>
  </si>
  <si>
    <t>PASIVO CORRIENTE</t>
  </si>
  <si>
    <t>DISPONIBILIDADES (NOTA 4)</t>
  </si>
  <si>
    <t>CREDITOS POR VENTAS (NOTA 5)</t>
  </si>
  <si>
    <t>OTROS CREDITOS (NOTA  6) - ACT.COMER. Y GANADERA</t>
  </si>
  <si>
    <t>BIENES DE CAMBIO  (NOTA 3 c y 7) - ACT.COMER. Y GANAD.</t>
  </si>
  <si>
    <t>INVERSIONES TEMPORARIAS</t>
  </si>
  <si>
    <t>TOTAL ACTIVO CORRIENTE</t>
  </si>
  <si>
    <t>TOTAL PASIVO CORRIENTE</t>
  </si>
  <si>
    <t>ACTIVO NO CORRIENTE</t>
  </si>
  <si>
    <t>INVERSIONES PERMANENTES  (ANEXO C )</t>
  </si>
  <si>
    <t>BIENES DE USO (NOTA 3 b y ANEXO A) - ACT.COM.Y GANAD.</t>
  </si>
  <si>
    <t>OTROS CREDITOS (NOTA 6)  ACT. COMER. Y GANADERA</t>
  </si>
  <si>
    <t>ACTIVOS INTANGIBLES (ANEXO B)</t>
  </si>
  <si>
    <t>TOTAL PASIVO</t>
  </si>
  <si>
    <t>TOTAL ACTIVO NO CORRIENTE</t>
  </si>
  <si>
    <r>
      <t xml:space="preserve">PATRIMONIO NETO </t>
    </r>
    <r>
      <rPr>
        <sz val="10"/>
        <rFont val="Arial"/>
        <family val="2"/>
      </rPr>
      <t>(según estado respectivo)</t>
    </r>
  </si>
  <si>
    <t>T  O  T  A  L     A  C  T  I   V   O</t>
  </si>
  <si>
    <t>TOTAL PASIVO  Y PATRIMONIO NETO</t>
  </si>
  <si>
    <t>Las notas y anexos que se acompañan son partes integrantes de los estados contables.</t>
  </si>
  <si>
    <t>ESTADO DE RESULTADOS</t>
  </si>
  <si>
    <t>POR LOS PERIODOS COMPRENDIDOS ENTRE EL 1 DE ENERO Y</t>
  </si>
  <si>
    <t>(EXPRESADO EN GUARANIES)</t>
  </si>
  <si>
    <t>CUENTAS</t>
  </si>
  <si>
    <t>COSTOS DE VENTAS y SERVICIOS (ANEXO F)</t>
  </si>
  <si>
    <t>GASTOS DE COMERCIALIZACION (ANEXO H)</t>
  </si>
  <si>
    <t>GASTOS DE ADMINISTRACION / DEPOSITO (ANEXO H)</t>
  </si>
  <si>
    <t xml:space="preserve"> </t>
  </si>
  <si>
    <t>GANANCIA OPERATIVA</t>
  </si>
  <si>
    <t>RESULTADO INVERSIONES FINANCIERAS</t>
  </si>
  <si>
    <t>RESULTADO ANTES DEL IMPUESTO A LA RENTA</t>
  </si>
  <si>
    <t>IMPUESTO A LA RENTA - ACT. COMERCIAL</t>
  </si>
  <si>
    <t>IMPUESTO A LA RENTA - IMAGRO</t>
  </si>
  <si>
    <t>R E S U L T A D O  D E L  P E R I O D O</t>
  </si>
  <si>
    <t>F L U J O  D E  E F E C T I V O</t>
  </si>
  <si>
    <t>Periodo finalizado el</t>
  </si>
  <si>
    <t>Flujos de efectivos por las actividades operativas</t>
  </si>
  <si>
    <t>Ventas Netas (cobros netos)</t>
  </si>
  <si>
    <t>Costos de Ventas (pagos netos)</t>
  </si>
  <si>
    <t>Efectivo pagado a Empleados</t>
  </si>
  <si>
    <t>Efectivo generado (usados) por Otras Actividades</t>
  </si>
  <si>
    <t xml:space="preserve">Total de efectivos de las actividades operativas antes de </t>
  </si>
  <si>
    <t>cambios en los activos de operaciones.</t>
  </si>
  <si>
    <t>Efectivo Neto de actividades de operación antes de impuestos</t>
  </si>
  <si>
    <t>Impuesto a la Renta</t>
  </si>
  <si>
    <t>Efectivo Neto de actividades de operación</t>
  </si>
  <si>
    <t>Flujo de efectivo por actividades de inversión</t>
  </si>
  <si>
    <t>Inversiones Temporarias</t>
  </si>
  <si>
    <t>Inversiones Mobiliarias Permanentes</t>
  </si>
  <si>
    <t>Compra de Propiedad, Planta y Equipo</t>
  </si>
  <si>
    <t>Efectivo Neto por (o usado) Actividades de Inversión</t>
  </si>
  <si>
    <t>Flujo de efectivo por Actividades de Financiamiento</t>
  </si>
  <si>
    <t>Préstamos a Largo Plazo</t>
  </si>
  <si>
    <t>Préstamos a Corto Plazo</t>
  </si>
  <si>
    <t>Dividendos Pagados</t>
  </si>
  <si>
    <t>Aportes de Capital</t>
  </si>
  <si>
    <t>Intereses Pagados</t>
  </si>
  <si>
    <t>Efectivo Neto en Actividades Financieras</t>
  </si>
  <si>
    <t xml:space="preserve">Efectos de las ganancias o pérdidas de cambio en el efectivo </t>
  </si>
  <si>
    <t>y sus equivalentes</t>
  </si>
  <si>
    <t>Efectivo y sus equivalentes al comienzo del periodo</t>
  </si>
  <si>
    <t>Efectivo y sus equivalentes al cierre del periodo</t>
  </si>
  <si>
    <t>ESTADO DE EVOLUCION DEL PATRIMONIO NETO</t>
  </si>
  <si>
    <t xml:space="preserve">PERIODO FINALIZADO EL </t>
  </si>
  <si>
    <t xml:space="preserve">                     APORTES DE LOS SOCIOS</t>
  </si>
  <si>
    <t>GANANCIAS RESERVADAS</t>
  </si>
  <si>
    <t>ACCIONES</t>
  </si>
  <si>
    <t>Reserva</t>
  </si>
  <si>
    <t>RESERVA</t>
  </si>
  <si>
    <t xml:space="preserve">PREMIO </t>
  </si>
  <si>
    <t>PRIMA</t>
  </si>
  <si>
    <t>UTILIDADES</t>
  </si>
  <si>
    <t>RESULTADOS</t>
  </si>
  <si>
    <t>TOTAL</t>
  </si>
  <si>
    <t>CAPITAL</t>
  </si>
  <si>
    <t>EN</t>
  </si>
  <si>
    <t xml:space="preserve">para </t>
  </si>
  <si>
    <t>LEGAL</t>
  </si>
  <si>
    <t>DE</t>
  </si>
  <si>
    <t>P/RECOMPRA</t>
  </si>
  <si>
    <t>REVALUO</t>
  </si>
  <si>
    <t>NO</t>
  </si>
  <si>
    <t>NO ASIGN.</t>
  </si>
  <si>
    <t>PATRIMONIO</t>
  </si>
  <si>
    <t>TESORERIA</t>
  </si>
  <si>
    <t>Capitalización</t>
  </si>
  <si>
    <t>EMISION</t>
  </si>
  <si>
    <t>DE ACCIONES</t>
  </si>
  <si>
    <t>ASIGNADAS</t>
  </si>
  <si>
    <t>NETO</t>
  </si>
  <si>
    <t>Ajustes del Saldo</t>
  </si>
  <si>
    <t>Reserva p/ Capitalización</t>
  </si>
  <si>
    <t xml:space="preserve">Premio de Emision </t>
  </si>
  <si>
    <t>Capitalización de Accionistas</t>
  </si>
  <si>
    <t>Capitalización de Dividendos</t>
  </si>
  <si>
    <t>Capitalización en Efectivo</t>
  </si>
  <si>
    <t>Ajuste de Reserva p/ Recompra de Acciones</t>
  </si>
  <si>
    <t>Distribuc.de Resultados Acumulados</t>
  </si>
  <si>
    <t>*  Reserva Legal</t>
  </si>
  <si>
    <t>*  Anticipos p/Integración de Acciones</t>
  </si>
  <si>
    <t>*  Dividendos en Efectivo</t>
  </si>
  <si>
    <t>*  Dividendos a Pagar</t>
  </si>
  <si>
    <t>*  Imp. a la Rta. s/Divid. Pagado</t>
  </si>
  <si>
    <t>*  Imp. a la Rta. s/Divid. A Pagar</t>
  </si>
  <si>
    <t>Revaluó - Act. Comercial y Ganadera  (Nota 3.b)</t>
  </si>
  <si>
    <t>Utilidades no Asignadas</t>
  </si>
  <si>
    <t xml:space="preserve">Ganancia (Pérdida) del Ejercicio </t>
  </si>
  <si>
    <t>ANEXO  A</t>
  </si>
  <si>
    <t>B I E N E S   D E   U S O</t>
  </si>
  <si>
    <t xml:space="preserve">V A L O R E S   D E    O R I G E N </t>
  </si>
  <si>
    <t xml:space="preserve">D E P R E C I A C I O N E S </t>
  </si>
  <si>
    <t>AL INICIO</t>
  </si>
  <si>
    <t xml:space="preserve">ALTAS Y </t>
  </si>
  <si>
    <t>BAJAS</t>
  </si>
  <si>
    <t xml:space="preserve">REVALUO </t>
  </si>
  <si>
    <t>AL CIERRE</t>
  </si>
  <si>
    <t>ACUMULADAS</t>
  </si>
  <si>
    <t>DEL</t>
  </si>
  <si>
    <t>TRANSF. DEL</t>
  </si>
  <si>
    <t xml:space="preserve">DEL </t>
  </si>
  <si>
    <t>%</t>
  </si>
  <si>
    <t>RESULTANTE</t>
  </si>
  <si>
    <t>PERIODO</t>
  </si>
  <si>
    <t>DEL PERIODO</t>
  </si>
  <si>
    <t>ACTIVIDAD COMERCIAL</t>
  </si>
  <si>
    <t>SUJETOS A</t>
  </si>
  <si>
    <t>DEPRECIACION</t>
  </si>
  <si>
    <t>MUEBLES, UTILES</t>
  </si>
  <si>
    <t>Y ENSERES</t>
  </si>
  <si>
    <t>MAQUINAS DE</t>
  </si>
  <si>
    <t>OFICINAS</t>
  </si>
  <si>
    <t>MAQUIN., HERRAM.</t>
  </si>
  <si>
    <t>Y EQUIPOS</t>
  </si>
  <si>
    <t xml:space="preserve">EDIFICIOS Y </t>
  </si>
  <si>
    <t>CONSTRUCCIONES</t>
  </si>
  <si>
    <t>TRANSPORTES</t>
  </si>
  <si>
    <t>TERRESTRES</t>
  </si>
  <si>
    <t>INSTALACIONES</t>
  </si>
  <si>
    <t>CONSTR. EN PREVIO AJENO</t>
  </si>
  <si>
    <t>AVIONES</t>
  </si>
  <si>
    <t>SUB TOTALES</t>
  </si>
  <si>
    <t>ACTIVIDAD GANADERA</t>
  </si>
  <si>
    <t>MEJORAS</t>
  </si>
  <si>
    <t>MUEBLES Y EQUIPOS</t>
  </si>
  <si>
    <t>MAQ. E IMPLEMENTOS</t>
  </si>
  <si>
    <t>EQUIPOS Y HERRAMIENTAS</t>
  </si>
  <si>
    <t>TRANSPORTES TERRESTRES</t>
  </si>
  <si>
    <t>EQUIPOS DE COMUNICACIÓN</t>
  </si>
  <si>
    <t xml:space="preserve">NO SUJETOS A </t>
  </si>
  <si>
    <t>INMUEBLES -</t>
  </si>
  <si>
    <t>TERRENOS</t>
  </si>
  <si>
    <t>INMUEBLES RURALES</t>
  </si>
  <si>
    <t>HACIENDA PERMANENTE</t>
  </si>
  <si>
    <t>PASTURAS</t>
  </si>
  <si>
    <t>ANEXO B</t>
  </si>
  <si>
    <t>ACTIVOS INTANGIBLES</t>
  </si>
  <si>
    <t>VALORES DE ORIGEN</t>
  </si>
  <si>
    <t>AMORTIZACIONES</t>
  </si>
  <si>
    <t>AL</t>
  </si>
  <si>
    <t>C   U   E   N   T   A   S</t>
  </si>
  <si>
    <t xml:space="preserve">INICIO </t>
  </si>
  <si>
    <t>CIERRE</t>
  </si>
  <si>
    <t>AUMENTOS</t>
  </si>
  <si>
    <t>DISMINUC.</t>
  </si>
  <si>
    <t>EJERCICIO</t>
  </si>
  <si>
    <t>MARCAS</t>
  </si>
  <si>
    <t>GASTOS DE ORGANIZACIÓN</t>
  </si>
  <si>
    <t>LICENCIAS DE INFORMATICA</t>
  </si>
  <si>
    <t>PROGRAMAS DE INFORMATICA</t>
  </si>
  <si>
    <t>LICENCIAS PARA TELEFONOS</t>
  </si>
  <si>
    <t>PROGRAM. DE INFORM. EN LINEA S.A.</t>
  </si>
  <si>
    <t>MARCA NGO</t>
  </si>
  <si>
    <t>ANEXO C</t>
  </si>
  <si>
    <t>INVERSIONES, ACCIONES, DEBENTURES Y OTROS TITULOS EMITIDOS EN SERIE</t>
  </si>
  <si>
    <t>PARTICIPACION EN OTRAS SOCIEDADES</t>
  </si>
  <si>
    <t xml:space="preserve">DENOMINACION Y </t>
  </si>
  <si>
    <t>INFORMACION SOBRE EL EMISOR</t>
  </si>
  <si>
    <t>CARACTERISTICAS</t>
  </si>
  <si>
    <t>VALOR</t>
  </si>
  <si>
    <t xml:space="preserve">VALOR </t>
  </si>
  <si>
    <t>SEGUN ULTIMO BALANCE</t>
  </si>
  <si>
    <t>DE LOS VALORES</t>
  </si>
  <si>
    <t>CLASE</t>
  </si>
  <si>
    <t>NOMINAL</t>
  </si>
  <si>
    <t>CANTIDAD</t>
  </si>
  <si>
    <t>PATRIMON.</t>
  </si>
  <si>
    <t xml:space="preserve">DE </t>
  </si>
  <si>
    <t>% DE</t>
  </si>
  <si>
    <t>ACTIVIDAD</t>
  </si>
  <si>
    <t>EMISOR</t>
  </si>
  <si>
    <t>UNITARIO</t>
  </si>
  <si>
    <t>PROPORC.</t>
  </si>
  <si>
    <t>LIBROS</t>
  </si>
  <si>
    <t>COTIZAC.</t>
  </si>
  <si>
    <t>PARTICIP.</t>
  </si>
  <si>
    <t>PRINCIPAL</t>
  </si>
  <si>
    <t>RESULTADO</t>
  </si>
  <si>
    <t>PATR.NETO</t>
  </si>
  <si>
    <t>BBVA CDA</t>
  </si>
  <si>
    <t>BANCO GNB- CDA</t>
  </si>
  <si>
    <t>CDA SUDAMERIS BANK</t>
  </si>
  <si>
    <t>RIEDER - BONO</t>
  </si>
  <si>
    <t>CASA DE BOLSA PUENTE ME</t>
  </si>
  <si>
    <t>CASA DE BOLSA PUENTE</t>
  </si>
  <si>
    <t>Sub Total</t>
  </si>
  <si>
    <t>OTRAS INVERSIONES TEMPORARIAS</t>
  </si>
  <si>
    <t>INVERSIONES</t>
  </si>
  <si>
    <t>PERMANENTES</t>
  </si>
  <si>
    <t>ANEXO D</t>
  </si>
  <si>
    <t>OTRAS INVERSIONES</t>
  </si>
  <si>
    <t>VALOR  NETO</t>
  </si>
  <si>
    <t>VALOR NETO</t>
  </si>
  <si>
    <t>C  U  E  N  T  A  S</t>
  </si>
  <si>
    <t>AMORTIZAC.</t>
  </si>
  <si>
    <t>REGISTRADO</t>
  </si>
  <si>
    <t>COSTO</t>
  </si>
  <si>
    <t>CORRIENTES</t>
  </si>
  <si>
    <t>SUB-TOTAL</t>
  </si>
  <si>
    <t>NO CORRIENTES</t>
  </si>
  <si>
    <t>Edificios y Terrenos</t>
  </si>
  <si>
    <t>CTA.CTE.CAT. 11-0058-13</t>
  </si>
  <si>
    <t>CTA.CTE.CAT. 11-0076-20</t>
  </si>
  <si>
    <t>CTA.CTE.CAT. 11-0058-12</t>
  </si>
  <si>
    <t>CTA.CTE.CAT. 11-0058-14</t>
  </si>
  <si>
    <t>CTA.CTE.CAT. 11-0058-15</t>
  </si>
  <si>
    <t>CTA.CTE.CAT. 11-0058-16</t>
  </si>
  <si>
    <t>CTA.CTE.CAT. 15-0885-01</t>
  </si>
  <si>
    <t>CTA.CTE.CAT. 27-1734-01</t>
  </si>
  <si>
    <t>CTA.CTE.CAT. 27-0231-05 F. DE LA MORA</t>
  </si>
  <si>
    <t>CTA.CTE.CAT. 13-0620-09/10/11</t>
  </si>
  <si>
    <t>CTA.CTE.CAT. 15-0885-18</t>
  </si>
  <si>
    <t>CURUGUATY PADRON Nº 1763</t>
  </si>
  <si>
    <t>CTA.CTE.CAT.27-3623-12/27-3624-14 LUQUE</t>
  </si>
  <si>
    <t>PADRON N° 3182 - FINCA N° 3330 EAYALA</t>
  </si>
  <si>
    <t>PADRON N° 2882 - EUSEBIO AYALA</t>
  </si>
  <si>
    <t>CTA.CTE.CAT.26-2259/03/04/05 CDE</t>
  </si>
  <si>
    <t>FINCA N° 21-289 - CAAGUAZU</t>
  </si>
  <si>
    <t>FINCA N° 29584 - PADRON Nº 26964</t>
  </si>
  <si>
    <t>PADRON Nº 1266 / FINCA Nº 1147 - AYOLAS</t>
  </si>
  <si>
    <t>CTA.CTE. CAT. 27-0093-04/5 - RI 3 CORRALES</t>
  </si>
  <si>
    <t>CTA.CTE. CAT. 14-0736-16/7 - CALLE ULTIMA</t>
  </si>
  <si>
    <t>CTA.CTE. CAT.15-1359-07-00-01 - ARBOLEDA</t>
  </si>
  <si>
    <t>CTA.CTE. CAT.Nº19-0063-08 FINCA Nº271-CAACUPE</t>
  </si>
  <si>
    <t>CTA. CTE. CAT nº 18/1705 PADRON 2016- CAPIIBARY</t>
  </si>
  <si>
    <t>CTA. CTE. CAT Nº 17-0423-03 DIST. DE CONCEPCION</t>
  </si>
  <si>
    <t>CTA. CTE. Nº 12-0578-04 LOTE 19 Y 20 - ARTIGAS</t>
  </si>
  <si>
    <t>CTA. CTE. Nº 27-5132-03/04/05 DTO. CAPIATA</t>
  </si>
  <si>
    <t>CTA. CTE. Nº 12-0578-05 ARTIGAS (EX ALARCON)</t>
  </si>
  <si>
    <t xml:space="preserve">CTA CTE 17225-06 LOTE 14 MANZANA G HORQUETA </t>
  </si>
  <si>
    <t>FINCA 903 SUP. 588 M2 LOTE 7 MANZANA 11 YBY YAU</t>
  </si>
  <si>
    <t>CTA CTE 17-228-03 LOTE 2 MANZANA I HORQUETA</t>
  </si>
  <si>
    <t>CTA. CTE. CAT. Nº 27-1538-03 LUQUE LOTE 5</t>
  </si>
  <si>
    <t>PADRON 6324 BO TELLEZ CUE CNEL BOGADO ITAPUA</t>
  </si>
  <si>
    <t>DPTO Nº A101 BLOQUE A 1ER PISO Y 2 COLCH 20-21 BALKONIA</t>
  </si>
  <si>
    <t>LOTE 1 PADRON 12192 FINCA 1173 MAT 19371 CAACUPE</t>
  </si>
  <si>
    <t>INM.SANTISIMA TRINIDAD SUP. 399 M2 CTA CTE 15-0762-14</t>
  </si>
  <si>
    <t>INM. COLONIA INDEP. 360 M2 PADRON 18219</t>
  </si>
  <si>
    <t>INM. CON MAT K01/32285 HERNANDARIAS</t>
  </si>
  <si>
    <t xml:space="preserve">(TRANSF JUDICIAL) YPANE MAT 4428 </t>
  </si>
  <si>
    <t>CTA. CTE CAT. 27-0081-11</t>
  </si>
  <si>
    <t xml:space="preserve">CTA. CTE. Nº 12-0323-08 FINCA 11-252 ESPAÑA 663 </t>
  </si>
  <si>
    <t xml:space="preserve">TRANSF. JUDICIAL ESC. Nº4 INM. CCC27-0190-27 FINCA 10886 </t>
  </si>
  <si>
    <t>REEMBOLSO IMP. TASAS X TRANSF. INMUEBLE MEDE</t>
  </si>
  <si>
    <t>OBRAS EN CURSO DE REALIZACION</t>
  </si>
  <si>
    <t>.</t>
  </si>
  <si>
    <t>ANEXO E</t>
  </si>
  <si>
    <t>P R E V I S I O N E S</t>
  </si>
  <si>
    <t>SALDOS AL</t>
  </si>
  <si>
    <t>R  U  B  R  O  S</t>
  </si>
  <si>
    <t xml:space="preserve">INICIO DEL </t>
  </si>
  <si>
    <t xml:space="preserve">Y/O </t>
  </si>
  <si>
    <t>DISMINUCIONES</t>
  </si>
  <si>
    <t>SALDOS</t>
  </si>
  <si>
    <t>TRANSFERENCIAS</t>
  </si>
  <si>
    <t>DEDUCIDAS DEL ACTIVO</t>
  </si>
  <si>
    <t>FONDOS DE OBSOLESCENCIAS</t>
  </si>
  <si>
    <t>PREVISION P/QUITAS POR CONCURSOS</t>
  </si>
  <si>
    <t>PREVISION PARA MALOS CREDITOS</t>
  </si>
  <si>
    <t>T O T A L</t>
  </si>
  <si>
    <t>INCLUIDAS  EN  EL  PASIVO</t>
  </si>
  <si>
    <t xml:space="preserve"> -0-</t>
  </si>
  <si>
    <t>ANEXO F</t>
  </si>
  <si>
    <t>COSTOS DE MERCADERIAS VENDIDAS  Y</t>
  </si>
  <si>
    <t>SERVICIOS PRESTADOS</t>
  </si>
  <si>
    <t>D E T A L L E</t>
  </si>
  <si>
    <t>1. COSTOS DE MERCADERIAS O</t>
  </si>
  <si>
    <t>PRODUCTOS VENDIDOS</t>
  </si>
  <si>
    <t>EXISTENCIAS AL COMIENZO DEL PERIODO</t>
  </si>
  <si>
    <t>MERCADERIAS DE REVENTA</t>
  </si>
  <si>
    <t>COMPRAS Y COSTOS DE PRODUCCION</t>
  </si>
  <si>
    <t>COMPRAS</t>
  </si>
  <si>
    <t>RESULTADO POR TENENCIA</t>
  </si>
  <si>
    <t xml:space="preserve">                                        </t>
  </si>
  <si>
    <t>EXISTENCIAS AL CIERRE DEL PERIODO</t>
  </si>
  <si>
    <t>COSTOS MERCADERIAS VENDIDAS</t>
  </si>
  <si>
    <t>TOTAL DE COSTOS MERCADERIAS VENDIDAS Y</t>
  </si>
  <si>
    <t>(EXPRESADO EN MONEDA EXTRANJERA Y EN GUARANIES)</t>
  </si>
  <si>
    <t>ANEXO G</t>
  </si>
  <si>
    <t>ACTIVOS Y PASIVOS EN MONEDA EXTRANJERA</t>
  </si>
  <si>
    <t>MONEDA EXTRANJERA</t>
  </si>
  <si>
    <t>CAMBIO</t>
  </si>
  <si>
    <t>MONEDA LOCAL</t>
  </si>
  <si>
    <t>MONTO</t>
  </si>
  <si>
    <t>VIGENTE</t>
  </si>
  <si>
    <t>ACTIVOS CORRIENTES</t>
  </si>
  <si>
    <t>BANCO REGIONAL S.A.E.C.A. - C.A.</t>
  </si>
  <si>
    <t>E$</t>
  </si>
  <si>
    <t>SUDAMERIS P.-C.A.</t>
  </si>
  <si>
    <t>ANTICIPOS A PROV. DEL EXTERIOR</t>
  </si>
  <si>
    <t>IMPORTACIONES EN CURSO</t>
  </si>
  <si>
    <t>ANTICIPOS P/VIAJES AL EXTERIOR</t>
  </si>
  <si>
    <t>R$</t>
  </si>
  <si>
    <t>P$</t>
  </si>
  <si>
    <t>BANCO BRASIL C.C.</t>
  </si>
  <si>
    <t>USD</t>
  </si>
  <si>
    <t>BANCO GNB S.A.- C.A.</t>
  </si>
  <si>
    <t>SUDAMERIS P.-C.C.</t>
  </si>
  <si>
    <t>BBVA C.C.</t>
  </si>
  <si>
    <t>BBVA C.A.</t>
  </si>
  <si>
    <t>BANCO CONTINENTAL C.C.</t>
  </si>
  <si>
    <t>BANCO CONTINENTAL C.A.</t>
  </si>
  <si>
    <t>BANCO REGIONAL S.A.E.C.A. - C.C.</t>
  </si>
  <si>
    <t>BANCO ITAU S.A. - C.C.</t>
  </si>
  <si>
    <t>BANCO ITAU S.A. - C.A.</t>
  </si>
  <si>
    <t>BANCOP C.A.</t>
  </si>
  <si>
    <t>CLIENTES M.E.</t>
  </si>
  <si>
    <t>ANTICIPOS A PROVEEDORES DEL EXTERIOR</t>
  </si>
  <si>
    <t>INTERESES A COBRAR PF</t>
  </si>
  <si>
    <t>INTERESES A RECUPERAR ME</t>
  </si>
  <si>
    <t>PRESTAMOS AL PERSONAL</t>
  </si>
  <si>
    <t>ALQ. PAGADOS POR ADELANTADO</t>
  </si>
  <si>
    <t>GARANTIA DE ALQUILER</t>
  </si>
  <si>
    <t>ANTCIPO P/ GASTOS VARIOS ME</t>
  </si>
  <si>
    <t>ANTICIPO P/ INV. FINANCIERAS ME</t>
  </si>
  <si>
    <t>ACTIVOS  NO CORRIENTES</t>
  </si>
  <si>
    <t>T O T A L E S</t>
  </si>
  <si>
    <t>PASIVOS CORRIENTES</t>
  </si>
  <si>
    <t>PROVEEDORES DEL EXTERIOR</t>
  </si>
  <si>
    <t>PUBLICIDAD A PAGAR</t>
  </si>
  <si>
    <t>CUENTAS A PAGAR</t>
  </si>
  <si>
    <t>CUENTAS A PAGAR ACT. GANADERA</t>
  </si>
  <si>
    <t>GARANTIAS DE ALQUILER</t>
  </si>
  <si>
    <t>FLETES A PAGAR</t>
  </si>
  <si>
    <t>SEGUROS A PAGAR</t>
  </si>
  <si>
    <t>HONORARIOS A PAGAR</t>
  </si>
  <si>
    <t>INTERESES S/PREST.BANCARIOS A PAGAR</t>
  </si>
  <si>
    <t>INTERESES S/PREST.BANCARIOS A VENCER</t>
  </si>
  <si>
    <t>BBVA- PRESTAMOS BANCARIO</t>
  </si>
  <si>
    <t>TOTALES</t>
  </si>
  <si>
    <t>PASIVOS NO CORRIENTES</t>
  </si>
  <si>
    <t>ANEXO H</t>
  </si>
  <si>
    <t>INFORMACIONES REQUERIDAS SOBRE COSTOS Y GASTOS</t>
  </si>
  <si>
    <t>C O S T O S   D E</t>
  </si>
  <si>
    <t>G A S T O S   D E</t>
  </si>
  <si>
    <t xml:space="preserve">BIENES DE </t>
  </si>
  <si>
    <t xml:space="preserve">BIENES </t>
  </si>
  <si>
    <t>SERVICIOS</t>
  </si>
  <si>
    <t>ADMINIST.</t>
  </si>
  <si>
    <t>COMERC.</t>
  </si>
  <si>
    <t>GASTOS DE</t>
  </si>
  <si>
    <t>OTROS</t>
  </si>
  <si>
    <t>DE USO</t>
  </si>
  <si>
    <t>PRESTADOS</t>
  </si>
  <si>
    <t>DEPOSITOS</t>
  </si>
  <si>
    <t>REMUNERACIONES</t>
  </si>
  <si>
    <t>DIRECTORES, GERENTES</t>
  </si>
  <si>
    <t>Y SINDICO</t>
  </si>
  <si>
    <t>HONORARIOS PROFESIO</t>
  </si>
  <si>
    <t>NALES</t>
  </si>
  <si>
    <t>SUELDOS Y JORNALES</t>
  </si>
  <si>
    <t>GASTOS SOCIALES</t>
  </si>
  <si>
    <t>GASTOS GENERALES</t>
  </si>
  <si>
    <t>COMISIONES PAGADAS</t>
  </si>
  <si>
    <t>GASTOS DE PUBLICIDAD</t>
  </si>
  <si>
    <t>SEGUROS</t>
  </si>
  <si>
    <t>INTERESES, MULTAS Y</t>
  </si>
  <si>
    <t>RECARGOS IMPOSITIVOS</t>
  </si>
  <si>
    <t xml:space="preserve">IMPUESTOS, TASAS Y </t>
  </si>
  <si>
    <t>CONTRIBUCIONES</t>
  </si>
  <si>
    <t>MANTENIMIENTO Y REPA</t>
  </si>
  <si>
    <t>RACIONES</t>
  </si>
  <si>
    <t>DEPRECIACIONES</t>
  </si>
  <si>
    <t>BIENES DE USO</t>
  </si>
  <si>
    <t>ACTIVOS INTANGIB.</t>
  </si>
  <si>
    <t>DETERIOROS Y OBSOLES -</t>
  </si>
  <si>
    <t>CENCIAS DE MERCADERIAS</t>
  </si>
  <si>
    <t>GASTOS DE LOGISTICA</t>
  </si>
  <si>
    <t>COSTO  M.O.</t>
  </si>
  <si>
    <t>COSTOS DE REPUESTOS</t>
  </si>
  <si>
    <t>ANEXO I</t>
  </si>
  <si>
    <t>DATOS ESTADISTICOS</t>
  </si>
  <si>
    <t>ACUMULADOS AL FIN DEL PERIODO</t>
  </si>
  <si>
    <t xml:space="preserve">       INDICADORES OPERATIVOS</t>
  </si>
  <si>
    <t>VOLUMEN DE VENTAS (EN GS.)</t>
  </si>
  <si>
    <t>CANTIDAD DE EMPLEADOS</t>
  </si>
  <si>
    <t>CONSUMO DE ENERGIA ELECTRICA (EN GS.)</t>
  </si>
  <si>
    <t>CANTIDAD DE SUCURSALES</t>
  </si>
  <si>
    <t>ANEXO J</t>
  </si>
  <si>
    <t>INDICES ECONOMICO - FINANCIEROS</t>
  </si>
  <si>
    <t xml:space="preserve">      ACUMULADO AL FIN DEL PERIODO</t>
  </si>
  <si>
    <t>INDICADORES OPERATIVOS</t>
  </si>
  <si>
    <t>LIQUIDEZ (1)</t>
  </si>
  <si>
    <t>ENDEUDAMIENTO (2)</t>
  </si>
  <si>
    <t>RENTABILIDAD (3) (*)</t>
  </si>
  <si>
    <t>(*) Presentar sólo a fin de ejercicio</t>
  </si>
  <si>
    <r>
      <t>NOTA</t>
    </r>
    <r>
      <rPr>
        <sz val="10"/>
        <rFont val="Arial"/>
        <family val="2"/>
      </rPr>
      <t xml:space="preserve">:      (1) </t>
    </r>
    <r>
      <rPr>
        <b/>
        <u val="single"/>
        <sz val="10"/>
        <rFont val="Arial"/>
        <family val="2"/>
      </rPr>
      <t>ACTIVO CORRIENTE</t>
    </r>
  </si>
  <si>
    <r>
      <t xml:space="preserve">   (2) </t>
    </r>
    <r>
      <rPr>
        <b/>
        <u val="single"/>
        <sz val="10"/>
        <rFont val="Arial"/>
        <family val="2"/>
      </rPr>
      <t xml:space="preserve"> TOTAL PASIVO    </t>
    </r>
  </si>
  <si>
    <r>
      <t xml:space="preserve">                     </t>
    </r>
    <r>
      <rPr>
        <b/>
        <sz val="10"/>
        <rFont val="Arial"/>
        <family val="2"/>
      </rPr>
      <t>PASIVO CORRIENTE</t>
    </r>
  </si>
  <si>
    <r>
      <t xml:space="preserve">             </t>
    </r>
    <r>
      <rPr>
        <b/>
        <sz val="10"/>
        <rFont val="Arial"/>
        <family val="2"/>
      </rPr>
      <t>PATRIMONIO NETO</t>
    </r>
  </si>
  <si>
    <r>
      <t xml:space="preserve">                 (3) </t>
    </r>
    <r>
      <rPr>
        <b/>
        <u val="single"/>
        <sz val="10"/>
        <rFont val="Arial"/>
        <family val="2"/>
      </rPr>
      <t xml:space="preserve">RESULTADO ANTES DEL IMPUESTO A LA RENTA                        </t>
    </r>
  </si>
  <si>
    <t>X 100</t>
  </si>
  <si>
    <t xml:space="preserve">                      PATRIMONIO NETO, EXCLUIDO EL RESULTADO DEL EJERCICIO</t>
  </si>
  <si>
    <t xml:space="preserve">   </t>
  </si>
  <si>
    <t xml:space="preserve">                  Situacion</t>
  </si>
  <si>
    <t>Observaciones</t>
  </si>
  <si>
    <t>Criterio de Clasificacion utilizados</t>
  </si>
  <si>
    <t>Normal</t>
  </si>
  <si>
    <t>de 30 a 60 dias de atraso</t>
  </si>
  <si>
    <t>En Gestion de cobro</t>
  </si>
  <si>
    <t>de 61 a 150 dias de atraso</t>
  </si>
  <si>
    <t>En Gestion de cobro Judicial</t>
  </si>
  <si>
    <t>mas de 151 dias de atraso</t>
  </si>
  <si>
    <t>CRITERIO PARA PREVISONES</t>
  </si>
  <si>
    <t>1- Clientes que registran atrasos y estan por ser demandados.</t>
  </si>
  <si>
    <t>2- Clientes que tienen cuentas con otros proveedores y no estan pudiendo pagar.</t>
  </si>
  <si>
    <t>3- Clientes con Cheques devueltos.</t>
  </si>
  <si>
    <t>4- Clientes que presentan atrasos normales.</t>
  </si>
  <si>
    <t xml:space="preserve">5- Clientes sobregirados de acuerdo al limite de creditos establecido por el </t>
  </si>
  <si>
    <t>comité correspondiente.</t>
  </si>
  <si>
    <t>6- Clientes que refinancian sus cuentas.</t>
  </si>
  <si>
    <t>A) PARTES VINCULADAS O RELACIONADAS</t>
  </si>
  <si>
    <t>a)</t>
  </si>
  <si>
    <t>Nicolás V. González R.</t>
  </si>
  <si>
    <t>Mauro E. González R.</t>
  </si>
  <si>
    <t>Montserrat González de Caballero</t>
  </si>
  <si>
    <t>Beatriz González de Bosio</t>
  </si>
  <si>
    <t>Gisela González de Fúster</t>
  </si>
  <si>
    <t>b)</t>
  </si>
  <si>
    <t>No aplica</t>
  </si>
  <si>
    <t>c)</t>
  </si>
  <si>
    <t>d)</t>
  </si>
  <si>
    <t>Presidente</t>
  </si>
  <si>
    <t>Vicepresidente</t>
  </si>
  <si>
    <t>Director</t>
  </si>
  <si>
    <t>Juan Jose Bosio</t>
  </si>
  <si>
    <t>Margarita Zelaya de Silva</t>
  </si>
  <si>
    <t>Domingo Daher</t>
  </si>
  <si>
    <t>Oscar Benítez Codas</t>
  </si>
  <si>
    <t xml:space="preserve">Síndico </t>
  </si>
  <si>
    <t>Ana Cristaldo</t>
  </si>
  <si>
    <t>Auditoria Interna</t>
  </si>
  <si>
    <t>e)</t>
  </si>
  <si>
    <t>Nicolas E. Gonzalez Z.</t>
  </si>
  <si>
    <t>Jose A. Gonzalez Z.</t>
  </si>
  <si>
    <t>Esteban J. Gonzalez K.</t>
  </si>
  <si>
    <t>Violeta M. Gonzalez K.</t>
  </si>
  <si>
    <t>Bruno A. Gonzalez K.</t>
  </si>
  <si>
    <t>NOMBRE DE LA EMPRESA</t>
  </si>
  <si>
    <t>MONTO DE LA</t>
  </si>
  <si>
    <t>TIPO DE VALOR</t>
  </si>
  <si>
    <t>Indicar el porcentaje de participación en</t>
  </si>
  <si>
    <t>INVERSION</t>
  </si>
  <si>
    <t>el capital integrado de la sociedad emisora</t>
  </si>
  <si>
    <t>NO APLICABLE</t>
  </si>
  <si>
    <t>VALOR DE LOS</t>
  </si>
  <si>
    <t>TIPO DE BIEN</t>
  </si>
  <si>
    <t>MONTO DE LA DEUDA GARANTIZADA</t>
  </si>
  <si>
    <t>BIENES GRAVADOS</t>
  </si>
  <si>
    <t>O VALOR</t>
  </si>
  <si>
    <t>NOMBRE DE LA SOCIEDAD</t>
  </si>
  <si>
    <t>FACTORES DE VINCULACION</t>
  </si>
  <si>
    <t>VINCULADA</t>
  </si>
  <si>
    <t>Confort Para el Hogar S.A</t>
  </si>
  <si>
    <t>Violeta Gonzalez Kriskovich</t>
  </si>
  <si>
    <t>Todo Franquicia S.A.</t>
  </si>
  <si>
    <t>Nicolas V. Gonzalez Rodriguez</t>
  </si>
  <si>
    <t>Montserrat Gonzalez de Caballero</t>
  </si>
  <si>
    <t>B) SALDOS CON PARTES RELACIONADAS</t>
  </si>
  <si>
    <t>ACTIVO</t>
  </si>
  <si>
    <t>Cuentas por Cobrar</t>
  </si>
  <si>
    <t>AGROP. CUATRO VIENTOS S.A.</t>
  </si>
  <si>
    <t>* Mauro E. González R.</t>
  </si>
  <si>
    <t>TODO FRANQUICIA S.A.</t>
  </si>
  <si>
    <t>CONFORT PARA EL HOGAR S.A.</t>
  </si>
  <si>
    <t>MAURO E. GONZALEZ</t>
  </si>
  <si>
    <t>NICOLAS V. GONZALEZ</t>
  </si>
  <si>
    <t>* Productos y Repuestos</t>
  </si>
  <si>
    <t>M. MONTSERRAT G.DE CABALLERO</t>
  </si>
  <si>
    <t>ESTIRPE GUARANI S.A.</t>
  </si>
  <si>
    <t>* M. Montserrat G. de Caballeo</t>
  </si>
  <si>
    <t>PASIVO</t>
  </si>
  <si>
    <t>INGRESOS</t>
  </si>
  <si>
    <r>
      <t>CIDECOM S.R.L</t>
    </r>
    <r>
      <rPr>
        <sz val="9"/>
        <rFont val="Arial"/>
        <family val="2"/>
      </rPr>
      <t xml:space="preserve">.- Aquileres </t>
    </r>
  </si>
  <si>
    <t>*  Nicolás V. González R.</t>
  </si>
  <si>
    <t>*  Mauro E. González R.</t>
  </si>
  <si>
    <t>*  Gisela González de Fuster</t>
  </si>
  <si>
    <t>ESTIRPE GUARANI S.A. - Alquileres</t>
  </si>
  <si>
    <r>
      <t>TODO FRANQUICIA S.A. -</t>
    </r>
    <r>
      <rPr>
        <sz val="9"/>
        <rFont val="Arial"/>
        <family val="2"/>
      </rPr>
      <t xml:space="preserve"> Alquileres</t>
    </r>
  </si>
  <si>
    <t>* NGO SAECA</t>
  </si>
  <si>
    <t>* Nicolas V. Gonzalez</t>
  </si>
  <si>
    <t>* Montserrat González de Caballero</t>
  </si>
  <si>
    <t>EGRESOS</t>
  </si>
  <si>
    <r>
      <t>TODO FRANQUICIA S.A. -</t>
    </r>
    <r>
      <rPr>
        <sz val="9"/>
        <rFont val="Arial"/>
        <family val="2"/>
      </rPr>
      <t xml:space="preserve"> </t>
    </r>
  </si>
  <si>
    <t xml:space="preserve">CHEQUES EMITIDOS AL COBRO </t>
  </si>
  <si>
    <t>SUDAMERIS- PRESTAMO BANCARIO</t>
  </si>
  <si>
    <t>SUDAMERIS</t>
  </si>
  <si>
    <t>BBVA</t>
  </si>
  <si>
    <t xml:space="preserve"> Normal</t>
  </si>
  <si>
    <t xml:space="preserve"> En Gestion de Cobro</t>
  </si>
  <si>
    <t xml:space="preserve"> En Gestion de Cobro Judicial</t>
  </si>
  <si>
    <t>Monto</t>
  </si>
  <si>
    <t xml:space="preserve">                     Previsiones</t>
  </si>
  <si>
    <t>( en G.)</t>
  </si>
  <si>
    <t>(en G.)</t>
  </si>
  <si>
    <t>% Prev s/ Cartera</t>
  </si>
  <si>
    <t>A. Total cartera no vencida</t>
  </si>
  <si>
    <t>B.Total cartera vencida</t>
  </si>
  <si>
    <t>Mauro Esteban Gonzalez Rodriguez</t>
  </si>
  <si>
    <t>Juan Jose Bosio Gonzalez</t>
  </si>
  <si>
    <t>Director  Suplente</t>
  </si>
  <si>
    <t>Director  Titular/ Accionista</t>
  </si>
  <si>
    <t>Accionista</t>
  </si>
  <si>
    <t>CTA.CTE. CAT. 27-1077-13/14 - AREGUA</t>
  </si>
  <si>
    <t>INM. CDE FINCA 24282 CDE</t>
  </si>
  <si>
    <t>TRANSF. REFACCION Y AMPLIACION SALON COMERCIAL INM CAACUPE CTA CTE CTRAL Nº 19-0063-08</t>
  </si>
  <si>
    <t xml:space="preserve">BANCO ATLAS SA C/ AH </t>
  </si>
  <si>
    <t xml:space="preserve">BANCO ATLAS SA C/C </t>
  </si>
  <si>
    <t xml:space="preserve">BANCOP C/C </t>
  </si>
  <si>
    <t>SEGUROS A VENCER</t>
  </si>
  <si>
    <t>DO BRASIL- PRESTAMOS BANCARIO</t>
  </si>
  <si>
    <t>ANTCIPOS VARIOS ME</t>
  </si>
  <si>
    <t>IMPUESTO A LA RENTA ADIC. P/ DISTRIB. UTILIDADES</t>
  </si>
  <si>
    <t>TRANSF. INMUEBLE PJC E/ M.O. Y FULGENCIO R. MORENO</t>
  </si>
  <si>
    <t>CTA CTE CAT 11-0076-19 FCA 964</t>
  </si>
  <si>
    <t>CTA CTE CAT 30-0023-21 VILLA HAYES MAT P01/5 187</t>
  </si>
  <si>
    <t>ESC. TRANSF. DE INM. -DACION OTORGADO POR MEDE</t>
  </si>
  <si>
    <t xml:space="preserve">* Productos </t>
  </si>
  <si>
    <t>PERDIDA POR SINIESTRO</t>
  </si>
  <si>
    <t>RESULTADO DE EJERCICIOS ANTERIORES</t>
  </si>
  <si>
    <t>Juan Jose S. Bosio Gonzalez</t>
  </si>
  <si>
    <t>Jose Antonio Gonzalez Oddone Z.</t>
  </si>
  <si>
    <t>Nicolas Enrique Gonzalez Oddone Z.</t>
  </si>
  <si>
    <t>Director  Titular</t>
  </si>
  <si>
    <t>BANCO GNB</t>
  </si>
  <si>
    <t>TOTALES AL 31/12/2018</t>
  </si>
  <si>
    <t>AL 31/12/18</t>
  </si>
  <si>
    <t>RESULTADO EN INVERSIONES PERMANENTES</t>
  </si>
  <si>
    <t>CASA DE BOLSA CADIEM</t>
  </si>
  <si>
    <t>BANCO ITAU</t>
  </si>
  <si>
    <t>Nicolas V.Gonzalez</t>
  </si>
  <si>
    <t>CDA BANCOP</t>
  </si>
  <si>
    <t>TRANSF DE UN INM-DACION DE PAGO NAG ELECT</t>
  </si>
  <si>
    <t>Saldo al inicio del ejercicio 01/01/2019</t>
  </si>
  <si>
    <t>Saldos Ajustados al 01/01/2019</t>
  </si>
  <si>
    <r>
      <t>CTA.CTE.CAT. 17-0081-11 -</t>
    </r>
    <r>
      <rPr>
        <b/>
        <sz val="9"/>
        <rFont val="Arial"/>
        <family val="2"/>
      </rPr>
      <t xml:space="preserve"> asfaltado</t>
    </r>
  </si>
  <si>
    <t>CTA.CTE.CAT. 27-0552-16 ITAUGUA</t>
  </si>
  <si>
    <t>OTROS GASTOS PAG. POR ADEL.</t>
  </si>
  <si>
    <t xml:space="preserve">                  ANEXO D SEGÚN RES. CG Nº 1/19</t>
  </si>
  <si>
    <t>____________________</t>
  </si>
  <si>
    <t xml:space="preserve">                                 </t>
  </si>
  <si>
    <t>____________________                         ________________</t>
  </si>
  <si>
    <t xml:space="preserve">  Laura Beatriz Valdez                           Lic Oscar Benitez Codas</t>
  </si>
  <si>
    <t xml:space="preserve">         Contadora                                          Sindico</t>
  </si>
  <si>
    <t xml:space="preserve">          </t>
  </si>
  <si>
    <t>_________________</t>
  </si>
  <si>
    <t xml:space="preserve">   Nicolas V. Gonzalez R.</t>
  </si>
  <si>
    <t xml:space="preserve"> Presidente</t>
  </si>
  <si>
    <t>ANEXO A - INFORME SOBRE PERSONAS VINCULADAS O RELACIONADAS</t>
  </si>
  <si>
    <t>Según Art. 34 de la Ley de Mercado de Valores (indicar nombres de las partes)</t>
  </si>
  <si>
    <t>A.2 Inversiones de la sociedad en valores de otras empresas que representen más del 10% del activo de la sociedad</t>
  </si>
  <si>
    <t>A.3 Activos de la sociedad comprometidos en mas del 20% en garantia de obigaciociones de otra u otras empresas</t>
  </si>
  <si>
    <t>A.4 Vinculacion por nivel del endeudamiento:</t>
  </si>
  <si>
    <t>BANCO BASA  C/C</t>
  </si>
  <si>
    <t>Nicolas V. Gonzalez R.</t>
  </si>
  <si>
    <t>Laura Beatriz Valdez</t>
  </si>
  <si>
    <t xml:space="preserve">    Contadora</t>
  </si>
  <si>
    <t xml:space="preserve">Presidente </t>
  </si>
  <si>
    <t>BALANCE GENERAL AL 31 DE DICIEMBRE DE 2019 COMPARATIVO CON CIFRAS AL 31 DE DICIEMBRE DE 2018</t>
  </si>
  <si>
    <t>BALANCE GENERAL AL 31 DE DICIEMBRE DE 2019 COMPARATIVO CON CIFRAS AL 31 DE DICIEMBRE DE  DE 2018</t>
  </si>
  <si>
    <t>TOTALES AL 31/12/2019</t>
  </si>
  <si>
    <t>TOTALES AL 31/12/19</t>
  </si>
  <si>
    <t>AL 31/12/19</t>
  </si>
  <si>
    <t>TRANF. JUDICIAL INM. FINCA Nº7 PADRON13 LOTE 1- MANZ.34 STA ROSA DEL AGUARAY</t>
  </si>
  <si>
    <t>TRANSF.61 FINCA Nº7745 DPTO. CAAZAPA FRACCION LOMA CLAVEL</t>
  </si>
  <si>
    <t>BALANCE GENERAL AL 31 DE DICIEMBRE DE 2019 Y 2018</t>
  </si>
  <si>
    <t>BANCO REGIONAL SAECA</t>
  </si>
  <si>
    <t>TOTALES AL 31/12/18</t>
  </si>
  <si>
    <t>BALANCE GENERAL AL 31 DE DICIEMBRE  2019 Y 2018</t>
  </si>
  <si>
    <t xml:space="preserve">                                    BALANCE GENERAL AL 31 DE DICIEMBRE DE 2019 COMPARATIVO CON CIFRAS AL 31 DE DICIEMBRE DE 2018</t>
  </si>
  <si>
    <t>EL 31 DE DICIEMBRE DE 2019 Y 2018</t>
  </si>
  <si>
    <t>SALDO AL 31/12/2019</t>
  </si>
  <si>
    <t xml:space="preserve">ANTICIPOS DE CLIENTES </t>
  </si>
  <si>
    <t xml:space="preserve">                          COMPOSICION DE LA CARTERA DE CREDITOS AL 31/12/2019</t>
  </si>
  <si>
    <t>TOTAL CARTERA DE CREDITOS AL 31/12/2019</t>
  </si>
  <si>
    <t>(- )TOTAL PREVISIONES AL 31/12/2019</t>
  </si>
  <si>
    <t>TOTAL NETO DE CARTERAS DE CREDITO AL 31/12/2019</t>
  </si>
  <si>
    <t>Al 31/12/2019</t>
  </si>
  <si>
    <t>Al 31/12/2018</t>
  </si>
  <si>
    <t>MONDAY S.A INMOBILIARIA</t>
  </si>
  <si>
    <t xml:space="preserve">* Nicolas V. González </t>
  </si>
  <si>
    <t>Monday S.A Inmobiliaria</t>
  </si>
  <si>
    <t xml:space="preserve">Accionista </t>
  </si>
  <si>
    <t>31 DE DICIEMBRE DE 2019 Y 2018</t>
  </si>
  <si>
    <t>POR LOS PERIODOS COMPRENDIDOS ENTRE EL 1 DE ENERO Y EL 31 DE DICIEMBRE DE 2019 Y 2018</t>
  </si>
  <si>
    <t>INTERESES A VENCER</t>
  </si>
  <si>
    <t>INTERESES ME A DEVENGAR</t>
  </si>
  <si>
    <r>
      <t>BALANCE GENERAL AL 31 DE DICIEMBRE DE 2019  COMPARATIVO CON CIFRAS AL 3</t>
    </r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 DE </t>
    </r>
    <r>
      <rPr>
        <sz val="9"/>
        <rFont val="Arial"/>
        <family val="2"/>
      </rPr>
      <t>DICIEMBRE</t>
    </r>
    <r>
      <rPr>
        <b/>
        <sz val="9"/>
        <rFont val="Arial"/>
        <family val="2"/>
      </rPr>
      <t xml:space="preserve"> DE 2018</t>
    </r>
  </si>
  <si>
    <t>Gastos de Publicidad</t>
  </si>
  <si>
    <t>SALDO AL 31/12/2018</t>
  </si>
  <si>
    <t xml:space="preserve">7- Estimación de la alta gerencia sobre decaimiento de las cobranzas </t>
  </si>
  <si>
    <t>Las previsiones de la cartera vencida corresponden al ejercicio 2018</t>
  </si>
  <si>
    <t>(Nota 8)</t>
  </si>
  <si>
    <t xml:space="preserve">2. COSTOS DE SERVICIOS PRESTADOS </t>
  </si>
  <si>
    <t>(Anexo H- servicios prestados)</t>
  </si>
  <si>
    <t>INVERSIONES INMOBILIARIAS (NOTA 10 y ANEXO D)</t>
  </si>
  <si>
    <t>CUENTAS A PAGAR (NOTA 11) - ACT. COMERCIAL</t>
  </si>
  <si>
    <t>CUENTAS A PAGAR (NOTA 11) - ACT. GANADERA</t>
  </si>
  <si>
    <t>DEUDAS BANCARIAS (NOTA 12)</t>
  </si>
  <si>
    <t>PROVEEDORES  (NOTA 13) - ACT. COMERCIAL Y GANADERA</t>
  </si>
  <si>
    <t>APORTES Y RETEN. A PAGAR (NOTA 14)</t>
  </si>
  <si>
    <t>OTROS PASIVOS (NOTA 15)</t>
  </si>
  <si>
    <t>Aumento neto de efectivos y sus equivalentes</t>
  </si>
  <si>
    <t>VENTAS NETAS  ( NOTA 16 ) - ACT. COMERCIAL</t>
  </si>
  <si>
    <t>VENTAS NETAS  ( NOTA 16 ) - ACT. GANADERA</t>
  </si>
  <si>
    <t>RESULTADOS FINANCIEROS - ACT. COMERCIAL (NOTA 17)</t>
  </si>
  <si>
    <t>OTROS INGRESOS ( NOTA 18)</t>
  </si>
  <si>
    <t>RESULTADO INVERSIONES INMOBILIARIAS (NOTA 19)</t>
  </si>
  <si>
    <t xml:space="preserve">BIENES DE CAMBIO (NOTA 3 c y 7)- ACT. COMER. </t>
  </si>
  <si>
    <t>(*)</t>
  </si>
  <si>
    <t>(*) Ver descripción en Nota 9</t>
  </si>
  <si>
    <t xml:space="preserve">*  Reserva Legal CPH </t>
  </si>
  <si>
    <t>Revalúo CPH S.A y TF S.A</t>
  </si>
  <si>
    <t>OTROS ACTIVOS. DERECHOS ADUANEROS A REGULARIZAR</t>
  </si>
  <si>
    <t>RESULTADOS ACTIVIDAD GANADERA ( NOTA 20 )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</si>
</sst>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"/>
    <numFmt numFmtId="175" formatCode="#,##0.0000"/>
    <numFmt numFmtId="176" formatCode="#,##0.000"/>
    <numFmt numFmtId="177" formatCode="#,##0.0"/>
    <numFmt numFmtId="178" formatCode="_-* #,##0.00\ _P_t_s_-;\-* #,##0.00\ _P_t_s_-;_-* \-??\ _P_t_s_-;_-@_-"/>
    <numFmt numFmtId="179" formatCode="_-* #,##0\ _P_t_s_-;\-* #,##0\ _P_t_s_-;_-* \-??\ _P_t_s_-;_-@_-"/>
    <numFmt numFmtId="180" formatCode="_(* #,##0_);_(* \(#,##0\);_(* \-_);_(@_)"/>
    <numFmt numFmtId="181" formatCode="_-* #,##0.00&quot; Pts&quot;_-;\-* #,##0.00&quot; Pts&quot;_-;_-* \-??&quot; Pts&quot;_-;_-@_-"/>
    <numFmt numFmtId="182" formatCode="0.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104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Book Antiqua"/>
      <family val="1"/>
    </font>
    <font>
      <b/>
      <sz val="9"/>
      <name val="Arial"/>
      <family val="2"/>
    </font>
    <font>
      <sz val="9"/>
      <name val="Book Antiqua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Book Antiqua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54"/>
      <name val="Arial"/>
      <family val="2"/>
    </font>
    <font>
      <b/>
      <sz val="8"/>
      <color indexed="62"/>
      <name val="Arial"/>
      <family val="2"/>
    </font>
    <font>
      <b/>
      <sz val="10"/>
      <color indexed="21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8"/>
      <color indexed="8"/>
      <name val="Tahoma"/>
      <family val="2"/>
    </font>
    <font>
      <u val="single"/>
      <sz val="8"/>
      <color indexed="8"/>
      <name val="Tahoma"/>
      <family val="2"/>
    </font>
    <font>
      <sz val="8"/>
      <color indexed="8"/>
      <name val="Tahoma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Book Antiqua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Book Antiqua"/>
      <family val="1"/>
    </font>
    <font>
      <b/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3" fillId="29" borderId="1" applyNumberFormat="0" applyAlignment="0" applyProtection="0"/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42" fontId="0" fillId="0" borderId="0" applyFill="0" applyBorder="0" applyAlignment="0" applyProtection="0"/>
    <xf numFmtId="0" fontId="87" fillId="31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88" fillId="21" borderId="6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7" applyNumberFormat="0" applyFill="0" applyAlignment="0" applyProtection="0"/>
    <xf numFmtId="0" fontId="82" fillId="0" borderId="8" applyNumberFormat="0" applyFill="0" applyAlignment="0" applyProtection="0"/>
    <xf numFmtId="0" fontId="93" fillId="0" borderId="9" applyNumberFormat="0" applyFill="0" applyAlignment="0" applyProtection="0"/>
  </cellStyleXfs>
  <cellXfs count="108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left" indent="1"/>
    </xf>
    <xf numFmtId="0" fontId="1" fillId="33" borderId="12" xfId="0" applyFont="1" applyFill="1" applyBorder="1" applyAlignment="1">
      <alignment horizontal="left" indent="1"/>
    </xf>
    <xf numFmtId="0" fontId="1" fillId="33" borderId="13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2" fillId="33" borderId="13" xfId="0" applyFont="1" applyFill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1" fillId="33" borderId="15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1" fillId="33" borderId="16" xfId="0" applyFont="1" applyFill="1" applyBorder="1" applyAlignment="1">
      <alignment horizontal="left" indent="1"/>
    </xf>
    <xf numFmtId="0" fontId="1" fillId="33" borderId="17" xfId="0" applyFont="1" applyFill="1" applyBorder="1" applyAlignment="1">
      <alignment horizontal="left" indent="1"/>
    </xf>
    <xf numFmtId="0" fontId="1" fillId="0" borderId="17" xfId="0" applyFont="1" applyFill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174" fontId="1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3" fontId="0" fillId="0" borderId="14" xfId="0" applyNumberFormat="1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0" fillId="0" borderId="14" xfId="0" applyFont="1" applyFill="1" applyBorder="1" applyAlignment="1">
      <alignment horizontal="left" indent="1"/>
    </xf>
    <xf numFmtId="3" fontId="3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3" fontId="6" fillId="0" borderId="19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left" indent="1"/>
    </xf>
    <xf numFmtId="0" fontId="1" fillId="0" borderId="14" xfId="0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2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left" indent="1"/>
    </xf>
    <xf numFmtId="3" fontId="1" fillId="0" borderId="2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3" fontId="1" fillId="0" borderId="23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8" xfId="0" applyFont="1" applyBorder="1" applyAlignment="1">
      <alignment horizontal="left" indent="1"/>
    </xf>
    <xf numFmtId="3" fontId="0" fillId="0" borderId="17" xfId="0" applyNumberFormat="1" applyFont="1" applyBorder="1" applyAlignment="1">
      <alignment horizontal="left" indent="1"/>
    </xf>
    <xf numFmtId="3" fontId="0" fillId="0" borderId="17" xfId="0" applyNumberFormat="1" applyFont="1" applyFill="1" applyBorder="1" applyAlignment="1">
      <alignment horizontal="left" indent="1"/>
    </xf>
    <xf numFmtId="0" fontId="0" fillId="0" borderId="24" xfId="0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15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6" fillId="0" borderId="2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0" fontId="0" fillId="0" borderId="0" xfId="56" applyBorder="1">
      <alignment/>
      <protection/>
    </xf>
    <xf numFmtId="0" fontId="0" fillId="0" borderId="10" xfId="56" applyBorder="1">
      <alignment/>
      <protection/>
    </xf>
    <xf numFmtId="174" fontId="6" fillId="0" borderId="18" xfId="56" applyNumberFormat="1" applyFont="1" applyBorder="1" applyAlignment="1">
      <alignment horizontal="center"/>
      <protection/>
    </xf>
    <xf numFmtId="3" fontId="4" fillId="0" borderId="14" xfId="56" applyNumberFormat="1" applyFont="1" applyBorder="1">
      <alignment/>
      <protection/>
    </xf>
    <xf numFmtId="4" fontId="0" fillId="0" borderId="0" xfId="0" applyNumberFormat="1" applyAlignment="1">
      <alignment/>
    </xf>
    <xf numFmtId="3" fontId="6" fillId="0" borderId="14" xfId="56" applyNumberFormat="1" applyFont="1" applyBorder="1">
      <alignment/>
      <protection/>
    </xf>
    <xf numFmtId="3" fontId="3" fillId="0" borderId="14" xfId="56" applyNumberFormat="1" applyFont="1" applyFill="1" applyBorder="1">
      <alignment/>
      <protection/>
    </xf>
    <xf numFmtId="3" fontId="4" fillId="0" borderId="14" xfId="56" applyNumberFormat="1" applyFont="1" applyFill="1" applyBorder="1">
      <alignment/>
      <protection/>
    </xf>
    <xf numFmtId="3" fontId="3" fillId="0" borderId="18" xfId="56" applyNumberFormat="1" applyFont="1" applyFill="1" applyBorder="1">
      <alignment/>
      <protection/>
    </xf>
    <xf numFmtId="3" fontId="4" fillId="0" borderId="18" xfId="56" applyNumberFormat="1" applyFont="1" applyFill="1" applyBorder="1">
      <alignment/>
      <protection/>
    </xf>
    <xf numFmtId="3" fontId="7" fillId="0" borderId="0" xfId="0" applyNumberFormat="1" applyFont="1" applyAlignment="1">
      <alignment/>
    </xf>
    <xf numFmtId="3" fontId="6" fillId="0" borderId="18" xfId="56" applyNumberFormat="1" applyFont="1" applyBorder="1">
      <alignment/>
      <protection/>
    </xf>
    <xf numFmtId="3" fontId="6" fillId="0" borderId="18" xfId="56" applyNumberFormat="1" applyFont="1" applyFill="1" applyBorder="1">
      <alignment/>
      <protection/>
    </xf>
    <xf numFmtId="3" fontId="6" fillId="0" borderId="14" xfId="56" applyNumberFormat="1" applyFont="1" applyFill="1" applyBorder="1">
      <alignment/>
      <protection/>
    </xf>
    <xf numFmtId="3" fontId="15" fillId="0" borderId="0" xfId="0" applyNumberFormat="1" applyFont="1" applyAlignment="1">
      <alignment/>
    </xf>
    <xf numFmtId="3" fontId="6" fillId="0" borderId="19" xfId="56" applyNumberFormat="1" applyFont="1" applyFill="1" applyBorder="1">
      <alignment/>
      <protection/>
    </xf>
    <xf numFmtId="0" fontId="12" fillId="0" borderId="0" xfId="56" applyFont="1" applyBorder="1">
      <alignment/>
      <protection/>
    </xf>
    <xf numFmtId="3" fontId="16" fillId="0" borderId="14" xfId="56" applyNumberFormat="1" applyFont="1" applyFill="1" applyBorder="1">
      <alignment/>
      <protection/>
    </xf>
    <xf numFmtId="3" fontId="4" fillId="0" borderId="14" xfId="46" applyNumberFormat="1" applyFont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6" fillId="0" borderId="20" xfId="56" applyNumberFormat="1" applyFont="1" applyFill="1" applyBorder="1">
      <alignment/>
      <protection/>
    </xf>
    <xf numFmtId="0" fontId="0" fillId="0" borderId="16" xfId="56" applyFont="1" applyBorder="1">
      <alignment/>
      <protection/>
    </xf>
    <xf numFmtId="3" fontId="4" fillId="0" borderId="17" xfId="56" applyNumberFormat="1" applyFont="1" applyBorder="1">
      <alignment/>
      <protection/>
    </xf>
    <xf numFmtId="3" fontId="4" fillId="0" borderId="17" xfId="56" applyNumberFormat="1" applyFont="1" applyFill="1" applyBorder="1">
      <alignment/>
      <protection/>
    </xf>
    <xf numFmtId="3" fontId="0" fillId="0" borderId="24" xfId="56" applyNumberFormat="1" applyFont="1" applyBorder="1">
      <alignment/>
      <protection/>
    </xf>
    <xf numFmtId="3" fontId="13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174" fontId="17" fillId="0" borderId="19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17" fillId="0" borderId="19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5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177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3" fontId="15" fillId="0" borderId="0" xfId="0" applyNumberFormat="1" applyFont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4" xfId="0" applyBorder="1" applyAlignment="1">
      <alignment/>
    </xf>
    <xf numFmtId="0" fontId="15" fillId="33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Alignment="1">
      <alignment/>
    </xf>
    <xf numFmtId="0" fontId="0" fillId="0" borderId="28" xfId="0" applyBorder="1" applyAlignment="1">
      <alignment/>
    </xf>
    <xf numFmtId="0" fontId="14" fillId="0" borderId="0" xfId="0" applyFont="1" applyFill="1" applyAlignment="1">
      <alignment/>
    </xf>
    <xf numFmtId="0" fontId="0" fillId="0" borderId="29" xfId="0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7" fillId="0" borderId="14" xfId="0" applyNumberFormat="1" applyFont="1" applyFill="1" applyBorder="1" applyAlignment="1">
      <alignment horizontal="center"/>
    </xf>
    <xf numFmtId="3" fontId="17" fillId="0" borderId="30" xfId="0" applyNumberFormat="1" applyFont="1" applyFill="1" applyBorder="1" applyAlignment="1">
      <alignment horizontal="center"/>
    </xf>
    <xf numFmtId="3" fontId="17" fillId="0" borderId="31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17" fillId="0" borderId="32" xfId="0" applyNumberFormat="1" applyFont="1" applyFill="1" applyBorder="1" applyAlignment="1">
      <alignment horizontal="center"/>
    </xf>
    <xf numFmtId="3" fontId="17" fillId="0" borderId="33" xfId="0" applyNumberFormat="1" applyFont="1" applyFill="1" applyBorder="1" applyAlignment="1">
      <alignment horizontal="center"/>
    </xf>
    <xf numFmtId="3" fontId="17" fillId="0" borderId="34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30" xfId="0" applyNumberFormat="1" applyFont="1" applyFill="1" applyBorder="1" applyAlignment="1">
      <alignment horizontal="center"/>
    </xf>
    <xf numFmtId="3" fontId="15" fillId="0" borderId="31" xfId="0" applyNumberFormat="1" applyFont="1" applyFill="1" applyBorder="1" applyAlignment="1">
      <alignment horizontal="center"/>
    </xf>
    <xf numFmtId="3" fontId="17" fillId="0" borderId="30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24" fillId="0" borderId="35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7" fillId="0" borderId="31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37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38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17" fillId="0" borderId="35" xfId="0" applyNumberFormat="1" applyFont="1" applyFill="1" applyBorder="1" applyAlignment="1">
      <alignment/>
    </xf>
    <xf numFmtId="3" fontId="17" fillId="0" borderId="41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3" fontId="17" fillId="0" borderId="42" xfId="0" applyNumberFormat="1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33" borderId="14" xfId="0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18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3" fontId="15" fillId="0" borderId="14" xfId="0" applyNumberFormat="1" applyFont="1" applyFill="1" applyBorder="1" applyAlignment="1">
      <alignment horizontal="right"/>
    </xf>
    <xf numFmtId="0" fontId="17" fillId="0" borderId="19" xfId="0" applyFont="1" applyBorder="1" applyAlignment="1">
      <alignment/>
    </xf>
    <xf numFmtId="3" fontId="17" fillId="0" borderId="19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3" fontId="15" fillId="0" borderId="14" xfId="0" applyNumberFormat="1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7" fillId="33" borderId="13" xfId="0" applyFont="1" applyFill="1" applyBorder="1" applyAlignment="1">
      <alignment/>
    </xf>
    <xf numFmtId="180" fontId="17" fillId="0" borderId="13" xfId="0" applyNumberFormat="1" applyFont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180" fontId="17" fillId="0" borderId="27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7" fillId="0" borderId="27" xfId="0" applyNumberFormat="1" applyFont="1" applyFill="1" applyBorder="1" applyAlignment="1">
      <alignment horizontal="right"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15" fillId="33" borderId="14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36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3" fontId="37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37" fillId="0" borderId="0" xfId="0" applyNumberFormat="1" applyFont="1" applyFill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/>
    </xf>
    <xf numFmtId="0" fontId="10" fillId="0" borderId="55" xfId="0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12" fillId="0" borderId="45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2" fillId="0" borderId="55" xfId="0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/>
    </xf>
    <xf numFmtId="0" fontId="39" fillId="0" borderId="15" xfId="0" applyFont="1" applyFill="1" applyBorder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74" fontId="12" fillId="0" borderId="19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5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15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5" fillId="0" borderId="58" xfId="0" applyFont="1" applyFill="1" applyBorder="1" applyAlignment="1">
      <alignment/>
    </xf>
    <xf numFmtId="0" fontId="17" fillId="0" borderId="30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5" fillId="0" borderId="33" xfId="0" applyFont="1" applyFill="1" applyBorder="1" applyAlignment="1">
      <alignment/>
    </xf>
    <xf numFmtId="0" fontId="17" fillId="0" borderId="54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7" fillId="0" borderId="56" xfId="0" applyFont="1" applyFill="1" applyBorder="1" applyAlignment="1">
      <alignment horizontal="center"/>
    </xf>
    <xf numFmtId="0" fontId="15" fillId="0" borderId="48" xfId="0" applyFont="1" applyFill="1" applyBorder="1" applyAlignment="1">
      <alignment/>
    </xf>
    <xf numFmtId="0" fontId="15" fillId="0" borderId="52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3" fontId="15" fillId="0" borderId="48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0" fontId="43" fillId="0" borderId="30" xfId="0" applyFont="1" applyFill="1" applyBorder="1" applyAlignment="1">
      <alignment horizontal="left"/>
    </xf>
    <xf numFmtId="3" fontId="15" fillId="0" borderId="48" xfId="0" applyNumberFormat="1" applyFon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2" xfId="0" applyFill="1" applyBorder="1" applyAlignment="1">
      <alignment/>
    </xf>
    <xf numFmtId="0" fontId="17" fillId="0" borderId="37" xfId="0" applyFont="1" applyFill="1" applyBorder="1" applyAlignment="1">
      <alignment horizontal="left"/>
    </xf>
    <xf numFmtId="0" fontId="17" fillId="0" borderId="59" xfId="0" applyFont="1" applyFill="1" applyBorder="1" applyAlignment="1">
      <alignment/>
    </xf>
    <xf numFmtId="3" fontId="17" fillId="0" borderId="36" xfId="0" applyNumberFormat="1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7" fillId="0" borderId="60" xfId="0" applyFont="1" applyFill="1" applyBorder="1" applyAlignment="1">
      <alignment horizontal="left"/>
    </xf>
    <xf numFmtId="0" fontId="17" fillId="0" borderId="61" xfId="0" applyFont="1" applyFill="1" applyBorder="1" applyAlignment="1">
      <alignment/>
    </xf>
    <xf numFmtId="0" fontId="17" fillId="0" borderId="62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74" fontId="1" fillId="0" borderId="19" xfId="0" applyNumberFormat="1" applyFont="1" applyBorder="1" applyAlignment="1">
      <alignment horizontal="center"/>
    </xf>
    <xf numFmtId="174" fontId="1" fillId="0" borderId="19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18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2" fillId="33" borderId="15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182" fontId="0" fillId="0" borderId="0" xfId="0" applyNumberFormat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8" fillId="0" borderId="0" xfId="0" applyFont="1" applyAlignment="1">
      <alignment/>
    </xf>
    <xf numFmtId="0" fontId="12" fillId="0" borderId="0" xfId="0" applyFont="1" applyAlignment="1">
      <alignment horizontal="left"/>
    </xf>
    <xf numFmtId="0" fontId="1" fillId="0" borderId="16" xfId="0" applyFont="1" applyBorder="1" applyAlignment="1">
      <alignment/>
    </xf>
    <xf numFmtId="0" fontId="48" fillId="0" borderId="0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34" borderId="0" xfId="0" applyFont="1" applyFill="1" applyBorder="1" applyAlignment="1">
      <alignment/>
    </xf>
    <xf numFmtId="0" fontId="12" fillId="34" borderId="19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4" fontId="10" fillId="34" borderId="14" xfId="0" applyNumberFormat="1" applyFont="1" applyFill="1" applyBorder="1" applyAlignment="1">
      <alignment/>
    </xf>
    <xf numFmtId="4" fontId="10" fillId="34" borderId="19" xfId="0" applyNumberFormat="1" applyFont="1" applyFill="1" applyBorder="1" applyAlignment="1">
      <alignment/>
    </xf>
    <xf numFmtId="4" fontId="12" fillId="34" borderId="14" xfId="0" applyNumberFormat="1" applyFont="1" applyFill="1" applyBorder="1" applyAlignment="1">
      <alignment/>
    </xf>
    <xf numFmtId="4" fontId="12" fillId="34" borderId="57" xfId="0" applyNumberFormat="1" applyFont="1" applyFill="1" applyBorder="1" applyAlignment="1">
      <alignment/>
    </xf>
    <xf numFmtId="4" fontId="12" fillId="34" borderId="19" xfId="0" applyNumberFormat="1" applyFont="1" applyFill="1" applyBorder="1" applyAlignment="1">
      <alignment/>
    </xf>
    <xf numFmtId="4" fontId="10" fillId="34" borderId="18" xfId="0" applyNumberFormat="1" applyFont="1" applyFill="1" applyBorder="1" applyAlignment="1">
      <alignment/>
    </xf>
    <xf numFmtId="4" fontId="12" fillId="34" borderId="20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4" fontId="0" fillId="34" borderId="0" xfId="0" applyNumberFormat="1" applyFont="1" applyFill="1" applyAlignment="1">
      <alignment/>
    </xf>
    <xf numFmtId="4" fontId="1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5" fillId="0" borderId="65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6" xfId="0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35" borderId="25" xfId="0" applyFill="1" applyBorder="1" applyAlignment="1">
      <alignment/>
    </xf>
    <xf numFmtId="0" fontId="0" fillId="35" borderId="68" xfId="0" applyFill="1" applyBorder="1" applyAlignment="1">
      <alignment/>
    </xf>
    <xf numFmtId="0" fontId="1" fillId="0" borderId="69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 horizontal="center"/>
    </xf>
    <xf numFmtId="0" fontId="1" fillId="0" borderId="7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3" fontId="1" fillId="0" borderId="77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94" fillId="0" borderId="78" xfId="0" applyNumberFormat="1" applyFont="1" applyBorder="1" applyAlignment="1">
      <alignment/>
    </xf>
    <xf numFmtId="3" fontId="4" fillId="0" borderId="78" xfId="0" applyNumberFormat="1" applyFont="1" applyFill="1" applyBorder="1" applyAlignment="1">
      <alignment/>
    </xf>
    <xf numFmtId="14" fontId="6" fillId="0" borderId="79" xfId="0" applyNumberFormat="1" applyFont="1" applyFill="1" applyBorder="1" applyAlignment="1">
      <alignment horizontal="center"/>
    </xf>
    <xf numFmtId="3" fontId="3" fillId="0" borderId="78" xfId="0" applyNumberFormat="1" applyFont="1" applyBorder="1" applyAlignment="1">
      <alignment horizontal="right"/>
    </xf>
    <xf numFmtId="3" fontId="11" fillId="0" borderId="78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78" xfId="0" applyNumberFormat="1" applyFont="1" applyFill="1" applyBorder="1" applyAlignment="1">
      <alignment horizontal="right"/>
    </xf>
    <xf numFmtId="3" fontId="4" fillId="0" borderId="80" xfId="0" applyNumberFormat="1" applyFont="1" applyFill="1" applyBorder="1" applyAlignment="1">
      <alignment/>
    </xf>
    <xf numFmtId="3" fontId="6" fillId="0" borderId="81" xfId="0" applyNumberFormat="1" applyFont="1" applyFill="1" applyBorder="1" applyAlignment="1">
      <alignment horizontal="right"/>
    </xf>
    <xf numFmtId="3" fontId="4" fillId="0" borderId="79" xfId="0" applyNumberFormat="1" applyFont="1" applyFill="1" applyBorder="1" applyAlignment="1">
      <alignment horizontal="right"/>
    </xf>
    <xf numFmtId="3" fontId="6" fillId="0" borderId="78" xfId="0" applyNumberFormat="1" applyFont="1" applyBorder="1" applyAlignment="1">
      <alignment horizontal="right"/>
    </xf>
    <xf numFmtId="0" fontId="5" fillId="0" borderId="80" xfId="0" applyFont="1" applyBorder="1" applyAlignment="1">
      <alignment horizontal="right"/>
    </xf>
    <xf numFmtId="0" fontId="1" fillId="0" borderId="66" xfId="0" applyFont="1" applyBorder="1" applyAlignment="1">
      <alignment/>
    </xf>
    <xf numFmtId="4" fontId="10" fillId="0" borderId="14" xfId="0" applyNumberFormat="1" applyFont="1" applyFill="1" applyBorder="1" applyAlignment="1">
      <alignment/>
    </xf>
    <xf numFmtId="3" fontId="95" fillId="0" borderId="0" xfId="0" applyNumberFormat="1" applyFont="1" applyFill="1" applyAlignment="1">
      <alignment/>
    </xf>
    <xf numFmtId="3" fontId="96" fillId="0" borderId="0" xfId="0" applyNumberFormat="1" applyFont="1" applyFill="1" applyAlignment="1">
      <alignment/>
    </xf>
    <xf numFmtId="3" fontId="94" fillId="0" borderId="0" xfId="0" applyNumberFormat="1" applyFont="1" applyAlignment="1">
      <alignment/>
    </xf>
    <xf numFmtId="3" fontId="4" fillId="0" borderId="78" xfId="0" applyNumberFormat="1" applyFont="1" applyBorder="1" applyAlignment="1">
      <alignment/>
    </xf>
    <xf numFmtId="3" fontId="4" fillId="0" borderId="78" xfId="0" applyNumberFormat="1" applyFont="1" applyBorder="1" applyAlignment="1">
      <alignment horizontal="right"/>
    </xf>
    <xf numFmtId="3" fontId="94" fillId="0" borderId="0" xfId="0" applyNumberFormat="1" applyFont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94" fillId="0" borderId="80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6" fillId="0" borderId="0" xfId="56" applyNumberFormat="1" applyFont="1" applyBorder="1">
      <alignment/>
      <protection/>
    </xf>
    <xf numFmtId="3" fontId="16" fillId="0" borderId="0" xfId="56" applyNumberFormat="1" applyFont="1" applyFill="1" applyBorder="1">
      <alignment/>
      <protection/>
    </xf>
    <xf numFmtId="0" fontId="51" fillId="0" borderId="0" xfId="56" applyFont="1" applyBorder="1" applyAlignment="1">
      <alignment horizontal="center"/>
      <protection/>
    </xf>
    <xf numFmtId="0" fontId="51" fillId="0" borderId="0" xfId="56" applyFont="1" applyFill="1" applyBorder="1" applyAlignment="1">
      <alignment horizontal="center"/>
      <protection/>
    </xf>
    <xf numFmtId="3" fontId="4" fillId="0" borderId="82" xfId="46" applyNumberFormat="1" applyFont="1" applyFill="1" applyBorder="1">
      <alignment/>
      <protection/>
    </xf>
    <xf numFmtId="3" fontId="4" fillId="0" borderId="83" xfId="0" applyNumberFormat="1" applyFont="1" applyFill="1" applyBorder="1" applyAlignment="1">
      <alignment/>
    </xf>
    <xf numFmtId="3" fontId="4" fillId="0" borderId="82" xfId="0" applyNumberFormat="1" applyFont="1" applyFill="1" applyBorder="1" applyAlignment="1">
      <alignment/>
    </xf>
    <xf numFmtId="3" fontId="4" fillId="0" borderId="84" xfId="46" applyNumberFormat="1" applyFont="1" applyBorder="1">
      <alignment/>
      <protection/>
    </xf>
    <xf numFmtId="3" fontId="17" fillId="0" borderId="54" xfId="0" applyNumberFormat="1" applyFont="1" applyFill="1" applyBorder="1" applyAlignment="1">
      <alignment/>
    </xf>
    <xf numFmtId="3" fontId="15" fillId="0" borderId="85" xfId="0" applyNumberFormat="1" applyFont="1" applyFill="1" applyBorder="1" applyAlignment="1">
      <alignment/>
    </xf>
    <xf numFmtId="0" fontId="0" fillId="0" borderId="63" xfId="0" applyFont="1" applyBorder="1" applyAlignment="1">
      <alignment/>
    </xf>
    <xf numFmtId="3" fontId="6" fillId="0" borderId="86" xfId="0" applyNumberFormat="1" applyFont="1" applyFill="1" applyBorder="1" applyAlignment="1">
      <alignment/>
    </xf>
    <xf numFmtId="3" fontId="4" fillId="0" borderId="87" xfId="0" applyNumberFormat="1" applyFont="1" applyFill="1" applyBorder="1" applyAlignment="1">
      <alignment/>
    </xf>
    <xf numFmtId="3" fontId="96" fillId="0" borderId="14" xfId="0" applyNumberFormat="1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6" fillId="0" borderId="88" xfId="0" applyNumberFormat="1" applyFont="1" applyFill="1" applyBorder="1" applyAlignment="1">
      <alignment/>
    </xf>
    <xf numFmtId="3" fontId="94" fillId="0" borderId="78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 horizontal="right"/>
    </xf>
    <xf numFmtId="3" fontId="23" fillId="34" borderId="14" xfId="0" applyNumberFormat="1" applyFont="1" applyFill="1" applyBorder="1" applyAlignment="1">
      <alignment/>
    </xf>
    <xf numFmtId="3" fontId="15" fillId="34" borderId="14" xfId="0" applyNumberFormat="1" applyFont="1" applyFill="1" applyBorder="1" applyAlignment="1">
      <alignment/>
    </xf>
    <xf numFmtId="3" fontId="4" fillId="0" borderId="82" xfId="56" applyNumberFormat="1" applyFont="1" applyBorder="1">
      <alignment/>
      <protection/>
    </xf>
    <xf numFmtId="3" fontId="3" fillId="0" borderId="82" xfId="0" applyNumberFormat="1" applyFont="1" applyBorder="1" applyAlignment="1">
      <alignment horizontal="right"/>
    </xf>
    <xf numFmtId="3" fontId="15" fillId="0" borderId="89" xfId="0" applyNumberFormat="1" applyFont="1" applyFill="1" applyBorder="1" applyAlignment="1">
      <alignment/>
    </xf>
    <xf numFmtId="3" fontId="0" fillId="0" borderId="89" xfId="0" applyNumberFormat="1" applyFill="1" applyBorder="1" applyAlignment="1">
      <alignment/>
    </xf>
    <xf numFmtId="3" fontId="15" fillId="0" borderId="90" xfId="0" applyNumberFormat="1" applyFont="1" applyFill="1" applyBorder="1" applyAlignment="1">
      <alignment/>
    </xf>
    <xf numFmtId="3" fontId="17" fillId="0" borderId="91" xfId="0" applyNumberFormat="1" applyFont="1" applyFill="1" applyBorder="1" applyAlignment="1">
      <alignment/>
    </xf>
    <xf numFmtId="3" fontId="15" fillId="0" borderId="92" xfId="0" applyNumberFormat="1" applyFont="1" applyFill="1" applyBorder="1" applyAlignment="1">
      <alignment/>
    </xf>
    <xf numFmtId="3" fontId="17" fillId="0" borderId="93" xfId="0" applyNumberFormat="1" applyFont="1" applyFill="1" applyBorder="1" applyAlignment="1">
      <alignment/>
    </xf>
    <xf numFmtId="3" fontId="15" fillId="0" borderId="94" xfId="0" applyNumberFormat="1" applyFont="1" applyFill="1" applyBorder="1" applyAlignment="1">
      <alignment/>
    </xf>
    <xf numFmtId="3" fontId="0" fillId="0" borderId="94" xfId="0" applyNumberFormat="1" applyFill="1" applyBorder="1" applyAlignment="1">
      <alignment/>
    </xf>
    <xf numFmtId="3" fontId="15" fillId="0" borderId="95" xfId="0" applyNumberFormat="1" applyFont="1" applyFill="1" applyBorder="1" applyAlignment="1">
      <alignment/>
    </xf>
    <xf numFmtId="3" fontId="17" fillId="0" borderId="96" xfId="0" applyNumberFormat="1" applyFont="1" applyFill="1" applyBorder="1" applyAlignment="1">
      <alignment/>
    </xf>
    <xf numFmtId="3" fontId="94" fillId="0" borderId="82" xfId="0" applyNumberFormat="1" applyFont="1" applyBorder="1" applyAlignment="1">
      <alignment/>
    </xf>
    <xf numFmtId="3" fontId="97" fillId="0" borderId="27" xfId="0" applyNumberFormat="1" applyFont="1" applyFill="1" applyBorder="1" applyAlignment="1">
      <alignment/>
    </xf>
    <xf numFmtId="3" fontId="98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vertical="top" wrapText="1"/>
    </xf>
    <xf numFmtId="3" fontId="0" fillId="0" borderId="72" xfId="0" applyNumberFormat="1" applyFill="1" applyBorder="1" applyAlignment="1">
      <alignment/>
    </xf>
    <xf numFmtId="3" fontId="4" fillId="0" borderId="10" xfId="46" applyNumberFormat="1" applyFont="1" applyFill="1" applyBorder="1">
      <alignment/>
      <protection/>
    </xf>
    <xf numFmtId="3" fontId="4" fillId="0" borderId="10" xfId="46" applyNumberFormat="1" applyFont="1" applyBorder="1">
      <alignment/>
      <protection/>
    </xf>
    <xf numFmtId="3" fontId="17" fillId="0" borderId="97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3" fontId="94" fillId="0" borderId="82" xfId="0" applyNumberFormat="1" applyFont="1" applyBorder="1" applyAlignment="1">
      <alignment horizontal="right" vertical="center"/>
    </xf>
    <xf numFmtId="3" fontId="4" fillId="0" borderId="82" xfId="0" applyNumberFormat="1" applyFont="1" applyFill="1" applyBorder="1" applyAlignment="1">
      <alignment horizontal="right"/>
    </xf>
    <xf numFmtId="3" fontId="4" fillId="0" borderId="87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4" fontId="95" fillId="34" borderId="14" xfId="0" applyNumberFormat="1" applyFont="1" applyFill="1" applyBorder="1" applyAlignment="1">
      <alignment/>
    </xf>
    <xf numFmtId="4" fontId="95" fillId="0" borderId="14" xfId="0" applyNumberFormat="1" applyFont="1" applyFill="1" applyBorder="1" applyAlignment="1">
      <alignment/>
    </xf>
    <xf numFmtId="4" fontId="95" fillId="34" borderId="19" xfId="0" applyNumberFormat="1" applyFont="1" applyFill="1" applyBorder="1" applyAlignment="1">
      <alignment/>
    </xf>
    <xf numFmtId="4" fontId="95" fillId="36" borderId="14" xfId="0" applyNumberFormat="1" applyFont="1" applyFill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98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5" fillId="0" borderId="48" xfId="0" applyNumberFormat="1" applyFont="1" applyFill="1" applyBorder="1" applyAlignment="1">
      <alignment horizontal="center"/>
    </xf>
    <xf numFmtId="3" fontId="15" fillId="0" borderId="41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7" fillId="0" borderId="62" xfId="0" applyNumberFormat="1" applyFont="1" applyFill="1" applyBorder="1" applyAlignment="1">
      <alignment/>
    </xf>
    <xf numFmtId="3" fontId="17" fillId="0" borderId="61" xfId="0" applyNumberFormat="1" applyFont="1" applyFill="1" applyBorder="1" applyAlignment="1">
      <alignment/>
    </xf>
    <xf numFmtId="3" fontId="17" fillId="0" borderId="56" xfId="0" applyNumberFormat="1" applyFont="1" applyFill="1" applyBorder="1" applyAlignment="1">
      <alignment/>
    </xf>
    <xf numFmtId="3" fontId="17" fillId="0" borderId="99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 horizontal="center"/>
    </xf>
    <xf numFmtId="3" fontId="42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4" fillId="0" borderId="67" xfId="46" applyNumberFormat="1" applyFont="1" applyFill="1" applyBorder="1">
      <alignment/>
      <protection/>
    </xf>
    <xf numFmtId="3" fontId="4" fillId="0" borderId="82" xfId="46" applyNumberFormat="1" applyFont="1" applyBorder="1">
      <alignment/>
      <protection/>
    </xf>
    <xf numFmtId="3" fontId="0" fillId="0" borderId="17" xfId="0" applyNumberFormat="1" applyFont="1" applyBorder="1" applyAlignment="1">
      <alignment horizontal="right"/>
    </xf>
    <xf numFmtId="0" fontId="0" fillId="0" borderId="74" xfId="0" applyFont="1" applyFill="1" applyBorder="1" applyAlignment="1">
      <alignment/>
    </xf>
    <xf numFmtId="3" fontId="0" fillId="0" borderId="74" xfId="0" applyNumberFormat="1" applyFont="1" applyBorder="1" applyAlignment="1">
      <alignment/>
    </xf>
    <xf numFmtId="0" fontId="9" fillId="0" borderId="77" xfId="0" applyFont="1" applyBorder="1" applyAlignment="1">
      <alignment/>
    </xf>
    <xf numFmtId="0" fontId="1" fillId="0" borderId="72" xfId="0" applyFont="1" applyBorder="1" applyAlignment="1">
      <alignment/>
    </xf>
    <xf numFmtId="3" fontId="0" fillId="0" borderId="7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67" xfId="0" applyNumberFormat="1" applyFont="1" applyFill="1" applyBorder="1" applyAlignment="1">
      <alignment/>
    </xf>
    <xf numFmtId="3" fontId="15" fillId="34" borderId="30" xfId="0" applyNumberFormat="1" applyFont="1" applyFill="1" applyBorder="1" applyAlignment="1">
      <alignment/>
    </xf>
    <xf numFmtId="3" fontId="99" fillId="34" borderId="30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3" fontId="15" fillId="34" borderId="40" xfId="0" applyNumberFormat="1" applyFont="1" applyFill="1" applyBorder="1" applyAlignment="1">
      <alignment/>
    </xf>
    <xf numFmtId="3" fontId="15" fillId="34" borderId="18" xfId="0" applyNumberFormat="1" applyFont="1" applyFill="1" applyBorder="1" applyAlignment="1">
      <alignment/>
    </xf>
    <xf numFmtId="177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3" fontId="12" fillId="0" borderId="0" xfId="0" applyNumberFormat="1" applyFont="1" applyFill="1" applyAlignment="1">
      <alignment/>
    </xf>
    <xf numFmtId="3" fontId="15" fillId="34" borderId="48" xfId="0" applyNumberFormat="1" applyFont="1" applyFill="1" applyBorder="1" applyAlignment="1">
      <alignment horizontal="right"/>
    </xf>
    <xf numFmtId="3" fontId="15" fillId="34" borderId="48" xfId="0" applyNumberFormat="1" applyFont="1" applyFill="1" applyBorder="1" applyAlignment="1">
      <alignment/>
    </xf>
    <xf numFmtId="3" fontId="15" fillId="37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8" borderId="0" xfId="0" applyNumberFormat="1" applyFill="1" applyAlignment="1">
      <alignment/>
    </xf>
    <xf numFmtId="3" fontId="10" fillId="39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3" fontId="17" fillId="40" borderId="0" xfId="0" applyNumberFormat="1" applyFont="1" applyFill="1" applyAlignment="1">
      <alignment/>
    </xf>
    <xf numFmtId="3" fontId="17" fillId="39" borderId="0" xfId="0" applyNumberFormat="1" applyFont="1" applyFill="1" applyAlignment="1">
      <alignment/>
    </xf>
    <xf numFmtId="3" fontId="15" fillId="39" borderId="0" xfId="0" applyNumberFormat="1" applyFont="1" applyFill="1" applyAlignment="1">
      <alignment/>
    </xf>
    <xf numFmtId="3" fontId="10" fillId="38" borderId="0" xfId="0" applyNumberFormat="1" applyFont="1" applyFill="1" applyAlignment="1">
      <alignment/>
    </xf>
    <xf numFmtId="3" fontId="10" fillId="38" borderId="0" xfId="0" applyNumberFormat="1" applyFont="1" applyFill="1" applyAlignment="1">
      <alignment horizontal="right"/>
    </xf>
    <xf numFmtId="3" fontId="1" fillId="37" borderId="0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4" fillId="37" borderId="0" xfId="0" applyNumberFormat="1" applyFont="1" applyFill="1" applyAlignment="1">
      <alignment/>
    </xf>
    <xf numFmtId="3" fontId="13" fillId="37" borderId="0" xfId="0" applyNumberFormat="1" applyFont="1" applyFill="1" applyAlignment="1">
      <alignment/>
    </xf>
    <xf numFmtId="0" fontId="17" fillId="36" borderId="0" xfId="0" applyFont="1" applyFill="1" applyBorder="1" applyAlignment="1">
      <alignment horizontal="center"/>
    </xf>
    <xf numFmtId="0" fontId="0" fillId="0" borderId="100" xfId="56" applyBorder="1">
      <alignment/>
      <protection/>
    </xf>
    <xf numFmtId="0" fontId="0" fillId="0" borderId="83" xfId="56" applyBorder="1">
      <alignment/>
      <protection/>
    </xf>
    <xf numFmtId="0" fontId="12" fillId="0" borderId="83" xfId="56" applyFont="1" applyBorder="1">
      <alignment/>
      <protection/>
    </xf>
    <xf numFmtId="0" fontId="0" fillId="0" borderId="83" xfId="56" applyFont="1" applyBorder="1">
      <alignment/>
      <protection/>
    </xf>
    <xf numFmtId="0" fontId="1" fillId="0" borderId="83" xfId="56" applyFont="1" applyBorder="1">
      <alignment/>
      <protection/>
    </xf>
    <xf numFmtId="0" fontId="10" fillId="0" borderId="83" xfId="56" applyFont="1" applyBorder="1">
      <alignment/>
      <protection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3" fontId="97" fillId="0" borderId="101" xfId="0" applyNumberFormat="1" applyFont="1" applyFill="1" applyBorder="1" applyAlignment="1">
      <alignment/>
    </xf>
    <xf numFmtId="3" fontId="17" fillId="0" borderId="101" xfId="0" applyNumberFormat="1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17" fillId="0" borderId="79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center"/>
    </xf>
    <xf numFmtId="0" fontId="17" fillId="0" borderId="80" xfId="0" applyFont="1" applyFill="1" applyBorder="1" applyAlignment="1">
      <alignment horizontal="center"/>
    </xf>
    <xf numFmtId="3" fontId="15" fillId="0" borderId="78" xfId="0" applyNumberFormat="1" applyFont="1" applyFill="1" applyBorder="1" applyAlignment="1">
      <alignment/>
    </xf>
    <xf numFmtId="3" fontId="15" fillId="0" borderId="81" xfId="0" applyNumberFormat="1" applyFont="1" applyFill="1" applyBorder="1" applyAlignment="1">
      <alignment/>
    </xf>
    <xf numFmtId="3" fontId="97" fillId="0" borderId="104" xfId="0" applyNumberFormat="1" applyFont="1" applyFill="1" applyBorder="1" applyAlignment="1">
      <alignment/>
    </xf>
    <xf numFmtId="3" fontId="17" fillId="0" borderId="104" xfId="0" applyNumberFormat="1" applyFont="1" applyFill="1" applyBorder="1" applyAlignment="1">
      <alignment/>
    </xf>
    <xf numFmtId="0" fontId="15" fillId="0" borderId="79" xfId="0" applyFont="1" applyFill="1" applyBorder="1" applyAlignment="1">
      <alignment/>
    </xf>
    <xf numFmtId="0" fontId="15" fillId="0" borderId="78" xfId="0" applyFont="1" applyFill="1" applyBorder="1" applyAlignment="1">
      <alignment/>
    </xf>
    <xf numFmtId="0" fontId="15" fillId="0" borderId="80" xfId="0" applyFont="1" applyFill="1" applyBorder="1" applyAlignment="1">
      <alignment/>
    </xf>
    <xf numFmtId="0" fontId="17" fillId="0" borderId="78" xfId="0" applyFont="1" applyFill="1" applyBorder="1" applyAlignment="1">
      <alignment/>
    </xf>
    <xf numFmtId="0" fontId="17" fillId="0" borderId="104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14" fontId="17" fillId="0" borderId="71" xfId="0" applyNumberFormat="1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17" fillId="0" borderId="83" xfId="0" applyFont="1" applyFill="1" applyBorder="1" applyAlignment="1">
      <alignment horizontal="center"/>
    </xf>
    <xf numFmtId="3" fontId="15" fillId="0" borderId="105" xfId="0" applyNumberFormat="1" applyFont="1" applyFill="1" applyBorder="1" applyAlignment="1">
      <alignment/>
    </xf>
    <xf numFmtId="174" fontId="17" fillId="0" borderId="106" xfId="0" applyNumberFormat="1" applyFont="1" applyFill="1" applyBorder="1" applyAlignment="1">
      <alignment horizontal="center"/>
    </xf>
    <xf numFmtId="0" fontId="17" fillId="0" borderId="107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3" fontId="17" fillId="0" borderId="107" xfId="0" applyNumberFormat="1" applyFont="1" applyFill="1" applyBorder="1" applyAlignment="1">
      <alignment/>
    </xf>
    <xf numFmtId="3" fontId="15" fillId="0" borderId="107" xfId="0" applyNumberFormat="1" applyFont="1" applyFill="1" applyBorder="1" applyAlignment="1">
      <alignment/>
    </xf>
    <xf numFmtId="3" fontId="17" fillId="0" borderId="106" xfId="0" applyNumberFormat="1" applyFont="1" applyFill="1" applyBorder="1" applyAlignment="1">
      <alignment/>
    </xf>
    <xf numFmtId="3" fontId="17" fillId="0" borderId="108" xfId="0" applyNumberFormat="1" applyFont="1" applyFill="1" applyBorder="1" applyAlignment="1">
      <alignment/>
    </xf>
    <xf numFmtId="0" fontId="0" fillId="0" borderId="83" xfId="0" applyFont="1" applyBorder="1" applyAlignment="1">
      <alignment/>
    </xf>
    <xf numFmtId="3" fontId="15" fillId="0" borderId="67" xfId="0" applyNumberFormat="1" applyFont="1" applyFill="1" applyBorder="1" applyAlignment="1">
      <alignment/>
    </xf>
    <xf numFmtId="3" fontId="0" fillId="0" borderId="83" xfId="0" applyNumberFormat="1" applyFont="1" applyBorder="1" applyAlignment="1">
      <alignment horizontal="left"/>
    </xf>
    <xf numFmtId="3" fontId="0" fillId="0" borderId="67" xfId="0" applyNumberFormat="1" applyFont="1" applyFill="1" applyBorder="1" applyAlignment="1">
      <alignment/>
    </xf>
    <xf numFmtId="0" fontId="15" fillId="33" borderId="77" xfId="0" applyFont="1" applyFill="1" applyBorder="1" applyAlignment="1">
      <alignment/>
    </xf>
    <xf numFmtId="0" fontId="17" fillId="0" borderId="72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15" fillId="33" borderId="72" xfId="0" applyFont="1" applyFill="1" applyBorder="1" applyAlignment="1">
      <alignment horizontal="left"/>
    </xf>
    <xf numFmtId="3" fontId="15" fillId="0" borderId="72" xfId="0" applyNumberFormat="1" applyFont="1" applyBorder="1" applyAlignment="1">
      <alignment/>
    </xf>
    <xf numFmtId="0" fontId="17" fillId="33" borderId="72" xfId="0" applyFont="1" applyFill="1" applyBorder="1" applyAlignment="1">
      <alignment horizontal="center"/>
    </xf>
    <xf numFmtId="14" fontId="17" fillId="33" borderId="72" xfId="0" applyNumberFormat="1" applyFont="1" applyFill="1" applyBorder="1" applyAlignment="1">
      <alignment horizontal="center"/>
    </xf>
    <xf numFmtId="14" fontId="17" fillId="0" borderId="73" xfId="0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" fontId="0" fillId="0" borderId="72" xfId="0" applyNumberFormat="1" applyFont="1" applyBorder="1" applyAlignment="1">
      <alignment/>
    </xf>
    <xf numFmtId="0" fontId="15" fillId="0" borderId="72" xfId="0" applyFont="1" applyBorder="1" applyAlignment="1">
      <alignment/>
    </xf>
    <xf numFmtId="3" fontId="0" fillId="0" borderId="72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76" xfId="56" applyFont="1" applyBorder="1">
      <alignment/>
      <protection/>
    </xf>
    <xf numFmtId="3" fontId="6" fillId="0" borderId="70" xfId="56" applyNumberFormat="1" applyFont="1" applyBorder="1">
      <alignment/>
      <protection/>
    </xf>
    <xf numFmtId="3" fontId="16" fillId="0" borderId="70" xfId="56" applyNumberFormat="1" applyFont="1" applyFill="1" applyBorder="1">
      <alignment/>
      <protection/>
    </xf>
    <xf numFmtId="3" fontId="12" fillId="0" borderId="71" xfId="56" applyNumberFormat="1" applyFont="1" applyBorder="1">
      <alignment/>
      <protection/>
    </xf>
    <xf numFmtId="3" fontId="12" fillId="0" borderId="67" xfId="56" applyNumberFormat="1" applyFont="1" applyBorder="1">
      <alignment/>
      <protection/>
    </xf>
    <xf numFmtId="0" fontId="1" fillId="0" borderId="103" xfId="56" applyFont="1" applyBorder="1" applyAlignment="1">
      <alignment horizontal="center"/>
      <protection/>
    </xf>
    <xf numFmtId="0" fontId="14" fillId="0" borderId="67" xfId="56" applyFont="1" applyBorder="1" applyAlignment="1">
      <alignment horizontal="center"/>
      <protection/>
    </xf>
    <xf numFmtId="0" fontId="0" fillId="0" borderId="67" xfId="56" applyBorder="1">
      <alignment/>
      <protection/>
    </xf>
    <xf numFmtId="0" fontId="2" fillId="0" borderId="67" xfId="56" applyFont="1" applyBorder="1" applyAlignment="1">
      <alignment horizontal="center"/>
      <protection/>
    </xf>
    <xf numFmtId="3" fontId="0" fillId="0" borderId="67" xfId="56" applyNumberFormat="1" applyBorder="1">
      <alignment/>
      <protection/>
    </xf>
    <xf numFmtId="0" fontId="12" fillId="0" borderId="77" xfId="56" applyFont="1" applyBorder="1">
      <alignment/>
      <protection/>
    </xf>
    <xf numFmtId="3" fontId="6" fillId="0" borderId="109" xfId="56" applyNumberFormat="1" applyFont="1" applyBorder="1">
      <alignment/>
      <protection/>
    </xf>
    <xf numFmtId="3" fontId="6" fillId="0" borderId="109" xfId="56" applyNumberFormat="1" applyFont="1" applyFill="1" applyBorder="1">
      <alignment/>
      <protection/>
    </xf>
    <xf numFmtId="3" fontId="0" fillId="0" borderId="73" xfId="56" applyNumberFormat="1" applyBorder="1">
      <alignment/>
      <protection/>
    </xf>
    <xf numFmtId="0" fontId="15" fillId="0" borderId="76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5" fillId="0" borderId="71" xfId="0" applyFont="1" applyFill="1" applyBorder="1" applyAlignment="1">
      <alignment/>
    </xf>
    <xf numFmtId="0" fontId="18" fillId="0" borderId="67" xfId="0" applyFont="1" applyFill="1" applyBorder="1" applyAlignment="1">
      <alignment horizontal="center"/>
    </xf>
    <xf numFmtId="0" fontId="17" fillId="0" borderId="110" xfId="0" applyFont="1" applyFill="1" applyBorder="1" applyAlignment="1">
      <alignment horizontal="center"/>
    </xf>
    <xf numFmtId="0" fontId="17" fillId="0" borderId="111" xfId="0" applyFont="1" applyFill="1" applyBorder="1" applyAlignment="1">
      <alignment horizontal="center"/>
    </xf>
    <xf numFmtId="3" fontId="15" fillId="0" borderId="112" xfId="0" applyNumberFormat="1" applyFont="1" applyFill="1" applyBorder="1" applyAlignment="1">
      <alignment/>
    </xf>
    <xf numFmtId="3" fontId="15" fillId="0" borderId="113" xfId="0" applyNumberFormat="1" applyFont="1" applyFill="1" applyBorder="1" applyAlignment="1">
      <alignment/>
    </xf>
    <xf numFmtId="3" fontId="17" fillId="0" borderId="83" xfId="0" applyNumberFormat="1" applyFont="1" applyFill="1" applyBorder="1" applyAlignment="1">
      <alignment horizontal="center"/>
    </xf>
    <xf numFmtId="3" fontId="17" fillId="0" borderId="114" xfId="0" applyNumberFormat="1" applyFont="1" applyFill="1" applyBorder="1" applyAlignment="1">
      <alignment horizontal="center"/>
    </xf>
    <xf numFmtId="3" fontId="17" fillId="0" borderId="110" xfId="0" applyNumberFormat="1" applyFont="1" applyFill="1" applyBorder="1" applyAlignment="1">
      <alignment horizontal="center"/>
    </xf>
    <xf numFmtId="3" fontId="17" fillId="0" borderId="115" xfId="0" applyNumberFormat="1" applyFont="1" applyFill="1" applyBorder="1" applyAlignment="1">
      <alignment horizontal="center"/>
    </xf>
    <xf numFmtId="3" fontId="17" fillId="0" borderId="116" xfId="0" applyNumberFormat="1" applyFont="1" applyFill="1" applyBorder="1" applyAlignment="1">
      <alignment horizontal="center"/>
    </xf>
    <xf numFmtId="3" fontId="18" fillId="0" borderId="117" xfId="0" applyNumberFormat="1" applyFont="1" applyFill="1" applyBorder="1" applyAlignment="1">
      <alignment horizontal="center"/>
    </xf>
    <xf numFmtId="3" fontId="15" fillId="0" borderId="83" xfId="0" applyNumberFormat="1" applyFont="1" applyFill="1" applyBorder="1" applyAlignment="1">
      <alignment horizontal="center"/>
    </xf>
    <xf numFmtId="3" fontId="15" fillId="0" borderId="114" xfId="0" applyNumberFormat="1" applyFont="1" applyFill="1" applyBorder="1" applyAlignment="1">
      <alignment horizontal="center"/>
    </xf>
    <xf numFmtId="3" fontId="18" fillId="0" borderId="83" xfId="0" applyNumberFormat="1" applyFont="1" applyFill="1" applyBorder="1" applyAlignment="1">
      <alignment/>
    </xf>
    <xf numFmtId="3" fontId="15" fillId="0" borderId="114" xfId="0" applyNumberFormat="1" applyFont="1" applyFill="1" applyBorder="1" applyAlignment="1">
      <alignment/>
    </xf>
    <xf numFmtId="3" fontId="15" fillId="0" borderId="83" xfId="0" applyNumberFormat="1" applyFont="1" applyFill="1" applyBorder="1" applyAlignment="1">
      <alignment/>
    </xf>
    <xf numFmtId="3" fontId="23" fillId="0" borderId="83" xfId="0" applyNumberFormat="1" applyFont="1" applyFill="1" applyBorder="1" applyAlignment="1">
      <alignment/>
    </xf>
    <xf numFmtId="3" fontId="25" fillId="0" borderId="83" xfId="0" applyNumberFormat="1" applyFont="1" applyFill="1" applyBorder="1" applyAlignment="1">
      <alignment/>
    </xf>
    <xf numFmtId="3" fontId="17" fillId="0" borderId="83" xfId="0" applyNumberFormat="1" applyFont="1" applyFill="1" applyBorder="1" applyAlignment="1">
      <alignment/>
    </xf>
    <xf numFmtId="3" fontId="24" fillId="0" borderId="118" xfId="0" applyNumberFormat="1" applyFont="1" applyFill="1" applyBorder="1" applyAlignment="1">
      <alignment/>
    </xf>
    <xf numFmtId="3" fontId="17" fillId="0" borderId="114" xfId="0" applyNumberFormat="1" applyFont="1" applyFill="1" applyBorder="1" applyAlignment="1">
      <alignment/>
    </xf>
    <xf numFmtId="3" fontId="18" fillId="0" borderId="83" xfId="0" applyNumberFormat="1" applyFont="1" applyFill="1" applyBorder="1" applyAlignment="1">
      <alignment horizontal="center"/>
    </xf>
    <xf numFmtId="3" fontId="15" fillId="0" borderId="118" xfId="0" applyNumberFormat="1" applyFont="1" applyFill="1" applyBorder="1" applyAlignment="1">
      <alignment/>
    </xf>
    <xf numFmtId="3" fontId="23" fillId="0" borderId="117" xfId="0" applyNumberFormat="1" applyFont="1" applyFill="1" applyBorder="1" applyAlignment="1">
      <alignment/>
    </xf>
    <xf numFmtId="3" fontId="15" fillId="0" borderId="119" xfId="0" applyNumberFormat="1" applyFont="1" applyFill="1" applyBorder="1" applyAlignment="1">
      <alignment/>
    </xf>
    <xf numFmtId="3" fontId="23" fillId="34" borderId="117" xfId="0" applyNumberFormat="1" applyFont="1" applyFill="1" applyBorder="1" applyAlignment="1">
      <alignment/>
    </xf>
    <xf numFmtId="3" fontId="15" fillId="34" borderId="114" xfId="0" applyNumberFormat="1" applyFont="1" applyFill="1" applyBorder="1" applyAlignment="1">
      <alignment/>
    </xf>
    <xf numFmtId="3" fontId="15" fillId="0" borderId="117" xfId="0" applyNumberFormat="1" applyFont="1" applyFill="1" applyBorder="1" applyAlignment="1">
      <alignment/>
    </xf>
    <xf numFmtId="3" fontId="15" fillId="0" borderId="103" xfId="0" applyNumberFormat="1" applyFont="1" applyFill="1" applyBorder="1" applyAlignment="1">
      <alignment/>
    </xf>
    <xf numFmtId="3" fontId="15" fillId="0" borderId="120" xfId="0" applyNumberFormat="1" applyFont="1" applyFill="1" applyBorder="1" applyAlignment="1">
      <alignment/>
    </xf>
    <xf numFmtId="3" fontId="17" fillId="0" borderId="102" xfId="0" applyNumberFormat="1" applyFont="1" applyFill="1" applyBorder="1" applyAlignment="1">
      <alignment/>
    </xf>
    <xf numFmtId="3" fontId="17" fillId="0" borderId="118" xfId="0" applyNumberFormat="1" applyFont="1" applyFill="1" applyBorder="1" applyAlignment="1">
      <alignment/>
    </xf>
    <xf numFmtId="3" fontId="17" fillId="0" borderId="110" xfId="0" applyNumberFormat="1" applyFont="1" applyFill="1" applyBorder="1" applyAlignment="1">
      <alignment/>
    </xf>
    <xf numFmtId="3" fontId="17" fillId="0" borderId="115" xfId="0" applyNumberFormat="1" applyFont="1" applyFill="1" applyBorder="1" applyAlignment="1">
      <alignment/>
    </xf>
    <xf numFmtId="3" fontId="17" fillId="0" borderId="121" xfId="0" applyNumberFormat="1" applyFont="1" applyFill="1" applyBorder="1" applyAlignment="1">
      <alignment/>
    </xf>
    <xf numFmtId="3" fontId="17" fillId="0" borderId="122" xfId="0" applyNumberFormat="1" applyFont="1" applyFill="1" applyBorder="1" applyAlignment="1">
      <alignment/>
    </xf>
    <xf numFmtId="3" fontId="17" fillId="0" borderId="123" xfId="0" applyNumberFormat="1" applyFont="1" applyFill="1" applyBorder="1" applyAlignment="1">
      <alignment/>
    </xf>
    <xf numFmtId="3" fontId="17" fillId="0" borderId="124" xfId="0" applyNumberFormat="1" applyFont="1" applyFill="1" applyBorder="1" applyAlignment="1">
      <alignment/>
    </xf>
    <xf numFmtId="0" fontId="35" fillId="0" borderId="76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0" fillId="0" borderId="71" xfId="0" applyFill="1" applyBorder="1" applyAlignment="1">
      <alignment/>
    </xf>
    <xf numFmtId="0" fontId="0" fillId="0" borderId="67" xfId="0" applyFill="1" applyBorder="1" applyAlignment="1">
      <alignment/>
    </xf>
    <xf numFmtId="0" fontId="12" fillId="0" borderId="83" xfId="0" applyFont="1" applyFill="1" applyBorder="1" applyAlignment="1">
      <alignment horizontal="center"/>
    </xf>
    <xf numFmtId="0" fontId="35" fillId="0" borderId="83" xfId="0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12" fillId="0" borderId="79" xfId="0" applyFont="1" applyFill="1" applyBorder="1" applyAlignment="1">
      <alignment/>
    </xf>
    <xf numFmtId="0" fontId="12" fillId="0" borderId="78" xfId="0" applyFont="1" applyFill="1" applyBorder="1" applyAlignment="1">
      <alignment/>
    </xf>
    <xf numFmtId="0" fontId="12" fillId="0" borderId="78" xfId="0" applyFont="1" applyFill="1" applyBorder="1" applyAlignment="1">
      <alignment horizontal="center"/>
    </xf>
    <xf numFmtId="0" fontId="12" fillId="0" borderId="80" xfId="0" applyFont="1" applyFill="1" applyBorder="1" applyAlignment="1">
      <alignment/>
    </xf>
    <xf numFmtId="0" fontId="18" fillId="0" borderId="79" xfId="0" applyFont="1" applyFill="1" applyBorder="1" applyAlignment="1">
      <alignment/>
    </xf>
    <xf numFmtId="0" fontId="18" fillId="0" borderId="78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12" fillId="0" borderId="81" xfId="0" applyFont="1" applyFill="1" applyBorder="1" applyAlignment="1">
      <alignment/>
    </xf>
    <xf numFmtId="0" fontId="10" fillId="0" borderId="83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35" fillId="33" borderId="76" xfId="0" applyFont="1" applyFill="1" applyBorder="1" applyAlignment="1">
      <alignment horizontal="center"/>
    </xf>
    <xf numFmtId="0" fontId="35" fillId="33" borderId="70" xfId="0" applyFont="1" applyFill="1" applyBorder="1" applyAlignment="1">
      <alignment horizontal="center"/>
    </xf>
    <xf numFmtId="0" fontId="10" fillId="0" borderId="71" xfId="0" applyFont="1" applyBorder="1" applyAlignment="1">
      <alignment/>
    </xf>
    <xf numFmtId="0" fontId="10" fillId="0" borderId="67" xfId="0" applyFont="1" applyBorder="1" applyAlignment="1">
      <alignment/>
    </xf>
    <xf numFmtId="0" fontId="35" fillId="33" borderId="83" xfId="0" applyFont="1" applyFill="1" applyBorder="1" applyAlignment="1">
      <alignment horizontal="center"/>
    </xf>
    <xf numFmtId="0" fontId="35" fillId="33" borderId="103" xfId="0" applyFont="1" applyFill="1" applyBorder="1" applyAlignment="1">
      <alignment horizontal="center"/>
    </xf>
    <xf numFmtId="0" fontId="17" fillId="33" borderId="79" xfId="0" applyFont="1" applyFill="1" applyBorder="1" applyAlignment="1">
      <alignment horizontal="center"/>
    </xf>
    <xf numFmtId="0" fontId="15" fillId="0" borderId="67" xfId="0" applyFont="1" applyBorder="1" applyAlignment="1">
      <alignment/>
    </xf>
    <xf numFmtId="0" fontId="17" fillId="33" borderId="78" xfId="0" applyFont="1" applyFill="1" applyBorder="1" applyAlignment="1">
      <alignment horizontal="center"/>
    </xf>
    <xf numFmtId="0" fontId="17" fillId="33" borderId="80" xfId="0" applyFont="1" applyFill="1" applyBorder="1" applyAlignment="1">
      <alignment horizontal="center"/>
    </xf>
    <xf numFmtId="0" fontId="15" fillId="0" borderId="79" xfId="0" applyFont="1" applyBorder="1" applyAlignment="1">
      <alignment/>
    </xf>
    <xf numFmtId="0" fontId="17" fillId="0" borderId="78" xfId="0" applyFont="1" applyBorder="1" applyAlignment="1">
      <alignment/>
    </xf>
    <xf numFmtId="0" fontId="15" fillId="0" borderId="78" xfId="0" applyFont="1" applyBorder="1" applyAlignment="1">
      <alignment/>
    </xf>
    <xf numFmtId="0" fontId="12" fillId="0" borderId="125" xfId="0" applyFont="1" applyBorder="1" applyAlignment="1">
      <alignment/>
    </xf>
    <xf numFmtId="0" fontId="17" fillId="0" borderId="67" xfId="0" applyFont="1" applyBorder="1" applyAlignment="1">
      <alignment/>
    </xf>
    <xf numFmtId="0" fontId="12" fillId="0" borderId="126" xfId="0" applyFont="1" applyBorder="1" applyAlignment="1">
      <alignment/>
    </xf>
    <xf numFmtId="0" fontId="12" fillId="0" borderId="112" xfId="0" applyFont="1" applyBorder="1" applyAlignment="1">
      <alignment/>
    </xf>
    <xf numFmtId="0" fontId="12" fillId="0" borderId="103" xfId="0" applyFont="1" applyBorder="1" applyAlignment="1">
      <alignment/>
    </xf>
    <xf numFmtId="0" fontId="15" fillId="0" borderId="80" xfId="0" applyFont="1" applyBorder="1" applyAlignment="1">
      <alignment/>
    </xf>
    <xf numFmtId="0" fontId="12" fillId="0" borderId="121" xfId="0" applyFont="1" applyBorder="1" applyAlignment="1">
      <alignment/>
    </xf>
    <xf numFmtId="0" fontId="9" fillId="33" borderId="72" xfId="0" applyFont="1" applyFill="1" applyBorder="1" applyAlignment="1">
      <alignment/>
    </xf>
    <xf numFmtId="0" fontId="9" fillId="33" borderId="72" xfId="0" applyFont="1" applyFill="1" applyBorder="1" applyAlignment="1">
      <alignment horizontal="center"/>
    </xf>
    <xf numFmtId="3" fontId="17" fillId="0" borderId="72" xfId="0" applyNumberFormat="1" applyFont="1" applyBorder="1" applyAlignment="1">
      <alignment horizontal="center"/>
    </xf>
    <xf numFmtId="3" fontId="15" fillId="0" borderId="72" xfId="0" applyNumberFormat="1" applyFont="1" applyFill="1" applyBorder="1" applyAlignment="1">
      <alignment horizontal="center"/>
    </xf>
    <xf numFmtId="0" fontId="15" fillId="0" borderId="73" xfId="0" applyFont="1" applyBorder="1" applyAlignment="1">
      <alignment/>
    </xf>
    <xf numFmtId="0" fontId="0" fillId="0" borderId="0" xfId="0" applyBorder="1" applyAlignment="1">
      <alignment/>
    </xf>
    <xf numFmtId="0" fontId="0" fillId="0" borderId="72" xfId="0" applyBorder="1" applyAlignment="1">
      <alignment/>
    </xf>
    <xf numFmtId="0" fontId="1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00" fillId="0" borderId="82" xfId="55" applyNumberFormat="1" applyFont="1" applyFill="1" applyBorder="1">
      <alignment/>
      <protection/>
    </xf>
    <xf numFmtId="3" fontId="101" fillId="0" borderId="74" xfId="0" applyNumberFormat="1" applyFont="1" applyFill="1" applyBorder="1" applyAlignment="1">
      <alignment horizontal="right"/>
    </xf>
    <xf numFmtId="0" fontId="12" fillId="0" borderId="74" xfId="0" applyFont="1" applyFill="1" applyBorder="1" applyAlignment="1">
      <alignment horizontal="right"/>
    </xf>
    <xf numFmtId="0" fontId="12" fillId="0" borderId="74" xfId="0" applyFont="1" applyBorder="1" applyAlignment="1">
      <alignment horizontal="right"/>
    </xf>
    <xf numFmtId="3" fontId="12" fillId="0" borderId="74" xfId="0" applyNumberFormat="1" applyFont="1" applyBorder="1" applyAlignment="1">
      <alignment horizontal="right"/>
    </xf>
    <xf numFmtId="0" fontId="0" fillId="0" borderId="74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127" xfId="0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128" xfId="0" applyFont="1" applyBorder="1" applyAlignment="1">
      <alignment/>
    </xf>
    <xf numFmtId="0" fontId="0" fillId="0" borderId="97" xfId="0" applyBorder="1" applyAlignment="1">
      <alignment/>
    </xf>
    <xf numFmtId="0" fontId="1" fillId="0" borderId="13" xfId="0" applyFont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129" xfId="0" applyFont="1" applyBorder="1" applyAlignment="1">
      <alignment/>
    </xf>
    <xf numFmtId="0" fontId="0" fillId="0" borderId="130" xfId="0" applyFont="1" applyBorder="1" applyAlignment="1">
      <alignment/>
    </xf>
    <xf numFmtId="0" fontId="0" fillId="0" borderId="83" xfId="0" applyBorder="1" applyAlignment="1">
      <alignment/>
    </xf>
    <xf numFmtId="176" fontId="0" fillId="0" borderId="0" xfId="0" applyNumberFormat="1" applyFont="1" applyAlignment="1">
      <alignment/>
    </xf>
    <xf numFmtId="0" fontId="1" fillId="33" borderId="83" xfId="0" applyFont="1" applyFill="1" applyBorder="1" applyAlignment="1">
      <alignment horizontal="center"/>
    </xf>
    <xf numFmtId="3" fontId="0" fillId="35" borderId="63" xfId="0" applyNumberFormat="1" applyFill="1" applyBorder="1" applyAlignment="1">
      <alignment/>
    </xf>
    <xf numFmtId="0" fontId="0" fillId="0" borderId="63" xfId="0" applyFill="1" applyBorder="1" applyAlignment="1">
      <alignment wrapText="1"/>
    </xf>
    <xf numFmtId="0" fontId="102" fillId="0" borderId="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2" fillId="33" borderId="83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right"/>
    </xf>
    <xf numFmtId="0" fontId="9" fillId="33" borderId="83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2" fillId="0" borderId="83" xfId="0" applyFont="1" applyBorder="1" applyAlignment="1">
      <alignment/>
    </xf>
    <xf numFmtId="0" fontId="10" fillId="0" borderId="67" xfId="0" applyFont="1" applyFill="1" applyBorder="1" applyAlignment="1">
      <alignment horizontal="center"/>
    </xf>
    <xf numFmtId="0" fontId="10" fillId="0" borderId="67" xfId="0" applyFont="1" applyBorder="1" applyAlignment="1">
      <alignment horizontal="right"/>
    </xf>
    <xf numFmtId="0" fontId="0" fillId="0" borderId="67" xfId="0" applyFont="1" applyBorder="1" applyAlignment="1">
      <alignment/>
    </xf>
    <xf numFmtId="3" fontId="0" fillId="0" borderId="67" xfId="0" applyNumberFormat="1" applyFont="1" applyBorder="1" applyAlignment="1">
      <alignment/>
    </xf>
    <xf numFmtId="0" fontId="1" fillId="0" borderId="83" xfId="0" applyFont="1" applyBorder="1" applyAlignment="1">
      <alignment/>
    </xf>
    <xf numFmtId="0" fontId="10" fillId="0" borderId="83" xfId="0" applyFont="1" applyFill="1" applyBorder="1" applyAlignment="1" applyProtection="1">
      <alignment/>
      <protection/>
    </xf>
    <xf numFmtId="0" fontId="1" fillId="33" borderId="76" xfId="0" applyFont="1" applyFill="1" applyBorder="1" applyAlignment="1">
      <alignment/>
    </xf>
    <xf numFmtId="0" fontId="1" fillId="33" borderId="77" xfId="0" applyFont="1" applyFill="1" applyBorder="1" applyAlignment="1">
      <alignment/>
    </xf>
    <xf numFmtId="0" fontId="1" fillId="33" borderId="73" xfId="0" applyFont="1" applyFill="1" applyBorder="1" applyAlignment="1">
      <alignment horizontal="center"/>
    </xf>
    <xf numFmtId="0" fontId="103" fillId="0" borderId="86" xfId="0" applyFont="1" applyFill="1" applyBorder="1" applyAlignment="1">
      <alignment horizontal="center"/>
    </xf>
    <xf numFmtId="0" fontId="103" fillId="0" borderId="82" xfId="0" applyFont="1" applyFill="1" applyBorder="1" applyAlignment="1">
      <alignment horizontal="center"/>
    </xf>
    <xf numFmtId="0" fontId="103" fillId="0" borderId="84" xfId="0" applyFont="1" applyFill="1" applyBorder="1" applyAlignment="1">
      <alignment horizontal="center"/>
    </xf>
    <xf numFmtId="0" fontId="95" fillId="0" borderId="82" xfId="0" applyFont="1" applyFill="1" applyBorder="1" applyAlignment="1">
      <alignment horizontal="center"/>
    </xf>
    <xf numFmtId="0" fontId="95" fillId="0" borderId="82" xfId="0" applyFont="1" applyFill="1" applyBorder="1" applyAlignment="1">
      <alignment horizontal="right"/>
    </xf>
    <xf numFmtId="0" fontId="96" fillId="0" borderId="82" xfId="0" applyFont="1" applyFill="1" applyBorder="1" applyAlignment="1">
      <alignment/>
    </xf>
    <xf numFmtId="3" fontId="96" fillId="0" borderId="82" xfId="0" applyNumberFormat="1" applyFont="1" applyFill="1" applyBorder="1" applyAlignment="1">
      <alignment/>
    </xf>
    <xf numFmtId="3" fontId="96" fillId="0" borderId="82" xfId="0" applyNumberFormat="1" applyFont="1" applyFill="1" applyBorder="1" applyAlignment="1" applyProtection="1">
      <alignment/>
      <protection/>
    </xf>
    <xf numFmtId="3" fontId="96" fillId="0" borderId="82" xfId="0" applyNumberFormat="1" applyFont="1" applyFill="1" applyBorder="1" applyAlignment="1">
      <alignment horizontal="right"/>
    </xf>
    <xf numFmtId="0" fontId="1" fillId="0" borderId="86" xfId="0" applyFont="1" applyFill="1" applyBorder="1" applyAlignment="1">
      <alignment/>
    </xf>
    <xf numFmtId="0" fontId="1" fillId="0" borderId="82" xfId="0" applyFont="1" applyFill="1" applyBorder="1" applyAlignment="1">
      <alignment horizontal="center"/>
    </xf>
    <xf numFmtId="0" fontId="1" fillId="0" borderId="84" xfId="0" applyFont="1" applyFill="1" applyBorder="1" applyAlignment="1">
      <alignment/>
    </xf>
    <xf numFmtId="0" fontId="10" fillId="0" borderId="82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right"/>
    </xf>
    <xf numFmtId="3" fontId="0" fillId="0" borderId="82" xfId="0" applyNumberFormat="1" applyFont="1" applyFill="1" applyBorder="1" applyAlignment="1">
      <alignment/>
    </xf>
    <xf numFmtId="3" fontId="22" fillId="0" borderId="82" xfId="0" applyNumberFormat="1" applyFont="1" applyFill="1" applyBorder="1" applyAlignment="1">
      <alignment/>
    </xf>
    <xf numFmtId="0" fontId="1" fillId="33" borderId="86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33" borderId="84" xfId="0" applyFont="1" applyFill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2" xfId="0" applyFont="1" applyBorder="1" applyAlignment="1">
      <alignment horizontal="right"/>
    </xf>
    <xf numFmtId="0" fontId="0" fillId="0" borderId="82" xfId="0" applyFont="1" applyBorder="1" applyAlignment="1">
      <alignment/>
    </xf>
    <xf numFmtId="0" fontId="0" fillId="0" borderId="82" xfId="0" applyFont="1" applyBorder="1" applyAlignment="1">
      <alignment horizontal="center"/>
    </xf>
    <xf numFmtId="3" fontId="0" fillId="0" borderId="82" xfId="0" applyNumberFormat="1" applyFont="1" applyBorder="1" applyAlignment="1">
      <alignment/>
    </xf>
    <xf numFmtId="0" fontId="12" fillId="0" borderId="63" xfId="0" applyFont="1" applyBorder="1" applyAlignment="1">
      <alignment/>
    </xf>
    <xf numFmtId="3" fontId="12" fillId="0" borderId="64" xfId="0" applyNumberFormat="1" applyFont="1" applyBorder="1" applyAlignment="1">
      <alignment horizontal="right"/>
    </xf>
    <xf numFmtId="3" fontId="95" fillId="0" borderId="0" xfId="0" applyNumberFormat="1" applyFont="1" applyFill="1" applyBorder="1" applyAlignment="1">
      <alignment/>
    </xf>
    <xf numFmtId="3" fontId="103" fillId="0" borderId="131" xfId="0" applyNumberFormat="1" applyFont="1" applyFill="1" applyBorder="1" applyAlignment="1">
      <alignment/>
    </xf>
    <xf numFmtId="3" fontId="1" fillId="0" borderId="131" xfId="0" applyNumberFormat="1" applyFont="1" applyFill="1" applyBorder="1" applyAlignment="1">
      <alignment/>
    </xf>
    <xf numFmtId="0" fontId="1" fillId="0" borderId="131" xfId="0" applyFont="1" applyBorder="1" applyAlignment="1">
      <alignment horizontal="right"/>
    </xf>
    <xf numFmtId="0" fontId="12" fillId="0" borderId="132" xfId="0" applyFont="1" applyBorder="1" applyAlignment="1">
      <alignment/>
    </xf>
    <xf numFmtId="3" fontId="1" fillId="0" borderId="133" xfId="0" applyNumberFormat="1" applyFont="1" applyFill="1" applyBorder="1" applyAlignment="1">
      <alignment/>
    </xf>
    <xf numFmtId="0" fontId="12" fillId="0" borderId="134" xfId="0" applyFont="1" applyFill="1" applyBorder="1" applyAlignment="1">
      <alignment/>
    </xf>
    <xf numFmtId="3" fontId="103" fillId="0" borderId="135" xfId="0" applyNumberFormat="1" applyFont="1" applyFill="1" applyBorder="1" applyAlignment="1">
      <alignment/>
    </xf>
    <xf numFmtId="3" fontId="1" fillId="0" borderId="135" xfId="0" applyNumberFormat="1" applyFont="1" applyFill="1" applyBorder="1" applyAlignment="1">
      <alignment/>
    </xf>
    <xf numFmtId="0" fontId="1" fillId="0" borderId="135" xfId="0" applyFont="1" applyFill="1" applyBorder="1" applyAlignment="1">
      <alignment horizontal="right"/>
    </xf>
    <xf numFmtId="3" fontId="1" fillId="0" borderId="136" xfId="0" applyNumberFormat="1" applyFont="1" applyFill="1" applyBorder="1" applyAlignment="1">
      <alignment/>
    </xf>
    <xf numFmtId="0" fontId="35" fillId="0" borderId="71" xfId="0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/>
    </xf>
    <xf numFmtId="0" fontId="12" fillId="0" borderId="137" xfId="0" applyFont="1" applyFill="1" applyBorder="1" applyAlignment="1">
      <alignment horizontal="left"/>
    </xf>
    <xf numFmtId="0" fontId="12" fillId="0" borderId="137" xfId="0" applyFont="1" applyFill="1" applyBorder="1" applyAlignment="1">
      <alignment/>
    </xf>
    <xf numFmtId="0" fontId="12" fillId="0" borderId="107" xfId="0" applyFont="1" applyFill="1" applyBorder="1" applyAlignment="1">
      <alignment/>
    </xf>
    <xf numFmtId="0" fontId="12" fillId="0" borderId="65" xfId="0" applyFont="1" applyFill="1" applyBorder="1" applyAlignment="1">
      <alignment horizontal="center"/>
    </xf>
    <xf numFmtId="0" fontId="10" fillId="0" borderId="107" xfId="0" applyFont="1" applyFill="1" applyBorder="1" applyAlignment="1">
      <alignment/>
    </xf>
    <xf numFmtId="3" fontId="10" fillId="0" borderId="107" xfId="0" applyNumberFormat="1" applyFont="1" applyFill="1" applyBorder="1" applyAlignment="1">
      <alignment/>
    </xf>
    <xf numFmtId="3" fontId="12" fillId="0" borderId="106" xfId="0" applyNumberFormat="1" applyFont="1" applyFill="1" applyBorder="1" applyAlignment="1">
      <alignment/>
    </xf>
    <xf numFmtId="0" fontId="12" fillId="0" borderId="138" xfId="0" applyFont="1" applyFill="1" applyBorder="1" applyAlignment="1">
      <alignment/>
    </xf>
    <xf numFmtId="3" fontId="12" fillId="0" borderId="69" xfId="0" applyNumberFormat="1" applyFont="1" applyFill="1" applyBorder="1" applyAlignment="1">
      <alignment/>
    </xf>
    <xf numFmtId="3" fontId="12" fillId="0" borderId="139" xfId="0" applyNumberFormat="1" applyFont="1" applyFill="1" applyBorder="1" applyAlignment="1">
      <alignment/>
    </xf>
    <xf numFmtId="0" fontId="35" fillId="33" borderId="71" xfId="0" applyFont="1" applyFill="1" applyBorder="1" applyAlignment="1">
      <alignment horizontal="center"/>
    </xf>
    <xf numFmtId="0" fontId="35" fillId="33" borderId="67" xfId="0" applyFont="1" applyFill="1" applyBorder="1" applyAlignment="1">
      <alignment horizontal="center"/>
    </xf>
    <xf numFmtId="0" fontId="17" fillId="33" borderId="105" xfId="0" applyFont="1" applyFill="1" applyBorder="1" applyAlignment="1">
      <alignment/>
    </xf>
    <xf numFmtId="0" fontId="17" fillId="0" borderId="106" xfId="0" applyFont="1" applyBorder="1" applyAlignment="1">
      <alignment horizontal="center"/>
    </xf>
    <xf numFmtId="0" fontId="15" fillId="0" borderId="137" xfId="0" applyFont="1" applyBorder="1" applyAlignment="1">
      <alignment/>
    </xf>
    <xf numFmtId="0" fontId="15" fillId="0" borderId="107" xfId="0" applyFont="1" applyBorder="1" applyAlignment="1">
      <alignment/>
    </xf>
    <xf numFmtId="0" fontId="17" fillId="0" borderId="106" xfId="0" applyFont="1" applyBorder="1" applyAlignment="1">
      <alignment/>
    </xf>
    <xf numFmtId="0" fontId="17" fillId="0" borderId="107" xfId="0" applyFont="1" applyBorder="1" applyAlignment="1">
      <alignment/>
    </xf>
    <xf numFmtId="0" fontId="15" fillId="0" borderId="106" xfId="0" applyFont="1" applyBorder="1" applyAlignment="1">
      <alignment/>
    </xf>
    <xf numFmtId="0" fontId="15" fillId="0" borderId="65" xfId="0" applyFont="1" applyBorder="1" applyAlignment="1">
      <alignment/>
    </xf>
    <xf numFmtId="0" fontId="17" fillId="33" borderId="67" xfId="0" applyFont="1" applyFill="1" applyBorder="1" applyAlignment="1">
      <alignment/>
    </xf>
    <xf numFmtId="0" fontId="15" fillId="33" borderId="140" xfId="0" applyFont="1" applyFill="1" applyBorder="1" applyAlignment="1">
      <alignment/>
    </xf>
    <xf numFmtId="0" fontId="15" fillId="33" borderId="107" xfId="0" applyFont="1" applyFill="1" applyBorder="1" applyAlignment="1">
      <alignment/>
    </xf>
    <xf numFmtId="3" fontId="15" fillId="33" borderId="107" xfId="0" applyNumberFormat="1" applyFont="1" applyFill="1" applyBorder="1" applyAlignment="1">
      <alignment/>
    </xf>
    <xf numFmtId="0" fontId="15" fillId="33" borderId="65" xfId="0" applyFont="1" applyFill="1" applyBorder="1" applyAlignment="1">
      <alignment/>
    </xf>
    <xf numFmtId="0" fontId="9" fillId="33" borderId="73" xfId="0" applyFont="1" applyFill="1" applyBorder="1" applyAlignment="1">
      <alignment horizontal="center"/>
    </xf>
    <xf numFmtId="3" fontId="10" fillId="39" borderId="0" xfId="0" applyNumberFormat="1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83" xfId="0" applyFill="1" applyBorder="1" applyAlignment="1">
      <alignment/>
    </xf>
    <xf numFmtId="0" fontId="2" fillId="0" borderId="83" xfId="0" applyFont="1" applyFill="1" applyBorder="1" applyAlignment="1">
      <alignment horizontal="center"/>
    </xf>
    <xf numFmtId="0" fontId="10" fillId="0" borderId="79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1" fillId="0" borderId="81" xfId="0" applyFont="1" applyFill="1" applyBorder="1" applyAlignment="1">
      <alignment/>
    </xf>
    <xf numFmtId="0" fontId="17" fillId="0" borderId="84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2" fillId="35" borderId="141" xfId="0" applyFont="1" applyFill="1" applyBorder="1" applyAlignment="1">
      <alignment/>
    </xf>
    <xf numFmtId="0" fontId="0" fillId="35" borderId="142" xfId="0" applyFill="1" applyBorder="1" applyAlignment="1">
      <alignment/>
    </xf>
    <xf numFmtId="0" fontId="0" fillId="35" borderId="143" xfId="0" applyFill="1" applyBorder="1" applyAlignment="1">
      <alignment/>
    </xf>
    <xf numFmtId="0" fontId="17" fillId="0" borderId="144" xfId="0" applyFont="1" applyBorder="1" applyAlignment="1">
      <alignment horizontal="center"/>
    </xf>
    <xf numFmtId="0" fontId="17" fillId="0" borderId="145" xfId="0" applyFont="1" applyBorder="1" applyAlignment="1">
      <alignment horizontal="center"/>
    </xf>
    <xf numFmtId="0" fontId="0" fillId="0" borderId="146" xfId="0" applyBorder="1" applyAlignment="1">
      <alignment/>
    </xf>
    <xf numFmtId="0" fontId="0" fillId="0" borderId="94" xfId="0" applyBorder="1" applyAlignment="1">
      <alignment/>
    </xf>
    <xf numFmtId="0" fontId="0" fillId="0" borderId="146" xfId="0" applyFont="1" applyBorder="1" applyAlignment="1">
      <alignment/>
    </xf>
    <xf numFmtId="0" fontId="0" fillId="0" borderId="147" xfId="0" applyFont="1" applyBorder="1" applyAlignment="1">
      <alignment/>
    </xf>
    <xf numFmtId="0" fontId="0" fillId="0" borderId="148" xfId="0" applyBorder="1" applyAlignment="1">
      <alignment/>
    </xf>
    <xf numFmtId="0" fontId="0" fillId="0" borderId="149" xfId="0" applyBorder="1" applyAlignment="1">
      <alignment/>
    </xf>
    <xf numFmtId="0" fontId="1" fillId="0" borderId="141" xfId="0" applyFont="1" applyBorder="1" applyAlignment="1">
      <alignment horizontal="center"/>
    </xf>
    <xf numFmtId="0" fontId="1" fillId="0" borderId="146" xfId="0" applyFont="1" applyBorder="1" applyAlignment="1">
      <alignment horizontal="center"/>
    </xf>
    <xf numFmtId="0" fontId="1" fillId="0" borderId="147" xfId="0" applyFont="1" applyBorder="1" applyAlignment="1">
      <alignment/>
    </xf>
    <xf numFmtId="0" fontId="1" fillId="0" borderId="15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150" xfId="0" applyFont="1" applyBorder="1" applyAlignment="1">
      <alignment/>
    </xf>
    <xf numFmtId="0" fontId="0" fillId="0" borderId="151" xfId="0" applyFont="1" applyBorder="1" applyAlignment="1">
      <alignment/>
    </xf>
    <xf numFmtId="0" fontId="1" fillId="0" borderId="77" xfId="0" applyFont="1" applyBorder="1" applyAlignment="1">
      <alignment/>
    </xf>
    <xf numFmtId="179" fontId="15" fillId="0" borderId="0" xfId="5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0" fontId="17" fillId="0" borderId="152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7" fillId="0" borderId="153" xfId="0" applyFont="1" applyBorder="1" applyAlignment="1">
      <alignment horizontal="center"/>
    </xf>
    <xf numFmtId="0" fontId="1" fillId="35" borderId="141" xfId="0" applyFont="1" applyFill="1" applyBorder="1" applyAlignment="1">
      <alignment/>
    </xf>
    <xf numFmtId="0" fontId="0" fillId="35" borderId="147" xfId="0" applyFill="1" applyBorder="1" applyAlignment="1">
      <alignment/>
    </xf>
    <xf numFmtId="0" fontId="0" fillId="35" borderId="148" xfId="0" applyFill="1" applyBorder="1" applyAlignment="1">
      <alignment/>
    </xf>
    <xf numFmtId="0" fontId="0" fillId="35" borderId="149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4" fillId="0" borderId="78" xfId="56" applyFont="1" applyBorder="1" applyAlignment="1">
      <alignment horizontal="center"/>
      <protection/>
    </xf>
    <xf numFmtId="0" fontId="14" fillId="0" borderId="14" xfId="56" applyFont="1" applyBorder="1" applyAlignment="1">
      <alignment horizontal="center"/>
      <protection/>
    </xf>
    <xf numFmtId="0" fontId="14" fillId="0" borderId="107" xfId="56" applyFont="1" applyBorder="1" applyAlignment="1">
      <alignment horizontal="center"/>
      <protection/>
    </xf>
    <xf numFmtId="0" fontId="1" fillId="0" borderId="78" xfId="56" applyFont="1" applyBorder="1" applyAlignment="1">
      <alignment horizontal="center"/>
      <protection/>
    </xf>
    <xf numFmtId="0" fontId="1" fillId="0" borderId="14" xfId="56" applyFont="1" applyBorder="1" applyAlignment="1">
      <alignment horizontal="center"/>
      <protection/>
    </xf>
    <xf numFmtId="0" fontId="1" fillId="0" borderId="107" xfId="56" applyFont="1" applyBorder="1" applyAlignment="1">
      <alignment horizontal="center"/>
      <protection/>
    </xf>
    <xf numFmtId="0" fontId="6" fillId="0" borderId="19" xfId="56" applyFont="1" applyBorder="1" applyAlignment="1">
      <alignment horizontal="center"/>
      <protection/>
    </xf>
    <xf numFmtId="0" fontId="14" fillId="0" borderId="8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07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107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78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07" xfId="0" applyFont="1" applyFill="1" applyBorder="1" applyAlignment="1">
      <alignment horizontal="center"/>
    </xf>
    <xf numFmtId="3" fontId="17" fillId="0" borderId="154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7" xfId="0" applyFont="1" applyFill="1" applyBorder="1" applyAlignment="1">
      <alignment horizontal="center"/>
    </xf>
    <xf numFmtId="0" fontId="12" fillId="33" borderId="83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07" xfId="0" applyFont="1" applyFill="1" applyBorder="1" applyAlignment="1">
      <alignment horizontal="center"/>
    </xf>
    <xf numFmtId="0" fontId="14" fillId="33" borderId="83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07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106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37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67" xfId="0" applyFont="1" applyFill="1" applyBorder="1" applyAlignment="1">
      <alignment horizontal="center"/>
    </xf>
    <xf numFmtId="0" fontId="9" fillId="33" borderId="8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74" fontId="1" fillId="0" borderId="27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10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1" fontId="12" fillId="33" borderId="14" xfId="52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" fillId="0" borderId="147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ECONTABLES JUN200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ura_valdez\AppData\Local\Microsoft\Windows\INetCache\Content.Outlook\Q48CVXJ5\FLUJO%20DE%20CAJA%2030-09-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.AUXIL.FLUJO EFECTIVO 2017"/>
      <sheetName val="Hoja1"/>
    </sheetNames>
    <sheetDataSet>
      <sheetData sheetId="0">
        <row r="1111">
          <cell r="C1111">
            <v>29941747914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40"/>
  <sheetViews>
    <sheetView zoomScalePageLayoutView="0" workbookViewId="0" topLeftCell="A14">
      <selection activeCell="B24" sqref="B24"/>
    </sheetView>
  </sheetViews>
  <sheetFormatPr defaultColWidth="11.421875" defaultRowHeight="12.75"/>
  <cols>
    <col min="1" max="1" width="2.28125" style="1" customWidth="1"/>
    <col min="2" max="2" width="55.421875" style="2" customWidth="1"/>
    <col min="3" max="3" width="16.421875" style="2" customWidth="1"/>
    <col min="4" max="4" width="15.8515625" style="3" customWidth="1"/>
    <col min="5" max="5" width="54.140625" style="2" customWidth="1"/>
    <col min="6" max="6" width="16.140625" style="2" customWidth="1"/>
    <col min="7" max="7" width="15.7109375" style="3" customWidth="1"/>
    <col min="8" max="8" width="17.7109375" style="2" customWidth="1"/>
    <col min="9" max="10" width="11.421875" style="2" customWidth="1"/>
    <col min="11" max="16384" width="11.421875" style="2" customWidth="1"/>
  </cols>
  <sheetData>
    <row r="1" spans="1:7" ht="12.75">
      <c r="A1" s="4"/>
      <c r="B1" s="5" t="s">
        <v>591</v>
      </c>
      <c r="C1" s="6"/>
      <c r="D1" s="7"/>
      <c r="E1" s="8"/>
      <c r="F1" s="8"/>
      <c r="G1" s="7"/>
    </row>
    <row r="2" spans="1:7" ht="12.75">
      <c r="A2" s="9"/>
      <c r="B2" s="10" t="s">
        <v>0</v>
      </c>
      <c r="C2" s="11"/>
      <c r="D2" s="12"/>
      <c r="E2" s="11"/>
      <c r="F2" s="11"/>
      <c r="G2" s="12"/>
    </row>
    <row r="3" spans="1:7" ht="5.25" customHeight="1">
      <c r="A3" s="9"/>
      <c r="B3" s="14"/>
      <c r="C3" s="15"/>
      <c r="D3" s="16"/>
      <c r="E3" s="15"/>
      <c r="F3" s="15"/>
      <c r="G3" s="16"/>
    </row>
    <row r="4" spans="1:7" ht="12.75">
      <c r="A4" s="9"/>
      <c r="B4" s="18" t="s">
        <v>1</v>
      </c>
      <c r="C4" s="19">
        <v>43830</v>
      </c>
      <c r="D4" s="19">
        <v>43465</v>
      </c>
      <c r="E4" s="18" t="s">
        <v>2</v>
      </c>
      <c r="F4" s="19">
        <v>43830</v>
      </c>
      <c r="G4" s="19">
        <v>43465</v>
      </c>
    </row>
    <row r="5" spans="1:7" ht="6" customHeight="1">
      <c r="A5" s="9"/>
      <c r="B5" s="20"/>
      <c r="C5" s="9"/>
      <c r="D5" s="9"/>
      <c r="E5" s="21"/>
      <c r="F5" s="9"/>
      <c r="G5" s="9"/>
    </row>
    <row r="6" spans="1:7" ht="12.75">
      <c r="A6" s="9"/>
      <c r="B6" s="22" t="s">
        <v>3</v>
      </c>
      <c r="C6" s="23"/>
      <c r="D6" s="23"/>
      <c r="E6" s="24" t="s">
        <v>4</v>
      </c>
      <c r="F6" s="25"/>
      <c r="G6" s="25"/>
    </row>
    <row r="7" spans="1:7" ht="13.5">
      <c r="A7" s="9"/>
      <c r="B7" s="20" t="s">
        <v>5</v>
      </c>
      <c r="C7" s="573">
        <v>97761526232</v>
      </c>
      <c r="D7" s="573">
        <v>48023427196</v>
      </c>
      <c r="E7" s="27" t="s">
        <v>618</v>
      </c>
      <c r="F7" s="572">
        <v>19691315052</v>
      </c>
      <c r="G7" s="617">
        <v>19512296722</v>
      </c>
    </row>
    <row r="8" spans="1:7" ht="13.5">
      <c r="A8" s="9"/>
      <c r="B8" s="28" t="s">
        <v>6</v>
      </c>
      <c r="C8" s="554">
        <v>263030722694</v>
      </c>
      <c r="D8" s="554">
        <v>219699959510</v>
      </c>
      <c r="E8" s="27" t="s">
        <v>619</v>
      </c>
      <c r="F8" s="575">
        <v>274067975</v>
      </c>
      <c r="G8" s="631">
        <v>152749234</v>
      </c>
    </row>
    <row r="9" spans="1:8" ht="15">
      <c r="A9" s="9"/>
      <c r="B9" s="28" t="s">
        <v>7</v>
      </c>
      <c r="C9" s="557">
        <f>8890294799+380002414</f>
        <v>9270297213</v>
      </c>
      <c r="D9" s="557">
        <f>15522971128+842709378</f>
        <v>16365680506</v>
      </c>
      <c r="E9" s="21" t="s">
        <v>620</v>
      </c>
      <c r="F9" s="572">
        <f>79442822050+42013117809</f>
        <v>121455939859</v>
      </c>
      <c r="G9" s="617">
        <f>24037533818+70071627613</f>
        <v>94109161431</v>
      </c>
      <c r="H9" s="31"/>
    </row>
    <row r="10" spans="1:8" ht="15">
      <c r="A10" s="9"/>
      <c r="B10" s="28" t="s">
        <v>8</v>
      </c>
      <c r="C10" s="574">
        <f>322591164132+22025480989</f>
        <v>344616645121</v>
      </c>
      <c r="D10" s="574">
        <f>337291591520+21936412500</f>
        <v>359228004020</v>
      </c>
      <c r="E10" s="27" t="s">
        <v>621</v>
      </c>
      <c r="F10" s="576">
        <f>38294393297+16519711+383640000</f>
        <v>38694553008</v>
      </c>
      <c r="G10" s="606">
        <f>35788536097+12937009</f>
        <v>35801473106</v>
      </c>
      <c r="H10" s="33"/>
    </row>
    <row r="11" spans="1:7" ht="13.5">
      <c r="A11" s="9"/>
      <c r="B11" s="20" t="s">
        <v>9</v>
      </c>
      <c r="C11" s="574">
        <v>44275981956</v>
      </c>
      <c r="D11" s="574">
        <v>53427204160</v>
      </c>
      <c r="E11" s="21" t="s">
        <v>622</v>
      </c>
      <c r="F11" s="577">
        <f>522184621+23467928</f>
        <v>545652549</v>
      </c>
      <c r="G11" s="632">
        <f>438679495+17508582</f>
        <v>456188077</v>
      </c>
    </row>
    <row r="12" spans="1:8" ht="13.5">
      <c r="A12" s="9"/>
      <c r="B12" s="20"/>
      <c r="C12" s="555"/>
      <c r="D12" s="30"/>
      <c r="E12" s="21" t="s">
        <v>623</v>
      </c>
      <c r="F12" s="572">
        <v>11781883503</v>
      </c>
      <c r="G12" s="617">
        <v>10630719771</v>
      </c>
      <c r="H12" s="44"/>
    </row>
    <row r="13" spans="1:7" ht="13.5" hidden="1">
      <c r="A13" s="9"/>
      <c r="B13" s="28"/>
      <c r="C13" s="562"/>
      <c r="D13" s="32"/>
      <c r="E13" s="21"/>
      <c r="F13" s="630"/>
      <c r="G13" s="632"/>
    </row>
    <row r="14" spans="1:7" ht="14.25" customHeight="1">
      <c r="A14" s="9"/>
      <c r="B14" s="28"/>
      <c r="C14" s="563"/>
      <c r="D14" s="32"/>
      <c r="E14" s="21"/>
      <c r="F14" s="100"/>
      <c r="G14" s="633"/>
    </row>
    <row r="15" spans="1:9" ht="15">
      <c r="A15" s="9"/>
      <c r="B15" s="35" t="s">
        <v>10</v>
      </c>
      <c r="C15" s="564">
        <f>SUM(C7:C14)</f>
        <v>758955173216</v>
      </c>
      <c r="D15" s="36">
        <f>SUM(D7:D14)</f>
        <v>696744275392</v>
      </c>
      <c r="E15" s="37" t="s">
        <v>11</v>
      </c>
      <c r="F15" s="36">
        <f>SUM(F7:F14)</f>
        <v>192443411946</v>
      </c>
      <c r="G15" s="36">
        <f>SUM(G7:G14)</f>
        <v>160662588341</v>
      </c>
      <c r="H15" s="876"/>
      <c r="I15" s="44"/>
    </row>
    <row r="16" spans="1:7" ht="8.25" customHeight="1">
      <c r="A16" s="9"/>
      <c r="B16" s="35"/>
      <c r="C16" s="565"/>
      <c r="D16" s="38"/>
      <c r="E16" s="37"/>
      <c r="F16" s="38"/>
      <c r="G16" s="38"/>
    </row>
    <row r="17" spans="1:7" ht="15">
      <c r="A17" s="9"/>
      <c r="B17" s="22" t="s">
        <v>12</v>
      </c>
      <c r="C17" s="566"/>
      <c r="D17" s="39"/>
      <c r="E17" s="40"/>
      <c r="F17" s="32"/>
      <c r="G17" s="32"/>
    </row>
    <row r="18" spans="1:7" ht="13.5">
      <c r="A18" s="9"/>
      <c r="B18" s="28" t="s">
        <v>6</v>
      </c>
      <c r="C18" s="562">
        <f>7169145314+283640229-5106008859</f>
        <v>2346776684</v>
      </c>
      <c r="D18" s="32">
        <v>0</v>
      </c>
      <c r="E18" s="40"/>
      <c r="F18" s="32"/>
      <c r="G18" s="32"/>
    </row>
    <row r="19" spans="1:7" ht="13.5">
      <c r="A19" s="9"/>
      <c r="B19" s="20" t="s">
        <v>13</v>
      </c>
      <c r="C19" s="562">
        <f>+'ANEXO C'!H36</f>
        <v>32213537431</v>
      </c>
      <c r="D19" s="32">
        <v>15780918418</v>
      </c>
      <c r="E19" s="40"/>
      <c r="F19" s="32"/>
      <c r="G19" s="32"/>
    </row>
    <row r="20" spans="1:7" ht="13.5">
      <c r="A20" s="9"/>
      <c r="B20" s="20" t="s">
        <v>14</v>
      </c>
      <c r="C20" s="562">
        <f>'ANEXO A'!O86</f>
        <v>329376781336</v>
      </c>
      <c r="D20" s="32">
        <v>317719354338</v>
      </c>
      <c r="E20" s="40"/>
      <c r="F20" s="32"/>
      <c r="G20" s="32"/>
    </row>
    <row r="21" spans="1:7" ht="13.5">
      <c r="A21" s="9"/>
      <c r="B21" s="20" t="s">
        <v>15</v>
      </c>
      <c r="C21" s="601">
        <v>2019685489</v>
      </c>
      <c r="D21" s="41">
        <v>3312420434</v>
      </c>
      <c r="E21" s="40"/>
      <c r="F21" s="32"/>
      <c r="G21" s="32"/>
    </row>
    <row r="22" spans="1:7" ht="13.5">
      <c r="A22" s="9"/>
      <c r="B22" s="20" t="s">
        <v>617</v>
      </c>
      <c r="C22" s="562">
        <v>39901934764</v>
      </c>
      <c r="D22" s="32">
        <v>37347297591</v>
      </c>
      <c r="E22" s="40"/>
      <c r="F22" s="32"/>
      <c r="G22" s="32"/>
    </row>
    <row r="23" spans="1:7" ht="15">
      <c r="A23" s="9"/>
      <c r="B23" s="28" t="s">
        <v>16</v>
      </c>
      <c r="C23" s="562">
        <f>+'ANEXO B'!K28</f>
        <v>2640032376</v>
      </c>
      <c r="D23" s="32">
        <v>2876580389</v>
      </c>
      <c r="E23" s="40" t="s">
        <v>17</v>
      </c>
      <c r="F23" s="36">
        <f>F15</f>
        <v>192443411946</v>
      </c>
      <c r="G23" s="36">
        <f>G15</f>
        <v>160662588341</v>
      </c>
    </row>
    <row r="24" spans="1:7" ht="15">
      <c r="A24" s="9"/>
      <c r="B24" s="28" t="s">
        <v>635</v>
      </c>
      <c r="C24" s="562">
        <v>1311136198</v>
      </c>
      <c r="D24" s="32">
        <v>0</v>
      </c>
      <c r="E24" s="40"/>
      <c r="F24" s="42"/>
      <c r="G24" s="42"/>
    </row>
    <row r="25" spans="1:7" ht="15">
      <c r="A25" s="9"/>
      <c r="B25" s="28" t="s">
        <v>630</v>
      </c>
      <c r="C25" s="602">
        <v>1243344831</v>
      </c>
      <c r="D25" s="32">
        <v>119645</v>
      </c>
      <c r="E25" s="40"/>
      <c r="F25" s="42"/>
      <c r="G25" s="42"/>
    </row>
    <row r="26" spans="1:7" ht="15">
      <c r="A26" s="9"/>
      <c r="B26" s="28"/>
      <c r="C26" s="567"/>
      <c r="D26" s="32"/>
      <c r="E26" s="43"/>
      <c r="F26" s="42"/>
      <c r="G26" s="42"/>
    </row>
    <row r="27" spans="1:8" ht="15">
      <c r="A27" s="9"/>
      <c r="B27" s="40" t="s">
        <v>18</v>
      </c>
      <c r="C27" s="36">
        <f>SUM(C18:C26)</f>
        <v>411053229109</v>
      </c>
      <c r="D27" s="36">
        <f>SUM(D19:D26)</f>
        <v>377036690815</v>
      </c>
      <c r="E27" s="40" t="s">
        <v>19</v>
      </c>
      <c r="F27" s="36">
        <f>903158894016+74406096363</f>
        <v>977564990379</v>
      </c>
      <c r="G27" s="36">
        <f>856328389141+56789988725</f>
        <v>913118377866</v>
      </c>
      <c r="H27" s="44"/>
    </row>
    <row r="28" spans="1:7" ht="13.5">
      <c r="A28" s="9"/>
      <c r="B28" s="43"/>
      <c r="C28" s="32"/>
      <c r="D28" s="32"/>
      <c r="E28" s="43"/>
      <c r="F28" s="32"/>
      <c r="G28" s="32"/>
    </row>
    <row r="29" spans="1:8" ht="15.75" thickBot="1">
      <c r="A29" s="9"/>
      <c r="B29" s="40" t="s">
        <v>20</v>
      </c>
      <c r="C29" s="45">
        <f>+C27+C15</f>
        <v>1170008402325</v>
      </c>
      <c r="D29" s="45">
        <f>D15+D27</f>
        <v>1073780966207</v>
      </c>
      <c r="E29" s="46" t="s">
        <v>21</v>
      </c>
      <c r="F29" s="45">
        <f>F27+F23</f>
        <v>1170008402325</v>
      </c>
      <c r="G29" s="45">
        <f>G27+G23</f>
        <v>1073780966207</v>
      </c>
      <c r="H29" s="44"/>
    </row>
    <row r="30" spans="1:7" ht="13.5" thickTop="1">
      <c r="A30" s="9"/>
      <c r="B30" s="40"/>
      <c r="C30" s="47"/>
      <c r="D30" s="47"/>
      <c r="E30" s="46"/>
      <c r="F30" s="47"/>
      <c r="G30" s="47"/>
    </row>
    <row r="31" spans="1:7" ht="18.75" customHeight="1">
      <c r="A31" s="9"/>
      <c r="B31" s="48" t="s">
        <v>22</v>
      </c>
      <c r="C31" s="49"/>
      <c r="D31" s="50"/>
      <c r="E31" s="51"/>
      <c r="F31" s="52"/>
      <c r="G31" s="49"/>
    </row>
    <row r="32" spans="1:9" s="56" customFormat="1" ht="12.75">
      <c r="A32" s="13"/>
      <c r="B32" s="13"/>
      <c r="C32" s="53"/>
      <c r="D32" s="54"/>
      <c r="E32" s="55"/>
      <c r="F32" s="54"/>
      <c r="G32" s="54"/>
      <c r="I32" s="57"/>
    </row>
    <row r="33" spans="1:7" ht="12.75" hidden="1">
      <c r="A33" s="58"/>
      <c r="B33" s="17"/>
      <c r="C33" s="59"/>
      <c r="D33" s="60"/>
      <c r="E33" s="17"/>
      <c r="F33" s="59"/>
      <c r="G33" s="60"/>
    </row>
    <row r="34" spans="3:7" ht="12.75">
      <c r="C34" s="44"/>
      <c r="D34" s="62"/>
      <c r="F34" s="63"/>
      <c r="G34" s="64"/>
    </row>
    <row r="35" spans="3:7" ht="12.75">
      <c r="C35" s="65"/>
      <c r="D35" s="64"/>
      <c r="F35" s="44"/>
      <c r="G35" s="64"/>
    </row>
    <row r="36" spans="2:7" ht="12.75">
      <c r="B36" s="44"/>
      <c r="C36" s="44"/>
      <c r="D36" s="64"/>
      <c r="E36" s="857"/>
      <c r="F36" s="44"/>
      <c r="G36" s="66"/>
    </row>
    <row r="37" spans="2:7" ht="12.75">
      <c r="B37" s="44"/>
      <c r="C37" s="619"/>
      <c r="D37" s="62"/>
      <c r="F37" s="44"/>
      <c r="G37" s="64"/>
    </row>
    <row r="38" spans="3:7" ht="12.75">
      <c r="C38" s="67"/>
      <c r="F38" s="44"/>
      <c r="G38" s="64"/>
    </row>
    <row r="39" spans="3:7" ht="12.75">
      <c r="C39" s="66"/>
      <c r="D39" s="696"/>
      <c r="F39" s="44"/>
      <c r="G39" s="64"/>
    </row>
    <row r="40" spans="3:4" ht="13.5">
      <c r="C40" s="44"/>
      <c r="D40" s="68"/>
    </row>
  </sheetData>
  <sheetProtection selectLockedCells="1" selectUnlockedCells="1"/>
  <printOptions/>
  <pageMargins left="0.7874015748031497" right="1.7716535433070868" top="2.362204724409449" bottom="2.362204724409449" header="0.5118110236220472" footer="0.5118110236220472"/>
  <pageSetup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M74"/>
  <sheetViews>
    <sheetView zoomScalePageLayoutView="0" workbookViewId="0" topLeftCell="A10">
      <selection activeCell="C20" sqref="C20"/>
    </sheetView>
  </sheetViews>
  <sheetFormatPr defaultColWidth="11.421875" defaultRowHeight="12.75"/>
  <cols>
    <col min="1" max="1" width="2.28125" style="0" customWidth="1"/>
    <col min="2" max="2" width="40.421875" style="0" customWidth="1"/>
    <col min="3" max="3" width="15.00390625" style="0" customWidth="1"/>
    <col min="4" max="4" width="15.28125" style="0" customWidth="1"/>
    <col min="5" max="5" width="14.421875" style="69" customWidth="1"/>
    <col min="6" max="6" width="14.7109375" style="69" customWidth="1"/>
    <col min="7" max="7" width="2.140625" style="0" customWidth="1"/>
    <col min="8" max="8" width="19.140625" style="0" customWidth="1"/>
    <col min="9" max="9" width="14.28125" style="0" customWidth="1"/>
    <col min="10" max="10" width="6.140625" style="0" customWidth="1"/>
    <col min="11" max="11" width="13.7109375" style="0" customWidth="1"/>
  </cols>
  <sheetData>
    <row r="1" spans="1:7" ht="12.75">
      <c r="A1" s="70"/>
      <c r="B1" s="70"/>
      <c r="C1" s="138"/>
      <c r="D1" s="138"/>
      <c r="E1" s="138"/>
      <c r="F1" s="138"/>
      <c r="G1" s="139"/>
    </row>
    <row r="2" spans="1:7" ht="12.75">
      <c r="A2" s="72"/>
      <c r="B2" s="1010" t="s">
        <v>587</v>
      </c>
      <c r="C2" s="1010"/>
      <c r="D2" s="1010"/>
      <c r="E2" s="1010"/>
      <c r="F2" s="1010"/>
      <c r="G2" s="97"/>
    </row>
    <row r="3" spans="1:7" ht="12.75">
      <c r="A3" s="72"/>
      <c r="B3" s="1010" t="s">
        <v>25</v>
      </c>
      <c r="C3" s="1010"/>
      <c r="D3" s="1010"/>
      <c r="E3" s="1010"/>
      <c r="F3" s="1010"/>
      <c r="G3" s="97"/>
    </row>
    <row r="4" spans="1:7" ht="12.75">
      <c r="A4" s="72"/>
      <c r="B4" s="72"/>
      <c r="C4" s="169"/>
      <c r="D4" s="169"/>
      <c r="E4" s="169"/>
      <c r="F4" s="330" t="s">
        <v>284</v>
      </c>
      <c r="G4" s="97"/>
    </row>
    <row r="5" spans="1:7" ht="12.75">
      <c r="A5" s="72"/>
      <c r="B5" s="1010" t="s">
        <v>285</v>
      </c>
      <c r="C5" s="1010"/>
      <c r="D5" s="1010"/>
      <c r="E5" s="1010"/>
      <c r="F5" s="1010"/>
      <c r="G5" s="97"/>
    </row>
    <row r="6" spans="1:7" ht="12.75">
      <c r="A6" s="72"/>
      <c r="B6" s="1010" t="s">
        <v>286</v>
      </c>
      <c r="C6" s="1010"/>
      <c r="D6" s="1010"/>
      <c r="E6" s="1010"/>
      <c r="F6" s="1010"/>
      <c r="G6" s="97"/>
    </row>
    <row r="7" spans="1:7" ht="12.75">
      <c r="A7" s="72"/>
      <c r="B7" s="343"/>
      <c r="C7" s="331"/>
      <c r="D7" s="331"/>
      <c r="E7" s="331"/>
      <c r="F7" s="331"/>
      <c r="G7" s="97"/>
    </row>
    <row r="8" spans="1:7" ht="12.75">
      <c r="A8" s="72"/>
      <c r="B8" s="343"/>
      <c r="C8" s="331"/>
      <c r="D8" s="331"/>
      <c r="E8" s="331"/>
      <c r="F8" s="331"/>
      <c r="G8" s="97"/>
    </row>
    <row r="9" spans="1:7" ht="12.75">
      <c r="A9" s="72"/>
      <c r="B9" s="72"/>
      <c r="C9" s="169"/>
      <c r="D9" s="169"/>
      <c r="E9" s="169"/>
      <c r="F9" s="169"/>
      <c r="G9" s="97"/>
    </row>
    <row r="10" spans="1:7" ht="12.75">
      <c r="A10" s="72"/>
      <c r="B10" s="359" t="s">
        <v>287</v>
      </c>
      <c r="C10" s="1062">
        <v>43830</v>
      </c>
      <c r="D10" s="1062"/>
      <c r="E10" s="1062">
        <v>43465</v>
      </c>
      <c r="F10" s="1062"/>
      <c r="G10" s="97"/>
    </row>
    <row r="11" spans="1:7" ht="12.75">
      <c r="A11" s="72"/>
      <c r="B11" s="360"/>
      <c r="C11" s="361"/>
      <c r="D11" s="362"/>
      <c r="E11" s="362"/>
      <c r="F11" s="363"/>
      <c r="G11" s="97"/>
    </row>
    <row r="12" spans="1:7" ht="12.75">
      <c r="A12" s="72"/>
      <c r="B12" s="364" t="s">
        <v>288</v>
      </c>
      <c r="C12" s="365"/>
      <c r="D12" s="366"/>
      <c r="E12" s="366"/>
      <c r="F12" s="366"/>
      <c r="G12" s="97"/>
    </row>
    <row r="13" spans="1:7" ht="12.75">
      <c r="A13" s="72"/>
      <c r="B13" s="92" t="s">
        <v>289</v>
      </c>
      <c r="C13" s="367"/>
      <c r="D13" s="366"/>
      <c r="E13" s="366"/>
      <c r="F13" s="366"/>
      <c r="G13" s="97"/>
    </row>
    <row r="14" spans="1:7" ht="12.75">
      <c r="A14" s="72"/>
      <c r="B14" s="88"/>
      <c r="C14" s="367"/>
      <c r="D14" s="366"/>
      <c r="E14" s="366"/>
      <c r="F14" s="366"/>
      <c r="G14" s="97"/>
    </row>
    <row r="15" spans="1:8" ht="12.75">
      <c r="A15" s="72"/>
      <c r="B15" s="92" t="s">
        <v>290</v>
      </c>
      <c r="C15" s="367"/>
      <c r="D15" s="368">
        <f>+C16</f>
        <v>294348059086</v>
      </c>
      <c r="E15" s="369"/>
      <c r="F15" s="368">
        <f>E16</f>
        <v>289384779008</v>
      </c>
      <c r="G15" s="97"/>
      <c r="H15" s="87"/>
    </row>
    <row r="16" spans="1:8" ht="12.75">
      <c r="A16" s="72"/>
      <c r="B16" s="88" t="s">
        <v>291</v>
      </c>
      <c r="C16" s="370">
        <v>294348059086</v>
      </c>
      <c r="D16" s="369"/>
      <c r="E16" s="370">
        <v>289384779008</v>
      </c>
      <c r="F16" s="369"/>
      <c r="G16" s="97"/>
      <c r="H16" s="87"/>
    </row>
    <row r="17" spans="1:9" ht="12.75">
      <c r="A17" s="72"/>
      <c r="B17" s="88"/>
      <c r="C17" s="367"/>
      <c r="D17" s="369"/>
      <c r="E17" s="369"/>
      <c r="F17" s="369"/>
      <c r="G17" s="97"/>
      <c r="H17" s="87"/>
      <c r="I17" s="87"/>
    </row>
    <row r="18" spans="1:10" ht="12.75">
      <c r="A18" s="72"/>
      <c r="B18" s="92" t="s">
        <v>292</v>
      </c>
      <c r="C18" s="367"/>
      <c r="D18" s="369"/>
      <c r="E18" s="369"/>
      <c r="F18" s="369"/>
      <c r="G18" s="97"/>
      <c r="H18" s="87"/>
      <c r="I18" s="87"/>
      <c r="J18" s="87"/>
    </row>
    <row r="19" spans="1:10" ht="12.75">
      <c r="A19" s="72"/>
      <c r="B19" s="364" t="s">
        <v>126</v>
      </c>
      <c r="C19" s="369"/>
      <c r="D19" s="371">
        <f>C20</f>
        <v>374105033944</v>
      </c>
      <c r="E19" s="369"/>
      <c r="F19" s="368">
        <v>416641060027</v>
      </c>
      <c r="G19" s="97"/>
      <c r="H19" s="87"/>
      <c r="I19" s="87"/>
      <c r="J19" s="87"/>
    </row>
    <row r="20" spans="1:10" ht="12.75">
      <c r="A20" s="72"/>
      <c r="B20" s="88" t="s">
        <v>293</v>
      </c>
      <c r="C20" s="368">
        <f>D27+C25-C16</f>
        <v>374105033944</v>
      </c>
      <c r="D20" s="372"/>
      <c r="E20" s="368">
        <v>416641060027</v>
      </c>
      <c r="F20" s="369"/>
      <c r="G20" s="97"/>
      <c r="H20" s="87"/>
      <c r="I20" s="87"/>
      <c r="J20" s="87"/>
    </row>
    <row r="21" spans="1:9" ht="12.75">
      <c r="A21" s="72"/>
      <c r="B21" s="373"/>
      <c r="C21" s="369"/>
      <c r="D21" s="372"/>
      <c r="E21" s="369"/>
      <c r="F21" s="369"/>
      <c r="G21" s="97"/>
      <c r="H21" s="87"/>
      <c r="I21" s="87"/>
    </row>
    <row r="22" spans="1:10" ht="12.75">
      <c r="A22" s="72"/>
      <c r="B22" s="92" t="s">
        <v>294</v>
      </c>
      <c r="C22" s="369"/>
      <c r="D22" s="372"/>
      <c r="E22" s="369"/>
      <c r="F22" s="369"/>
      <c r="G22" s="97"/>
      <c r="H22" s="87"/>
      <c r="I22" s="87"/>
      <c r="J22" s="87"/>
    </row>
    <row r="23" spans="1:10" ht="12.75">
      <c r="A23" s="72"/>
      <c r="B23" s="88" t="s">
        <v>295</v>
      </c>
      <c r="C23" s="369"/>
      <c r="D23" s="372"/>
      <c r="E23" s="369"/>
      <c r="F23" s="369"/>
      <c r="G23" s="97"/>
      <c r="H23" s="87"/>
      <c r="I23" s="87"/>
      <c r="J23" s="87"/>
    </row>
    <row r="24" spans="1:10" ht="12.75">
      <c r="A24" s="72"/>
      <c r="B24" s="364" t="s">
        <v>296</v>
      </c>
      <c r="C24" s="369"/>
      <c r="D24" s="371">
        <f>C25</f>
        <v>223246722281</v>
      </c>
      <c r="E24" s="369"/>
      <c r="F24" s="368">
        <v>294348059086</v>
      </c>
      <c r="G24" s="97"/>
      <c r="H24" s="87"/>
      <c r="I24" s="87"/>
      <c r="J24" s="87"/>
    </row>
    <row r="25" spans="1:9" ht="12.75">
      <c r="A25" s="72"/>
      <c r="B25" s="88" t="s">
        <v>291</v>
      </c>
      <c r="C25" s="598">
        <f>171670377892+14120737168+9908904+6959684141+1251241029+5517654836+42269678+22025480989+1607344951+42022693</f>
        <v>223246722281</v>
      </c>
      <c r="D25" s="372"/>
      <c r="E25" s="368">
        <v>294348059086</v>
      </c>
      <c r="F25" s="369"/>
      <c r="G25" s="97"/>
      <c r="H25" s="87"/>
      <c r="I25" s="135"/>
    </row>
    <row r="26" spans="1:9" ht="12.75">
      <c r="A26" s="72"/>
      <c r="B26" s="88"/>
      <c r="C26" s="369"/>
      <c r="D26" s="372"/>
      <c r="E26" s="369"/>
      <c r="F26" s="369"/>
      <c r="G26" s="97"/>
      <c r="H26" s="87"/>
      <c r="I26" s="135"/>
    </row>
    <row r="27" spans="1:11" ht="12.75">
      <c r="A27" s="72"/>
      <c r="B27" s="92" t="s">
        <v>297</v>
      </c>
      <c r="C27" s="369"/>
      <c r="D27" s="374">
        <f>436596399924-'ANEXO H'!E50-'ANEXO H'!E52+327618586+3492942971+8609970825</f>
        <v>445206370749</v>
      </c>
      <c r="E27" s="369"/>
      <c r="F27" s="374">
        <v>411677779949</v>
      </c>
      <c r="G27" s="97"/>
      <c r="H27" s="87"/>
      <c r="I27" s="135"/>
      <c r="J27" s="87"/>
      <c r="K27" s="87"/>
    </row>
    <row r="28" spans="1:11" ht="12.75">
      <c r="A28" s="72"/>
      <c r="B28" s="88"/>
      <c r="C28" s="369"/>
      <c r="D28" s="372"/>
      <c r="E28" s="369"/>
      <c r="F28" s="369"/>
      <c r="G28" s="97"/>
      <c r="H28" s="689"/>
      <c r="I28" s="135"/>
      <c r="J28" s="87"/>
      <c r="K28" s="87"/>
    </row>
    <row r="29" spans="1:11" ht="12.75">
      <c r="A29" s="72"/>
      <c r="B29" s="88"/>
      <c r="C29" s="369"/>
      <c r="D29" s="372"/>
      <c r="E29" s="369"/>
      <c r="F29" s="369"/>
      <c r="G29" s="97"/>
      <c r="H29" s="87"/>
      <c r="I29" s="65"/>
      <c r="J29" s="87"/>
      <c r="K29" s="87"/>
    </row>
    <row r="30" spans="1:11" ht="13.5" thickBot="1">
      <c r="A30" s="72"/>
      <c r="B30" s="92" t="s">
        <v>615</v>
      </c>
      <c r="C30" s="369"/>
      <c r="D30" s="376">
        <f>+'ANEXO H'!E55</f>
        <v>10926828741</v>
      </c>
      <c r="E30" s="369"/>
      <c r="F30" s="376">
        <v>11961615577</v>
      </c>
      <c r="G30" s="97"/>
      <c r="H30" s="87"/>
      <c r="I30" s="87"/>
      <c r="J30" s="87"/>
      <c r="K30" s="87"/>
    </row>
    <row r="31" spans="1:11" ht="13.5" thickBot="1">
      <c r="A31" s="72"/>
      <c r="B31" s="88" t="s">
        <v>616</v>
      </c>
      <c r="C31" s="369"/>
      <c r="D31" s="376"/>
      <c r="E31" s="369"/>
      <c r="F31" s="376"/>
      <c r="G31" s="97"/>
      <c r="H31" s="87"/>
      <c r="I31" s="87"/>
      <c r="J31" s="87"/>
      <c r="K31" s="87"/>
    </row>
    <row r="32" spans="1:7" ht="13.5" thickBot="1">
      <c r="A32" s="72"/>
      <c r="B32" s="377"/>
      <c r="C32" s="369"/>
      <c r="D32" s="378"/>
      <c r="E32" s="379"/>
      <c r="F32" s="379"/>
      <c r="G32" s="97"/>
    </row>
    <row r="33" spans="1:7" ht="12.75">
      <c r="A33" s="72"/>
      <c r="B33" s="380" t="s">
        <v>298</v>
      </c>
      <c r="C33" s="367"/>
      <c r="D33" s="381"/>
      <c r="E33" s="381"/>
      <c r="F33" s="382"/>
      <c r="G33" s="97"/>
    </row>
    <row r="34" spans="1:8" ht="12.75">
      <c r="A34" s="72"/>
      <c r="B34" s="383" t="s">
        <v>286</v>
      </c>
      <c r="C34" s="384"/>
      <c r="D34" s="375">
        <f>+D27+D30</f>
        <v>456133199490</v>
      </c>
      <c r="E34" s="379"/>
      <c r="F34" s="375">
        <f>+F27+F30</f>
        <v>423639395526</v>
      </c>
      <c r="G34" s="97"/>
      <c r="H34" s="87"/>
    </row>
    <row r="35" spans="1:8" s="387" customFormat="1" ht="14.25">
      <c r="A35" s="385"/>
      <c r="B35" s="72"/>
      <c r="C35" s="184"/>
      <c r="D35" s="184"/>
      <c r="E35" s="184"/>
      <c r="F35" s="184"/>
      <c r="G35" s="97"/>
      <c r="H35" s="386"/>
    </row>
    <row r="36" spans="1:8" ht="12.75">
      <c r="A36" s="72"/>
      <c r="B36" s="72"/>
      <c r="C36" s="184"/>
      <c r="D36" s="184"/>
      <c r="E36" s="184"/>
      <c r="F36" s="184"/>
      <c r="G36" s="97"/>
      <c r="H36" s="87"/>
    </row>
    <row r="37" spans="1:8" ht="12.75">
      <c r="A37" s="72"/>
      <c r="B37" s="388"/>
      <c r="C37" s="193"/>
      <c r="D37" s="181"/>
      <c r="E37" s="184"/>
      <c r="F37" s="184"/>
      <c r="G37" s="97"/>
      <c r="H37" s="87"/>
    </row>
    <row r="38" spans="1:8" ht="12.75">
      <c r="A38" s="72"/>
      <c r="B38" s="73"/>
      <c r="C38" s="193"/>
      <c r="D38" s="184"/>
      <c r="E38" s="193"/>
      <c r="F38" s="193"/>
      <c r="G38" s="75"/>
      <c r="H38" s="87"/>
    </row>
    <row r="39" spans="1:8" ht="12.75">
      <c r="A39" s="286"/>
      <c r="B39" s="389"/>
      <c r="C39" s="390"/>
      <c r="D39" s="150"/>
      <c r="E39" s="150"/>
      <c r="F39" s="150"/>
      <c r="G39" s="151"/>
      <c r="H39" s="87"/>
    </row>
    <row r="40" spans="3:8" ht="12.75">
      <c r="C40" s="391"/>
      <c r="D40" s="391"/>
      <c r="H40" s="87"/>
    </row>
    <row r="41" spans="3:5" ht="12.75">
      <c r="C41" s="392"/>
      <c r="D41" s="87"/>
      <c r="E41" s="136"/>
    </row>
    <row r="42" spans="2:8" ht="12.75">
      <c r="B42" s="87"/>
      <c r="C42" s="393"/>
      <c r="D42" s="135"/>
      <c r="E42" s="103"/>
      <c r="F42" s="103"/>
      <c r="G42" s="271"/>
      <c r="H42" s="135"/>
    </row>
    <row r="43" spans="2:8" ht="12.75">
      <c r="B43" s="87"/>
      <c r="C43" s="394"/>
      <c r="D43" s="135"/>
      <c r="E43" s="103"/>
      <c r="F43" s="284"/>
      <c r="G43" s="271"/>
      <c r="H43" s="271"/>
    </row>
    <row r="44" spans="2:8" ht="12.75">
      <c r="B44" s="87"/>
      <c r="C44" s="394"/>
      <c r="D44" s="135"/>
      <c r="E44" s="103"/>
      <c r="F44" s="284"/>
      <c r="G44" s="271"/>
      <c r="H44" s="271"/>
    </row>
    <row r="45" spans="2:8" ht="12.75">
      <c r="B45" s="87"/>
      <c r="C45" s="393"/>
      <c r="D45" s="135"/>
      <c r="E45" s="103"/>
      <c r="F45" s="103"/>
      <c r="G45" s="271"/>
      <c r="H45" s="271"/>
    </row>
    <row r="46" spans="2:8" ht="12.75">
      <c r="B46" s="87"/>
      <c r="C46" s="393"/>
      <c r="D46" s="135"/>
      <c r="E46" s="103"/>
      <c r="F46" s="284"/>
      <c r="G46" s="271"/>
      <c r="H46" s="271"/>
    </row>
    <row r="47" spans="2:8" ht="12.75">
      <c r="B47" s="87"/>
      <c r="C47" s="393"/>
      <c r="D47" s="135"/>
      <c r="E47" s="103"/>
      <c r="F47" s="284"/>
      <c r="G47" s="271"/>
      <c r="H47" s="271"/>
    </row>
    <row r="48" spans="2:8" ht="12.75">
      <c r="B48" s="87"/>
      <c r="C48" s="393"/>
      <c r="D48" s="135"/>
      <c r="E48" s="103"/>
      <c r="F48" s="284"/>
      <c r="G48" s="271"/>
      <c r="H48" s="271"/>
    </row>
    <row r="49" spans="2:8" ht="12.75">
      <c r="B49" s="87"/>
      <c r="C49" s="395"/>
      <c r="D49" s="135"/>
      <c r="E49" s="103"/>
      <c r="F49" s="284"/>
      <c r="G49" s="271"/>
      <c r="H49" s="271"/>
    </row>
    <row r="50" spans="1:8" ht="12.75">
      <c r="A50" s="355"/>
      <c r="B50" s="87"/>
      <c r="C50" s="395"/>
      <c r="D50" s="135"/>
      <c r="E50" s="284"/>
      <c r="F50" s="284"/>
      <c r="G50" s="271"/>
      <c r="H50" s="271"/>
    </row>
    <row r="51" spans="1:13" ht="12.75">
      <c r="A51" s="355"/>
      <c r="B51" s="87"/>
      <c r="C51" s="395"/>
      <c r="D51" s="135"/>
      <c r="E51" s="284"/>
      <c r="F51" s="284"/>
      <c r="G51" s="271"/>
      <c r="H51" s="271"/>
      <c r="K51" s="135"/>
      <c r="M51" s="69"/>
    </row>
    <row r="52" spans="2:13" ht="12.75">
      <c r="B52" s="87"/>
      <c r="C52" s="395"/>
      <c r="D52" s="135"/>
      <c r="E52" s="284"/>
      <c r="F52" s="284"/>
      <c r="G52" s="271"/>
      <c r="H52" s="271"/>
      <c r="J52" s="396"/>
      <c r="K52" s="135"/>
      <c r="M52" s="69"/>
    </row>
    <row r="53" spans="2:13" ht="12.75">
      <c r="B53" s="87"/>
      <c r="C53" s="395"/>
      <c r="D53" s="135"/>
      <c r="E53" s="284"/>
      <c r="F53" s="284"/>
      <c r="G53" s="271"/>
      <c r="H53" s="271"/>
      <c r="J53" s="396"/>
      <c r="K53" s="397"/>
      <c r="M53" s="69"/>
    </row>
    <row r="54" spans="2:13" ht="12.75">
      <c r="B54" s="87"/>
      <c r="C54" s="398"/>
      <c r="D54" s="135"/>
      <c r="K54" s="135"/>
      <c r="M54" s="69"/>
    </row>
    <row r="55" spans="2:13" ht="12.75">
      <c r="B55" s="65"/>
      <c r="C55" s="398"/>
      <c r="D55" s="87"/>
      <c r="M55" s="69"/>
    </row>
    <row r="56" spans="2:4" ht="12.75">
      <c r="B56" s="87"/>
      <c r="C56" s="395"/>
      <c r="D56" s="271"/>
    </row>
    <row r="57" spans="2:4" ht="12.75">
      <c r="B57" s="396"/>
      <c r="C57" s="395"/>
      <c r="D57" s="271"/>
    </row>
    <row r="58" spans="2:4" ht="12.75">
      <c r="B58" s="396"/>
      <c r="C58" s="399"/>
      <c r="D58" s="271"/>
    </row>
    <row r="59" ht="12.75">
      <c r="C59" s="395"/>
    </row>
    <row r="60" ht="12.75">
      <c r="C60" s="398"/>
    </row>
    <row r="61" ht="12.75">
      <c r="C61" s="398"/>
    </row>
    <row r="62" ht="12.75">
      <c r="C62" s="398"/>
    </row>
    <row r="63" ht="12.75">
      <c r="C63" s="398"/>
    </row>
    <row r="64" ht="12.75">
      <c r="C64" s="398"/>
    </row>
    <row r="65" ht="12.75">
      <c r="C65" s="398"/>
    </row>
    <row r="66" ht="12.75">
      <c r="C66" s="398"/>
    </row>
    <row r="67" ht="12.75">
      <c r="C67" s="398"/>
    </row>
    <row r="68" ht="12.75">
      <c r="C68" s="398"/>
    </row>
    <row r="69" ht="12.75">
      <c r="C69" s="398"/>
    </row>
    <row r="70" ht="12.75">
      <c r="C70" s="398"/>
    </row>
    <row r="71" ht="12.75">
      <c r="C71" s="398"/>
    </row>
    <row r="72" ht="12.75">
      <c r="C72" s="398"/>
    </row>
    <row r="73" ht="12.75">
      <c r="C73" s="398"/>
    </row>
    <row r="74" ht="12.75">
      <c r="C74" s="398"/>
    </row>
  </sheetData>
  <sheetProtection selectLockedCells="1" selectUnlockedCells="1"/>
  <mergeCells count="6">
    <mergeCell ref="B2:F2"/>
    <mergeCell ref="B3:F3"/>
    <mergeCell ref="B5:F5"/>
    <mergeCell ref="B6:F6"/>
    <mergeCell ref="C10:D10"/>
    <mergeCell ref="E10:F10"/>
  </mergeCells>
  <printOptions/>
  <pageMargins left="0.984251968503937" right="0.3937007874015748" top="1.8110236220472442" bottom="1.1811023622047245" header="0.5118110236220472" footer="0.5118110236220472"/>
  <pageSetup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M124"/>
  <sheetViews>
    <sheetView tabSelected="1" zoomScalePageLayoutView="0" workbookViewId="0" topLeftCell="B61">
      <selection activeCell="K8" sqref="K8"/>
    </sheetView>
  </sheetViews>
  <sheetFormatPr defaultColWidth="11.42187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5.8515625" style="0" customWidth="1"/>
    <col min="5" max="5" width="15.7109375" style="529" customWidth="1"/>
    <col min="6" max="6" width="7.421875" style="0" customWidth="1"/>
    <col min="7" max="7" width="16.421875" style="69" customWidth="1"/>
    <col min="8" max="8" width="16.8515625" style="69" customWidth="1"/>
    <col min="9" max="9" width="10.140625" style="0" customWidth="1"/>
    <col min="10" max="10" width="13.8515625" style="0" customWidth="1"/>
  </cols>
  <sheetData>
    <row r="1" spans="1:9" ht="12.75">
      <c r="A1" s="287"/>
      <c r="B1" s="70" t="s">
        <v>30</v>
      </c>
      <c r="C1" s="1063" t="s">
        <v>580</v>
      </c>
      <c r="D1" s="1063"/>
      <c r="E1" s="1063"/>
      <c r="F1" s="1063"/>
      <c r="G1" s="1063"/>
      <c r="H1" s="1063"/>
      <c r="I1" s="71"/>
    </row>
    <row r="2" spans="1:9" ht="12.75">
      <c r="A2" s="180"/>
      <c r="B2" s="72"/>
      <c r="C2" s="1064" t="s">
        <v>299</v>
      </c>
      <c r="D2" s="1064"/>
      <c r="E2" s="1064"/>
      <c r="F2" s="1064"/>
      <c r="G2" s="1064"/>
      <c r="H2" s="1064"/>
      <c r="I2" s="75"/>
    </row>
    <row r="3" spans="1:9" ht="12.75">
      <c r="A3" s="180"/>
      <c r="B3" s="72"/>
      <c r="C3" s="79"/>
      <c r="D3" s="400"/>
      <c r="E3" s="516"/>
      <c r="F3" s="400"/>
      <c r="G3" s="400"/>
      <c r="H3" s="330" t="s">
        <v>300</v>
      </c>
      <c r="I3" s="75"/>
    </row>
    <row r="4" spans="1:9" ht="12.75">
      <c r="A4" s="180"/>
      <c r="B4" s="72"/>
      <c r="C4" s="1010" t="s">
        <v>301</v>
      </c>
      <c r="D4" s="1010"/>
      <c r="E4" s="1010"/>
      <c r="F4" s="1010"/>
      <c r="G4" s="1010"/>
      <c r="H4" s="1010"/>
      <c r="I4" s="75"/>
    </row>
    <row r="5" spans="1:9" s="271" customFormat="1" ht="12">
      <c r="A5" s="338"/>
      <c r="B5" s="88"/>
      <c r="C5" s="345"/>
      <c r="D5" s="1065" t="s">
        <v>302</v>
      </c>
      <c r="E5" s="1065"/>
      <c r="F5" s="276" t="s">
        <v>303</v>
      </c>
      <c r="G5" s="1065" t="s">
        <v>304</v>
      </c>
      <c r="H5" s="1065"/>
      <c r="I5" s="346"/>
    </row>
    <row r="6" spans="1:9" s="271" customFormat="1" ht="12">
      <c r="A6" s="338"/>
      <c r="B6" s="88"/>
      <c r="C6" s="279" t="s">
        <v>287</v>
      </c>
      <c r="D6" s="274" t="s">
        <v>185</v>
      </c>
      <c r="E6" s="517" t="s">
        <v>305</v>
      </c>
      <c r="F6" s="279" t="s">
        <v>306</v>
      </c>
      <c r="G6" s="401">
        <v>43830</v>
      </c>
      <c r="H6" s="401">
        <v>43465</v>
      </c>
      <c r="I6" s="346"/>
    </row>
    <row r="7" spans="1:9" s="271" customFormat="1" ht="12">
      <c r="A7" s="338" t="s">
        <v>30</v>
      </c>
      <c r="B7" s="88"/>
      <c r="C7" s="402" t="s">
        <v>1</v>
      </c>
      <c r="D7" s="280"/>
      <c r="E7" s="518"/>
      <c r="F7" s="280"/>
      <c r="G7" s="280"/>
      <c r="H7" s="280"/>
      <c r="I7" s="346"/>
    </row>
    <row r="8" spans="1:9" s="271" customFormat="1" ht="12">
      <c r="A8" s="338"/>
      <c r="B8" s="88"/>
      <c r="C8" s="403" t="s">
        <v>307</v>
      </c>
      <c r="D8" s="280"/>
      <c r="E8" s="519"/>
      <c r="F8" s="281"/>
      <c r="G8" s="281"/>
      <c r="H8" s="281"/>
      <c r="I8" s="346"/>
    </row>
    <row r="9" spans="1:9" s="271" customFormat="1" ht="12">
      <c r="A9" s="338"/>
      <c r="B9" s="88"/>
      <c r="C9" s="148" t="s">
        <v>308</v>
      </c>
      <c r="D9" s="333" t="s">
        <v>309</v>
      </c>
      <c r="E9" s="639">
        <f>76460864/F9</f>
        <v>10594.549535818207</v>
      </c>
      <c r="F9" s="404">
        <v>7217</v>
      </c>
      <c r="G9" s="281">
        <f aca="true" t="shared" si="0" ref="G9:G14">+E9*F9</f>
        <v>76460864</v>
      </c>
      <c r="H9" s="281">
        <v>72384972</v>
      </c>
      <c r="I9" s="346"/>
    </row>
    <row r="10" spans="1:9" s="271" customFormat="1" ht="12">
      <c r="A10" s="338"/>
      <c r="B10" s="88"/>
      <c r="C10" s="148" t="s">
        <v>310</v>
      </c>
      <c r="D10" s="333" t="s">
        <v>309</v>
      </c>
      <c r="E10" s="639">
        <f>44490955/F10</f>
        <v>6164.743660800887</v>
      </c>
      <c r="F10" s="404">
        <v>7217</v>
      </c>
      <c r="G10" s="281">
        <f t="shared" si="0"/>
        <v>44490955</v>
      </c>
      <c r="H10" s="281">
        <v>42119280</v>
      </c>
      <c r="I10" s="346"/>
    </row>
    <row r="11" spans="1:9" s="271" customFormat="1" ht="12" hidden="1">
      <c r="A11" s="338"/>
      <c r="B11" s="88"/>
      <c r="C11" s="148" t="s">
        <v>311</v>
      </c>
      <c r="D11" s="333" t="s">
        <v>309</v>
      </c>
      <c r="E11" s="638">
        <v>0</v>
      </c>
      <c r="F11" s="404">
        <v>6296</v>
      </c>
      <c r="G11" s="281">
        <f t="shared" si="0"/>
        <v>0</v>
      </c>
      <c r="H11" s="281">
        <v>0</v>
      </c>
      <c r="I11" s="346"/>
    </row>
    <row r="12" spans="1:9" s="271" customFormat="1" ht="12" hidden="1">
      <c r="A12" s="338"/>
      <c r="B12" s="88"/>
      <c r="C12" s="148" t="s">
        <v>312</v>
      </c>
      <c r="D12" s="333" t="s">
        <v>309</v>
      </c>
      <c r="E12" s="638">
        <v>0</v>
      </c>
      <c r="F12" s="404">
        <v>6296</v>
      </c>
      <c r="G12" s="281">
        <f t="shared" si="0"/>
        <v>0</v>
      </c>
      <c r="H12" s="281">
        <v>0</v>
      </c>
      <c r="I12" s="346"/>
    </row>
    <row r="13" spans="1:9" s="271" customFormat="1" ht="12" hidden="1">
      <c r="A13" s="338"/>
      <c r="B13" s="88"/>
      <c r="C13" s="148" t="s">
        <v>312</v>
      </c>
      <c r="D13" s="333" t="s">
        <v>309</v>
      </c>
      <c r="E13" s="638">
        <v>0</v>
      </c>
      <c r="F13" s="404">
        <v>5147</v>
      </c>
      <c r="G13" s="281">
        <f t="shared" si="0"/>
        <v>0</v>
      </c>
      <c r="H13" s="281">
        <v>0</v>
      </c>
      <c r="I13" s="346"/>
    </row>
    <row r="14" spans="1:9" s="271" customFormat="1" ht="12" hidden="1">
      <c r="A14" s="338"/>
      <c r="B14" s="88"/>
      <c r="C14" s="148" t="s">
        <v>313</v>
      </c>
      <c r="D14" s="333" t="s">
        <v>309</v>
      </c>
      <c r="E14" s="638">
        <v>0</v>
      </c>
      <c r="F14" s="404">
        <v>5147</v>
      </c>
      <c r="G14" s="281">
        <f t="shared" si="0"/>
        <v>0</v>
      </c>
      <c r="H14" s="281">
        <v>0</v>
      </c>
      <c r="I14" s="346"/>
    </row>
    <row r="15" spans="1:9" s="271" customFormat="1" ht="12">
      <c r="A15" s="338"/>
      <c r="B15" s="88"/>
      <c r="C15" s="167" t="s">
        <v>143</v>
      </c>
      <c r="D15" s="333"/>
      <c r="E15" s="640">
        <f>SUM(E9:E14)</f>
        <v>16759.293196619095</v>
      </c>
      <c r="F15" s="404"/>
      <c r="G15" s="405">
        <f>SUM(G9:G14)</f>
        <v>120951819</v>
      </c>
      <c r="H15" s="405">
        <f>SUM(H9:H14)</f>
        <v>114504252</v>
      </c>
      <c r="I15" s="346"/>
    </row>
    <row r="16" spans="1:9" s="271" customFormat="1" ht="12">
      <c r="A16" s="338"/>
      <c r="B16" s="88"/>
      <c r="C16" s="167"/>
      <c r="D16" s="333"/>
      <c r="E16" s="638"/>
      <c r="F16" s="404"/>
      <c r="G16" s="281"/>
      <c r="H16" s="281"/>
      <c r="I16" s="346"/>
    </row>
    <row r="17" spans="1:9" s="271" customFormat="1" ht="12" hidden="1">
      <c r="A17" s="338"/>
      <c r="B17" s="88"/>
      <c r="C17" s="148" t="s">
        <v>313</v>
      </c>
      <c r="D17" s="333" t="s">
        <v>314</v>
      </c>
      <c r="E17" s="638">
        <v>0</v>
      </c>
      <c r="F17" s="404">
        <v>1418</v>
      </c>
      <c r="G17" s="281">
        <v>0</v>
      </c>
      <c r="H17" s="281">
        <v>0</v>
      </c>
      <c r="I17" s="346"/>
    </row>
    <row r="18" spans="1:9" s="271" customFormat="1" ht="12" hidden="1">
      <c r="A18" s="338"/>
      <c r="B18" s="88"/>
      <c r="C18" s="167" t="s">
        <v>143</v>
      </c>
      <c r="D18" s="333"/>
      <c r="E18" s="640">
        <v>0</v>
      </c>
      <c r="F18" s="404"/>
      <c r="G18" s="405">
        <f>SUM(G17:G17)</f>
        <v>0</v>
      </c>
      <c r="H18" s="405">
        <v>0</v>
      </c>
      <c r="I18" s="346"/>
    </row>
    <row r="19" spans="1:9" s="271" customFormat="1" ht="12" hidden="1">
      <c r="A19" s="338"/>
      <c r="B19" s="88"/>
      <c r="C19" s="148" t="s">
        <v>313</v>
      </c>
      <c r="D19" s="333" t="s">
        <v>315</v>
      </c>
      <c r="E19" s="638">
        <v>0</v>
      </c>
      <c r="F19" s="404">
        <v>529</v>
      </c>
      <c r="G19" s="281">
        <f>+E19*F19</f>
        <v>0</v>
      </c>
      <c r="H19" s="281">
        <v>0</v>
      </c>
      <c r="I19" s="346"/>
    </row>
    <row r="20" spans="1:9" s="271" customFormat="1" ht="12" hidden="1">
      <c r="A20" s="338"/>
      <c r="B20" s="88"/>
      <c r="C20" s="167" t="s">
        <v>143</v>
      </c>
      <c r="D20" s="333"/>
      <c r="E20" s="640">
        <f>SUM(E19)</f>
        <v>0</v>
      </c>
      <c r="F20" s="404"/>
      <c r="G20" s="405">
        <f>SUM(G19:G19)</f>
        <v>0</v>
      </c>
      <c r="H20" s="405">
        <v>0</v>
      </c>
      <c r="I20" s="346"/>
    </row>
    <row r="21" spans="1:9" s="271" customFormat="1" ht="12">
      <c r="A21" s="338"/>
      <c r="B21" s="88"/>
      <c r="C21" s="167"/>
      <c r="D21" s="333"/>
      <c r="E21" s="638"/>
      <c r="F21" s="404"/>
      <c r="G21" s="281"/>
      <c r="H21" s="281"/>
      <c r="I21" s="346"/>
    </row>
    <row r="22" spans="1:9" s="271" customFormat="1" ht="12">
      <c r="A22" s="338"/>
      <c r="B22" s="88"/>
      <c r="C22" s="148" t="s">
        <v>316</v>
      </c>
      <c r="D22" s="333" t="s">
        <v>317</v>
      </c>
      <c r="E22" s="639">
        <f>221586247/F22</f>
        <v>34397.11999379075</v>
      </c>
      <c r="F22" s="404">
        <v>6442</v>
      </c>
      <c r="G22" s="281">
        <f>E22*F22</f>
        <v>221586247.00000003</v>
      </c>
      <c r="H22" s="281">
        <v>205006835</v>
      </c>
      <c r="I22" s="346"/>
    </row>
    <row r="23" spans="1:9" s="271" customFormat="1" ht="12">
      <c r="A23" s="338"/>
      <c r="B23" s="88"/>
      <c r="C23" s="148" t="s">
        <v>318</v>
      </c>
      <c r="D23" s="333" t="s">
        <v>317</v>
      </c>
      <c r="E23" s="639">
        <f>4206047057/F23</f>
        <v>652910.1299285936</v>
      </c>
      <c r="F23" s="404">
        <v>6442</v>
      </c>
      <c r="G23" s="281">
        <f>E23*F23</f>
        <v>4206047057</v>
      </c>
      <c r="H23" s="281">
        <v>1639697796.9999998</v>
      </c>
      <c r="I23" s="346"/>
    </row>
    <row r="24" spans="1:9" s="271" customFormat="1" ht="12">
      <c r="A24" s="338"/>
      <c r="B24" s="88"/>
      <c r="C24" s="148" t="s">
        <v>310</v>
      </c>
      <c r="D24" s="333" t="s">
        <v>317</v>
      </c>
      <c r="E24" s="639">
        <f>23973066/F24</f>
        <v>3721.3700714063957</v>
      </c>
      <c r="F24" s="404">
        <v>6442</v>
      </c>
      <c r="G24" s="281">
        <f>E24*F24</f>
        <v>23973066</v>
      </c>
      <c r="H24" s="281">
        <v>280744966</v>
      </c>
      <c r="I24" s="346"/>
    </row>
    <row r="25" spans="1:13" s="271" customFormat="1" ht="12">
      <c r="A25" s="338"/>
      <c r="B25" s="88"/>
      <c r="C25" s="148" t="s">
        <v>319</v>
      </c>
      <c r="D25" s="333" t="s">
        <v>317</v>
      </c>
      <c r="E25" s="639">
        <f>19326000/F25</f>
        <v>3000</v>
      </c>
      <c r="F25" s="404">
        <v>6442</v>
      </c>
      <c r="G25" s="281">
        <f>E25*F25</f>
        <v>19326000</v>
      </c>
      <c r="H25" s="281">
        <v>17880000</v>
      </c>
      <c r="I25" s="346"/>
      <c r="J25" s="341"/>
      <c r="K25" s="406"/>
      <c r="L25" s="341"/>
      <c r="M25" s="341"/>
    </row>
    <row r="26" spans="1:13" s="271" customFormat="1" ht="12">
      <c r="A26" s="338"/>
      <c r="B26" s="88"/>
      <c r="C26" s="148" t="s">
        <v>320</v>
      </c>
      <c r="D26" s="333" t="s">
        <v>317</v>
      </c>
      <c r="E26" s="639">
        <f>61682343/F26</f>
        <v>9575.029959639864</v>
      </c>
      <c r="F26" s="404">
        <v>6442</v>
      </c>
      <c r="G26" s="281">
        <f aca="true" t="shared" si="1" ref="G26:G32">+F26*E26</f>
        <v>61682343</v>
      </c>
      <c r="H26" s="281">
        <v>59600000</v>
      </c>
      <c r="I26" s="346"/>
      <c r="J26" s="341"/>
      <c r="K26" s="407"/>
      <c r="L26" s="341"/>
      <c r="M26" s="341"/>
    </row>
    <row r="27" spans="1:13" s="271" customFormat="1" ht="12">
      <c r="A27" s="338"/>
      <c r="B27" s="88"/>
      <c r="C27" s="148" t="s">
        <v>321</v>
      </c>
      <c r="D27" s="333" t="s">
        <v>317</v>
      </c>
      <c r="E27" s="639">
        <f>20319020579/F27</f>
        <v>3154147.8700714065</v>
      </c>
      <c r="F27" s="404">
        <v>6442</v>
      </c>
      <c r="G27" s="281">
        <f t="shared" si="1"/>
        <v>20319020579</v>
      </c>
      <c r="H27" s="281">
        <v>11633749961</v>
      </c>
      <c r="I27" s="346"/>
      <c r="J27" s="341"/>
      <c r="K27" s="407"/>
      <c r="L27" s="341"/>
      <c r="M27" s="341"/>
    </row>
    <row r="28" spans="1:13" s="271" customFormat="1" ht="12">
      <c r="A28" s="338"/>
      <c r="B28" s="88"/>
      <c r="C28" s="148" t="s">
        <v>322</v>
      </c>
      <c r="D28" s="333" t="s">
        <v>317</v>
      </c>
      <c r="E28" s="639">
        <f>32210000/F28</f>
        <v>5000</v>
      </c>
      <c r="F28" s="404">
        <v>6442</v>
      </c>
      <c r="G28" s="281">
        <f>+F28*E28</f>
        <v>32210000</v>
      </c>
      <c r="H28" s="281">
        <v>16987609</v>
      </c>
      <c r="I28" s="346"/>
      <c r="J28" s="341"/>
      <c r="K28" s="407"/>
      <c r="L28" s="341"/>
      <c r="M28" s="341"/>
    </row>
    <row r="29" spans="1:13" s="271" customFormat="1" ht="12">
      <c r="A29" s="338"/>
      <c r="B29" s="88"/>
      <c r="C29" s="148" t="s">
        <v>323</v>
      </c>
      <c r="D29" s="333" t="s">
        <v>317</v>
      </c>
      <c r="E29" s="639">
        <f>383569049/F29</f>
        <v>59541.92005588327</v>
      </c>
      <c r="F29" s="404">
        <v>6442</v>
      </c>
      <c r="G29" s="281">
        <f t="shared" si="1"/>
        <v>383569049</v>
      </c>
      <c r="H29" s="281">
        <v>168224218</v>
      </c>
      <c r="I29" s="346"/>
      <c r="J29" s="341"/>
      <c r="K29" s="105"/>
      <c r="L29" s="341"/>
      <c r="M29" s="341"/>
    </row>
    <row r="30" spans="1:13" s="271" customFormat="1" ht="12">
      <c r="A30" s="338"/>
      <c r="B30" s="88"/>
      <c r="C30" s="148" t="s">
        <v>324</v>
      </c>
      <c r="D30" s="333" t="s">
        <v>317</v>
      </c>
      <c r="E30" s="639">
        <f>88100212/F30</f>
        <v>13675.909965849116</v>
      </c>
      <c r="F30" s="404">
        <v>6442</v>
      </c>
      <c r="G30" s="281">
        <f t="shared" si="1"/>
        <v>88100212</v>
      </c>
      <c r="H30" s="281">
        <v>113211213.00000001</v>
      </c>
      <c r="I30" s="346"/>
      <c r="J30" s="341"/>
      <c r="K30" s="341"/>
      <c r="L30" s="341"/>
      <c r="M30" s="341"/>
    </row>
    <row r="31" spans="1:13" s="271" customFormat="1" ht="12">
      <c r="A31" s="338"/>
      <c r="B31" s="88"/>
      <c r="C31" s="148" t="s">
        <v>308</v>
      </c>
      <c r="D31" s="333" t="s">
        <v>317</v>
      </c>
      <c r="E31" s="639">
        <f>2230566529/F31</f>
        <v>346253.7300527786</v>
      </c>
      <c r="F31" s="404">
        <v>6442</v>
      </c>
      <c r="G31" s="281">
        <f t="shared" si="1"/>
        <v>2230566529</v>
      </c>
      <c r="H31" s="281">
        <v>1588370276.9999998</v>
      </c>
      <c r="I31" s="346"/>
      <c r="J31" s="341"/>
      <c r="K31" s="341"/>
      <c r="L31" s="341"/>
      <c r="M31" s="341"/>
    </row>
    <row r="32" spans="1:13" s="271" customFormat="1" ht="12" hidden="1">
      <c r="A32" s="338"/>
      <c r="B32" s="88"/>
      <c r="C32" s="148" t="s">
        <v>325</v>
      </c>
      <c r="D32" s="333" t="s">
        <v>317</v>
      </c>
      <c r="E32" s="639">
        <v>0</v>
      </c>
      <c r="F32" s="404">
        <v>6442</v>
      </c>
      <c r="G32" s="281">
        <f t="shared" si="1"/>
        <v>0</v>
      </c>
      <c r="H32" s="281">
        <v>0</v>
      </c>
      <c r="I32" s="346"/>
      <c r="J32" s="341"/>
      <c r="K32" s="341"/>
      <c r="L32" s="341"/>
      <c r="M32" s="341"/>
    </row>
    <row r="33" spans="1:13" s="271" customFormat="1" ht="12">
      <c r="A33" s="338"/>
      <c r="B33" s="88"/>
      <c r="C33" s="148" t="s">
        <v>325</v>
      </c>
      <c r="D33" s="333" t="s">
        <v>317</v>
      </c>
      <c r="E33" s="639">
        <f>57822361/F33</f>
        <v>8975.839956535237</v>
      </c>
      <c r="F33" s="404">
        <v>6442</v>
      </c>
      <c r="G33" s="281">
        <f>E33*F33</f>
        <v>57822361</v>
      </c>
      <c r="H33" s="281">
        <v>59650779.99999999</v>
      </c>
      <c r="I33" s="346"/>
      <c r="J33" s="341"/>
      <c r="K33" s="341"/>
      <c r="L33" s="341"/>
      <c r="M33" s="341"/>
    </row>
    <row r="34" spans="1:13" s="271" customFormat="1" ht="12">
      <c r="A34" s="338"/>
      <c r="B34" s="88"/>
      <c r="C34" s="148" t="s">
        <v>326</v>
      </c>
      <c r="D34" s="333" t="s">
        <v>317</v>
      </c>
      <c r="E34" s="639">
        <f>2095847431/F34</f>
        <v>325341.1100589879</v>
      </c>
      <c r="F34" s="404">
        <v>6442</v>
      </c>
      <c r="G34" s="281">
        <f aca="true" t="shared" si="2" ref="G34:G40">+F34*E34</f>
        <v>2095847431.0000002</v>
      </c>
      <c r="H34" s="281">
        <v>538068800</v>
      </c>
      <c r="I34" s="346"/>
      <c r="J34" s="341"/>
      <c r="K34" s="105"/>
      <c r="L34" s="341"/>
      <c r="M34" s="341"/>
    </row>
    <row r="35" spans="1:13" s="271" customFormat="1" ht="12">
      <c r="A35" s="338"/>
      <c r="B35" s="88"/>
      <c r="C35" s="148" t="s">
        <v>327</v>
      </c>
      <c r="D35" s="333" t="s">
        <v>317</v>
      </c>
      <c r="E35" s="639">
        <f>140090116/F35</f>
        <v>21746.370071406396</v>
      </c>
      <c r="F35" s="404">
        <v>6442</v>
      </c>
      <c r="G35" s="281">
        <f>+F35*E35</f>
        <v>140090116</v>
      </c>
      <c r="H35" s="281">
        <v>165064405</v>
      </c>
      <c r="I35" s="346"/>
      <c r="J35" s="341"/>
      <c r="K35" s="105"/>
      <c r="L35" s="341"/>
      <c r="M35" s="341"/>
    </row>
    <row r="36" spans="1:13" s="271" customFormat="1" ht="12">
      <c r="A36" s="338"/>
      <c r="B36" s="88"/>
      <c r="C36" s="148" t="s">
        <v>575</v>
      </c>
      <c r="D36" s="333" t="s">
        <v>317</v>
      </c>
      <c r="E36" s="639">
        <f>64398741/F36</f>
        <v>9996.699937907482</v>
      </c>
      <c r="F36" s="404">
        <v>6442</v>
      </c>
      <c r="G36" s="281">
        <f t="shared" si="2"/>
        <v>64398741</v>
      </c>
      <c r="H36" s="281">
        <v>59580332.00000001</v>
      </c>
      <c r="I36" s="346"/>
      <c r="J36" s="341"/>
      <c r="K36" s="105"/>
      <c r="L36" s="341"/>
      <c r="M36" s="341"/>
    </row>
    <row r="37" spans="1:13" s="271" customFormat="1" ht="12">
      <c r="A37" s="338"/>
      <c r="B37" s="88"/>
      <c r="C37" s="148" t="s">
        <v>529</v>
      </c>
      <c r="D37" s="333" t="s">
        <v>317</v>
      </c>
      <c r="E37" s="639">
        <f>6442000/F37</f>
        <v>1000</v>
      </c>
      <c r="F37" s="404">
        <v>6442</v>
      </c>
      <c r="G37" s="281">
        <f t="shared" si="2"/>
        <v>6442000</v>
      </c>
      <c r="H37" s="281">
        <v>5960000</v>
      </c>
      <c r="I37" s="346"/>
      <c r="J37" s="341"/>
      <c r="K37" s="105"/>
      <c r="L37" s="341"/>
      <c r="M37" s="341"/>
    </row>
    <row r="38" spans="1:13" s="271" customFormat="1" ht="12">
      <c r="A38" s="338"/>
      <c r="B38" s="88"/>
      <c r="C38" s="148" t="s">
        <v>528</v>
      </c>
      <c r="D38" s="333" t="s">
        <v>317</v>
      </c>
      <c r="E38" s="639">
        <f>56257342/F38</f>
        <v>8732.90003104626</v>
      </c>
      <c r="F38" s="404">
        <v>6442</v>
      </c>
      <c r="G38" s="281">
        <f t="shared" si="2"/>
        <v>56257342.00000001</v>
      </c>
      <c r="H38" s="281">
        <v>83008854</v>
      </c>
      <c r="I38" s="346"/>
      <c r="J38" s="341"/>
      <c r="K38" s="105"/>
      <c r="L38" s="341"/>
      <c r="M38" s="341"/>
    </row>
    <row r="39" spans="1:13" s="271" customFormat="1" ht="12">
      <c r="A39" s="338"/>
      <c r="B39" s="88"/>
      <c r="C39" s="148" t="s">
        <v>530</v>
      </c>
      <c r="D39" s="333" t="s">
        <v>317</v>
      </c>
      <c r="E39" s="639">
        <f>19326000/F39</f>
        <v>3000</v>
      </c>
      <c r="F39" s="404">
        <v>6442</v>
      </c>
      <c r="G39" s="281">
        <f t="shared" si="2"/>
        <v>19326000</v>
      </c>
      <c r="H39" s="281">
        <v>17880000</v>
      </c>
      <c r="I39" s="346"/>
      <c r="J39" s="341"/>
      <c r="K39" s="105"/>
      <c r="L39" s="341"/>
      <c r="M39" s="341"/>
    </row>
    <row r="40" spans="1:12" s="271" customFormat="1" ht="12">
      <c r="A40" s="338"/>
      <c r="B40" s="88"/>
      <c r="C40" s="148" t="s">
        <v>328</v>
      </c>
      <c r="D40" s="333" t="s">
        <v>317</v>
      </c>
      <c r="E40" s="639">
        <f>3134137296/F40</f>
        <v>486516.1900031046</v>
      </c>
      <c r="F40" s="404">
        <v>6442</v>
      </c>
      <c r="G40" s="281">
        <f t="shared" si="2"/>
        <v>3134137296</v>
      </c>
      <c r="H40" s="281">
        <v>599052831</v>
      </c>
      <c r="I40" s="346"/>
      <c r="K40" s="105"/>
      <c r="L40" s="341"/>
    </row>
    <row r="41" spans="1:9" s="271" customFormat="1" ht="12">
      <c r="A41" s="338"/>
      <c r="B41" s="88"/>
      <c r="C41" s="148" t="s">
        <v>312</v>
      </c>
      <c r="D41" s="333" t="s">
        <v>317</v>
      </c>
      <c r="E41" s="639">
        <v>19807440.46</v>
      </c>
      <c r="F41" s="404">
        <v>6442</v>
      </c>
      <c r="G41" s="281">
        <f>+E41*F41</f>
        <v>127599531443.32</v>
      </c>
      <c r="H41" s="281">
        <v>56633181910.8</v>
      </c>
      <c r="I41" s="346"/>
    </row>
    <row r="42" spans="1:9" s="271" customFormat="1" ht="12">
      <c r="A42" s="338"/>
      <c r="B42" s="88"/>
      <c r="C42" s="148" t="s">
        <v>329</v>
      </c>
      <c r="D42" s="333" t="s">
        <v>317</v>
      </c>
      <c r="E42" s="639">
        <f>7517309142/F42</f>
        <v>1166921.6302390562</v>
      </c>
      <c r="F42" s="404">
        <v>6442</v>
      </c>
      <c r="G42" s="281">
        <f aca="true" t="shared" si="3" ref="G42:G49">+E42*F42</f>
        <v>7517309142</v>
      </c>
      <c r="H42" s="281">
        <v>4799588775</v>
      </c>
      <c r="I42" s="346"/>
    </row>
    <row r="43" spans="1:9" s="271" customFormat="1" ht="12" hidden="1">
      <c r="A43" s="338"/>
      <c r="B43" s="88"/>
      <c r="C43" s="148" t="s">
        <v>330</v>
      </c>
      <c r="D43" s="333" t="s">
        <v>317</v>
      </c>
      <c r="E43" s="638">
        <v>0</v>
      </c>
      <c r="F43" s="404">
        <v>6442</v>
      </c>
      <c r="G43" s="281">
        <f t="shared" si="3"/>
        <v>0</v>
      </c>
      <c r="H43" s="281">
        <v>0</v>
      </c>
      <c r="I43" s="346"/>
    </row>
    <row r="44" spans="1:9" s="271" customFormat="1" ht="12" hidden="1">
      <c r="A44" s="338"/>
      <c r="B44" s="88"/>
      <c r="C44" s="148" t="s">
        <v>331</v>
      </c>
      <c r="D44" s="333" t="s">
        <v>317</v>
      </c>
      <c r="E44" s="638">
        <v>0</v>
      </c>
      <c r="F44" s="404">
        <v>6442</v>
      </c>
      <c r="G44" s="281">
        <f t="shared" si="3"/>
        <v>0</v>
      </c>
      <c r="H44" s="281">
        <v>0</v>
      </c>
      <c r="I44" s="346"/>
    </row>
    <row r="45" spans="1:9" s="271" customFormat="1" ht="10.5" customHeight="1">
      <c r="A45" s="338"/>
      <c r="B45" s="88"/>
      <c r="C45" s="148" t="s">
        <v>332</v>
      </c>
      <c r="D45" s="333" t="s">
        <v>317</v>
      </c>
      <c r="E45" s="641">
        <f>16841900/F45</f>
        <v>2614.389941012108</v>
      </c>
      <c r="F45" s="404">
        <v>6442</v>
      </c>
      <c r="G45" s="281">
        <f t="shared" si="3"/>
        <v>16841900</v>
      </c>
      <c r="H45" s="281">
        <v>43888784</v>
      </c>
      <c r="I45" s="346"/>
    </row>
    <row r="46" spans="1:9" s="271" customFormat="1" ht="10.5" customHeight="1">
      <c r="A46" s="338"/>
      <c r="B46" s="88"/>
      <c r="C46" s="148" t="s">
        <v>333</v>
      </c>
      <c r="D46" s="333" t="s">
        <v>317</v>
      </c>
      <c r="E46" s="641">
        <f>548508986/F46</f>
        <v>85145.7600124185</v>
      </c>
      <c r="F46" s="404">
        <v>6442</v>
      </c>
      <c r="G46" s="281">
        <f t="shared" si="3"/>
        <v>548508986</v>
      </c>
      <c r="H46" s="281">
        <v>700429690</v>
      </c>
      <c r="I46" s="346"/>
    </row>
    <row r="47" spans="1:9" s="271" customFormat="1" ht="10.5" customHeight="1">
      <c r="A47" s="338"/>
      <c r="B47" s="88"/>
      <c r="C47" s="148" t="s">
        <v>559</v>
      </c>
      <c r="D47" s="333" t="s">
        <v>317</v>
      </c>
      <c r="E47" s="641">
        <v>707303.56</v>
      </c>
      <c r="F47" s="404">
        <v>6442</v>
      </c>
      <c r="G47" s="281">
        <f>+E47*F47</f>
        <v>4556449533.52</v>
      </c>
      <c r="H47" s="281">
        <v>0</v>
      </c>
      <c r="I47" s="346"/>
    </row>
    <row r="48" spans="1:9" s="271" customFormat="1" ht="10.5" customHeight="1">
      <c r="A48" s="338"/>
      <c r="B48" s="88"/>
      <c r="C48" s="148" t="s">
        <v>607</v>
      </c>
      <c r="D48" s="333" t="s">
        <v>317</v>
      </c>
      <c r="E48" s="641">
        <v>71558.34</v>
      </c>
      <c r="F48" s="404">
        <v>6442</v>
      </c>
      <c r="G48" s="281">
        <f>E48*F48</f>
        <v>460978826.28</v>
      </c>
      <c r="H48" s="281">
        <v>0</v>
      </c>
      <c r="I48" s="346"/>
    </row>
    <row r="49" spans="1:9" s="271" customFormat="1" ht="12">
      <c r="A49" s="338"/>
      <c r="B49" s="88"/>
      <c r="C49" s="148" t="s">
        <v>334</v>
      </c>
      <c r="D49" s="333" t="s">
        <v>317</v>
      </c>
      <c r="E49" s="641">
        <f>157345850/F49</f>
        <v>24425</v>
      </c>
      <c r="F49" s="404">
        <v>6442</v>
      </c>
      <c r="G49" s="281">
        <f t="shared" si="3"/>
        <v>157345850</v>
      </c>
      <c r="H49" s="281">
        <v>145573000</v>
      </c>
      <c r="I49" s="346"/>
    </row>
    <row r="50" spans="1:9" s="271" customFormat="1" ht="12">
      <c r="A50" s="338"/>
      <c r="B50" s="88"/>
      <c r="C50" s="148" t="s">
        <v>206</v>
      </c>
      <c r="D50" s="333" t="s">
        <v>317</v>
      </c>
      <c r="E50" s="641">
        <f>13354381956/F50</f>
        <v>2073018</v>
      </c>
      <c r="F50" s="404">
        <v>6442</v>
      </c>
      <c r="G50" s="281">
        <f>E50*F50</f>
        <v>13354381956</v>
      </c>
      <c r="H50" s="281">
        <v>11602904160</v>
      </c>
      <c r="I50" s="346"/>
    </row>
    <row r="51" spans="1:9" s="271" customFormat="1" ht="12">
      <c r="A51" s="338"/>
      <c r="B51" s="88"/>
      <c r="C51" s="148" t="s">
        <v>550</v>
      </c>
      <c r="D51" s="333" t="s">
        <v>317</v>
      </c>
      <c r="E51" s="641">
        <v>0</v>
      </c>
      <c r="F51" s="404">
        <v>6442</v>
      </c>
      <c r="G51" s="281">
        <f>E51*F51</f>
        <v>0</v>
      </c>
      <c r="H51" s="281">
        <v>41824300000</v>
      </c>
      <c r="I51" s="346"/>
    </row>
    <row r="52" spans="1:9" s="271" customFormat="1" ht="12">
      <c r="A52" s="338"/>
      <c r="B52" s="88"/>
      <c r="C52" s="148" t="s">
        <v>553</v>
      </c>
      <c r="D52" s="333" t="s">
        <v>317</v>
      </c>
      <c r="E52" s="638">
        <f>30921600000/F52</f>
        <v>4800000</v>
      </c>
      <c r="F52" s="404">
        <v>6442</v>
      </c>
      <c r="G52" s="281">
        <f>E52*F52</f>
        <v>30921600000</v>
      </c>
      <c r="H52" s="281">
        <v>0</v>
      </c>
      <c r="I52" s="346"/>
    </row>
    <row r="53" spans="1:9" s="271" customFormat="1" ht="12" hidden="1">
      <c r="A53" s="338"/>
      <c r="B53" s="88"/>
      <c r="C53" s="148" t="s">
        <v>335</v>
      </c>
      <c r="D53" s="333" t="s">
        <v>317</v>
      </c>
      <c r="E53" s="638">
        <v>0</v>
      </c>
      <c r="F53" s="404">
        <v>6442</v>
      </c>
      <c r="G53" s="281">
        <f>E53*F53</f>
        <v>0</v>
      </c>
      <c r="H53" s="281">
        <v>0</v>
      </c>
      <c r="I53" s="346"/>
    </row>
    <row r="54" spans="1:9" s="271" customFormat="1" ht="12" hidden="1">
      <c r="A54" s="338"/>
      <c r="B54" s="88"/>
      <c r="C54" s="148" t="s">
        <v>336</v>
      </c>
      <c r="D54" s="333" t="s">
        <v>317</v>
      </c>
      <c r="E54" s="639">
        <v>0</v>
      </c>
      <c r="F54" s="404">
        <v>6442</v>
      </c>
      <c r="G54" s="281">
        <f>E54*F54</f>
        <v>0</v>
      </c>
      <c r="H54" s="281">
        <v>0</v>
      </c>
      <c r="I54" s="346"/>
    </row>
    <row r="55" spans="1:9" s="271" customFormat="1" ht="12">
      <c r="A55" s="338"/>
      <c r="B55" s="88"/>
      <c r="C55" s="275" t="s">
        <v>143</v>
      </c>
      <c r="D55" s="333"/>
      <c r="E55" s="520">
        <f>SUM(E22:E54)</f>
        <v>33885959.330350816</v>
      </c>
      <c r="F55" s="520"/>
      <c r="G55" s="520">
        <f>SUM(G22:G54)</f>
        <v>218293350006.12</v>
      </c>
      <c r="H55" s="520">
        <f>SUM(H22:H54)</f>
        <v>133001605197.8</v>
      </c>
      <c r="I55" s="346"/>
    </row>
    <row r="56" spans="1:9" s="271" customFormat="1" ht="7.5" customHeight="1">
      <c r="A56" s="338"/>
      <c r="B56" s="88"/>
      <c r="C56" s="337"/>
      <c r="D56" s="333"/>
      <c r="E56" s="521"/>
      <c r="F56" s="404"/>
      <c r="G56" s="408"/>
      <c r="H56" s="408"/>
      <c r="I56" s="346"/>
    </row>
    <row r="57" spans="1:9" s="271" customFormat="1" ht="12">
      <c r="A57" s="338"/>
      <c r="B57" s="88"/>
      <c r="C57" s="403" t="s">
        <v>337</v>
      </c>
      <c r="D57" s="333"/>
      <c r="E57" s="519"/>
      <c r="F57" s="404"/>
      <c r="G57" s="281"/>
      <c r="H57" s="281"/>
      <c r="I57" s="346"/>
    </row>
    <row r="58" spans="1:9" s="271" customFormat="1" ht="12">
      <c r="A58" s="338"/>
      <c r="B58" s="88"/>
      <c r="C58" s="148" t="s">
        <v>328</v>
      </c>
      <c r="D58" s="333" t="s">
        <v>317</v>
      </c>
      <c r="E58" s="641">
        <f>283640229/F58</f>
        <v>44029.83995653524</v>
      </c>
      <c r="F58" s="404">
        <v>6442</v>
      </c>
      <c r="G58" s="281">
        <f>+E58*F58</f>
        <v>283640229</v>
      </c>
      <c r="H58" s="281">
        <v>316179371</v>
      </c>
      <c r="I58" s="346"/>
    </row>
    <row r="59" spans="1:9" s="271" customFormat="1" ht="12">
      <c r="A59" s="338"/>
      <c r="B59" s="88"/>
      <c r="C59" s="275" t="s">
        <v>143</v>
      </c>
      <c r="D59" s="333"/>
      <c r="E59" s="520">
        <f>+E58</f>
        <v>44029.83995653524</v>
      </c>
      <c r="F59" s="404"/>
      <c r="G59" s="405">
        <f>+G58</f>
        <v>283640229</v>
      </c>
      <c r="H59" s="405">
        <v>316179371</v>
      </c>
      <c r="I59" s="346"/>
    </row>
    <row r="60" spans="1:9" s="271" customFormat="1" ht="12">
      <c r="A60" s="338"/>
      <c r="B60" s="88"/>
      <c r="C60" s="275"/>
      <c r="D60" s="333"/>
      <c r="E60" s="519"/>
      <c r="F60" s="404"/>
      <c r="G60" s="281"/>
      <c r="H60" s="281"/>
      <c r="I60" s="346"/>
    </row>
    <row r="61" spans="1:9" s="271" customFormat="1" ht="12">
      <c r="A61" s="338"/>
      <c r="B61" s="88"/>
      <c r="C61" s="275" t="s">
        <v>338</v>
      </c>
      <c r="D61" s="333"/>
      <c r="E61" s="522">
        <f>+E55+E15+E18+E59</f>
        <v>33946748.46350397</v>
      </c>
      <c r="F61" s="404"/>
      <c r="G61" s="409">
        <f>+G55+G15+G18+G59</f>
        <v>218697942054.12</v>
      </c>
      <c r="H61" s="409">
        <f>+H59+H55+H15</f>
        <v>133432288820.8</v>
      </c>
      <c r="I61" s="346"/>
    </row>
    <row r="62" spans="1:9" s="271" customFormat="1" ht="12">
      <c r="A62" s="338"/>
      <c r="B62" s="88"/>
      <c r="C62" s="275"/>
      <c r="D62" s="333"/>
      <c r="E62" s="521"/>
      <c r="F62" s="404"/>
      <c r="G62" s="408"/>
      <c r="H62" s="408"/>
      <c r="I62" s="346"/>
    </row>
    <row r="63" spans="1:9" s="271" customFormat="1" ht="12">
      <c r="A63" s="338"/>
      <c r="B63" s="88"/>
      <c r="C63" s="403" t="s">
        <v>2</v>
      </c>
      <c r="D63" s="333"/>
      <c r="E63" s="519"/>
      <c r="F63" s="404"/>
      <c r="G63" s="281"/>
      <c r="H63" s="281"/>
      <c r="I63" s="346"/>
    </row>
    <row r="64" spans="1:9" s="271" customFormat="1" ht="12">
      <c r="A64" s="338"/>
      <c r="B64" s="88"/>
      <c r="C64" s="403" t="s">
        <v>339</v>
      </c>
      <c r="D64" s="333"/>
      <c r="E64" s="519"/>
      <c r="F64" s="404"/>
      <c r="G64" s="281"/>
      <c r="H64" s="281"/>
      <c r="I64" s="346"/>
    </row>
    <row r="65" spans="1:9" s="271" customFormat="1" ht="12" hidden="1">
      <c r="A65" s="338"/>
      <c r="B65" s="88"/>
      <c r="C65" s="148"/>
      <c r="D65" s="333"/>
      <c r="E65" s="519"/>
      <c r="F65" s="404"/>
      <c r="G65" s="281"/>
      <c r="H65" s="281"/>
      <c r="I65" s="346"/>
    </row>
    <row r="66" spans="1:9" s="271" customFormat="1" ht="12" hidden="1">
      <c r="A66" s="338"/>
      <c r="B66" s="88"/>
      <c r="C66" s="167"/>
      <c r="D66" s="333"/>
      <c r="E66" s="523"/>
      <c r="F66" s="404"/>
      <c r="G66" s="283"/>
      <c r="H66" s="283"/>
      <c r="I66" s="346"/>
    </row>
    <row r="67" spans="1:9" s="271" customFormat="1" ht="12">
      <c r="A67" s="338"/>
      <c r="B67" s="88"/>
      <c r="C67" s="403"/>
      <c r="D67" s="333"/>
      <c r="E67" s="519"/>
      <c r="F67" s="404"/>
      <c r="G67" s="281"/>
      <c r="H67" s="281"/>
      <c r="I67" s="346"/>
    </row>
    <row r="68" spans="1:9" s="271" customFormat="1" ht="12">
      <c r="A68" s="338"/>
      <c r="B68" s="88"/>
      <c r="C68" s="148" t="s">
        <v>340</v>
      </c>
      <c r="D68" s="333" t="s">
        <v>317</v>
      </c>
      <c r="E68" s="638">
        <f>38294393297/F68</f>
        <v>5924256.388768564</v>
      </c>
      <c r="F68" s="404">
        <v>6464</v>
      </c>
      <c r="G68" s="281">
        <f>+E68*F68</f>
        <v>38294393297</v>
      </c>
      <c r="H68" s="281">
        <v>35788536097</v>
      </c>
      <c r="I68" s="346"/>
    </row>
    <row r="69" spans="1:9" s="271" customFormat="1" ht="12">
      <c r="A69" s="338"/>
      <c r="B69" s="88"/>
      <c r="C69" s="148" t="s">
        <v>341</v>
      </c>
      <c r="D69" s="333" t="s">
        <v>317</v>
      </c>
      <c r="E69" s="638">
        <f>215509760/F69</f>
        <v>33340</v>
      </c>
      <c r="F69" s="404">
        <v>6464</v>
      </c>
      <c r="G69" s="281">
        <f>+E69*F69</f>
        <v>215509760</v>
      </c>
      <c r="H69" s="281">
        <v>454526251</v>
      </c>
      <c r="I69" s="346"/>
    </row>
    <row r="70" spans="1:9" s="271" customFormat="1" ht="12">
      <c r="A70" s="338"/>
      <c r="B70" s="88"/>
      <c r="C70" s="148" t="s">
        <v>342</v>
      </c>
      <c r="D70" s="333" t="s">
        <v>317</v>
      </c>
      <c r="E70" s="638">
        <f>1358242834/F70</f>
        <v>210124.20080445544</v>
      </c>
      <c r="F70" s="404">
        <v>6464</v>
      </c>
      <c r="G70" s="281">
        <f>+E70*F70</f>
        <v>1358242834</v>
      </c>
      <c r="H70" s="281">
        <v>901038532</v>
      </c>
      <c r="I70" s="346"/>
    </row>
    <row r="71" spans="1:9" s="271" customFormat="1" ht="12">
      <c r="A71" s="338"/>
      <c r="B71" s="88"/>
      <c r="C71" s="148" t="s">
        <v>344</v>
      </c>
      <c r="D71" s="333" t="s">
        <v>317</v>
      </c>
      <c r="E71" s="639">
        <v>6150</v>
      </c>
      <c r="F71" s="404">
        <v>6464</v>
      </c>
      <c r="G71" s="281">
        <f aca="true" t="shared" si="4" ref="G71:G81">+E71*F71</f>
        <v>39753600</v>
      </c>
      <c r="H71" s="281">
        <v>36660150</v>
      </c>
      <c r="I71" s="346"/>
    </row>
    <row r="72" spans="1:9" s="271" customFormat="1" ht="12">
      <c r="A72" s="338"/>
      <c r="B72" s="88"/>
      <c r="C72" s="148" t="s">
        <v>345</v>
      </c>
      <c r="D72" s="333" t="s">
        <v>317</v>
      </c>
      <c r="E72" s="638">
        <f>4652368886/F72</f>
        <v>719735.2855816832</v>
      </c>
      <c r="F72" s="404">
        <v>6464</v>
      </c>
      <c r="G72" s="281">
        <f t="shared" si="4"/>
        <v>4652368886</v>
      </c>
      <c r="H72" s="281">
        <v>1317530502</v>
      </c>
      <c r="I72" s="346"/>
    </row>
    <row r="73" spans="1:9" s="271" customFormat="1" ht="12">
      <c r="A73" s="338"/>
      <c r="B73" s="88"/>
      <c r="C73" s="148" t="s">
        <v>346</v>
      </c>
      <c r="D73" s="333" t="s">
        <v>317</v>
      </c>
      <c r="E73" s="638">
        <f>121250355/F73</f>
        <v>18757.790068069306</v>
      </c>
      <c r="F73" s="404">
        <v>6464</v>
      </c>
      <c r="G73" s="281">
        <f t="shared" si="4"/>
        <v>121250354.99999999</v>
      </c>
      <c r="H73" s="281">
        <v>254186818</v>
      </c>
      <c r="I73" s="346"/>
    </row>
    <row r="74" spans="1:9" s="271" customFormat="1" ht="12">
      <c r="A74" s="338"/>
      <c r="B74" s="88"/>
      <c r="C74" s="148" t="s">
        <v>531</v>
      </c>
      <c r="D74" s="333" t="s">
        <v>317</v>
      </c>
      <c r="E74" s="638">
        <f>-757970/F74</f>
        <v>-117.26021039603961</v>
      </c>
      <c r="F74" s="404">
        <v>6464</v>
      </c>
      <c r="G74" s="281">
        <f t="shared" si="4"/>
        <v>-757970</v>
      </c>
      <c r="H74" s="281">
        <v>-64496714.00000001</v>
      </c>
      <c r="I74" s="346"/>
    </row>
    <row r="75" spans="1:9" s="271" customFormat="1" ht="12">
      <c r="A75" s="338"/>
      <c r="B75" s="88"/>
      <c r="C75" s="148" t="s">
        <v>347</v>
      </c>
      <c r="D75" s="333" t="s">
        <v>317</v>
      </c>
      <c r="E75" s="638">
        <f>2488640/F75</f>
        <v>385</v>
      </c>
      <c r="F75" s="404">
        <v>6464</v>
      </c>
      <c r="G75" s="281">
        <f t="shared" si="4"/>
        <v>2488640</v>
      </c>
      <c r="H75" s="281">
        <v>2294985</v>
      </c>
      <c r="I75" s="346"/>
    </row>
    <row r="76" spans="1:9" s="271" customFormat="1" ht="12">
      <c r="A76" s="338"/>
      <c r="B76" s="88"/>
      <c r="C76" s="148" t="s">
        <v>533</v>
      </c>
      <c r="D76" s="333" t="s">
        <v>317</v>
      </c>
      <c r="E76" s="638">
        <v>0</v>
      </c>
      <c r="F76" s="404">
        <v>6464</v>
      </c>
      <c r="G76" s="281">
        <f t="shared" si="4"/>
        <v>0</v>
      </c>
      <c r="H76" s="281">
        <v>4787398</v>
      </c>
      <c r="I76" s="346"/>
    </row>
    <row r="77" spans="1:9" s="271" customFormat="1" ht="12" hidden="1">
      <c r="A77" s="338"/>
      <c r="B77" s="88"/>
      <c r="C77" s="148" t="s">
        <v>508</v>
      </c>
      <c r="D77" s="333" t="s">
        <v>317</v>
      </c>
      <c r="E77" s="638">
        <v>0</v>
      </c>
      <c r="F77" s="404">
        <v>6464</v>
      </c>
      <c r="G77" s="281">
        <f t="shared" si="4"/>
        <v>0</v>
      </c>
      <c r="H77" s="281">
        <v>0</v>
      </c>
      <c r="I77" s="346"/>
    </row>
    <row r="78" spans="1:9" s="271" customFormat="1" ht="12">
      <c r="A78" s="338"/>
      <c r="B78" s="88"/>
      <c r="C78" s="148" t="s">
        <v>509</v>
      </c>
      <c r="D78" s="333" t="s">
        <v>317</v>
      </c>
      <c r="E78" s="638">
        <f>14479624765/F78</f>
        <v>2240040.9599319305</v>
      </c>
      <c r="F78" s="404">
        <v>6464</v>
      </c>
      <c r="G78" s="281">
        <f t="shared" si="4"/>
        <v>14479624764.999998</v>
      </c>
      <c r="H78" s="281">
        <v>18625251023</v>
      </c>
      <c r="I78" s="346"/>
    </row>
    <row r="79" spans="1:9" s="271" customFormat="1" ht="12">
      <c r="A79" s="338"/>
      <c r="B79" s="88"/>
      <c r="C79" s="148" t="s">
        <v>588</v>
      </c>
      <c r="D79" s="333" t="s">
        <v>317</v>
      </c>
      <c r="E79" s="638">
        <f>51111239849/F79</f>
        <v>7907060.6202042075</v>
      </c>
      <c r="F79" s="404">
        <v>6464</v>
      </c>
      <c r="G79" s="281">
        <f t="shared" si="4"/>
        <v>51111239849</v>
      </c>
      <c r="H79" s="281">
        <v>4428865390</v>
      </c>
      <c r="I79" s="346"/>
    </row>
    <row r="80" spans="1:9" s="271" customFormat="1" ht="12">
      <c r="A80" s="338"/>
      <c r="B80" s="88"/>
      <c r="C80" s="148" t="s">
        <v>551</v>
      </c>
      <c r="D80" s="333" t="s">
        <v>317</v>
      </c>
      <c r="E80" s="638">
        <v>0</v>
      </c>
      <c r="F80" s="404">
        <v>6464</v>
      </c>
      <c r="G80" s="281">
        <f t="shared" si="4"/>
        <v>0</v>
      </c>
      <c r="H80" s="281">
        <v>592951400</v>
      </c>
      <c r="I80" s="346"/>
    </row>
    <row r="81" spans="1:9" s="271" customFormat="1" ht="12">
      <c r="A81" s="338"/>
      <c r="B81" s="88"/>
      <c r="C81" s="148" t="s">
        <v>546</v>
      </c>
      <c r="D81" s="333" t="s">
        <v>317</v>
      </c>
      <c r="E81" s="519">
        <f>13851957436/F81</f>
        <v>2142938.9597772276</v>
      </c>
      <c r="F81" s="404">
        <v>6464</v>
      </c>
      <c r="G81" s="281">
        <f t="shared" si="4"/>
        <v>13851957436</v>
      </c>
      <c r="H81" s="281">
        <v>390466005</v>
      </c>
      <c r="I81" s="346"/>
    </row>
    <row r="82" spans="1:9" s="271" customFormat="1" ht="12">
      <c r="A82" s="338"/>
      <c r="B82" s="88"/>
      <c r="C82" s="148" t="s">
        <v>348</v>
      </c>
      <c r="D82" s="333" t="s">
        <v>317</v>
      </c>
      <c r="E82" s="569">
        <v>0</v>
      </c>
      <c r="F82" s="404">
        <v>6464</v>
      </c>
      <c r="G82" s="281">
        <v>0</v>
      </c>
      <c r="H82" s="281">
        <v>68592273.24</v>
      </c>
      <c r="I82" s="346"/>
    </row>
    <row r="83" spans="1:9" s="271" customFormat="1" ht="12">
      <c r="A83" s="338"/>
      <c r="B83" s="88"/>
      <c r="C83" s="148" t="s">
        <v>349</v>
      </c>
      <c r="D83" s="333" t="s">
        <v>317</v>
      </c>
      <c r="E83" s="569">
        <v>0</v>
      </c>
      <c r="F83" s="404">
        <v>6464</v>
      </c>
      <c r="G83" s="281">
        <v>0</v>
      </c>
      <c r="H83" s="281">
        <v>34296136.62</v>
      </c>
      <c r="I83" s="346"/>
    </row>
    <row r="84" spans="1:9" s="271" customFormat="1" ht="12">
      <c r="A84" s="338"/>
      <c r="B84" s="88"/>
      <c r="C84" s="148" t="s">
        <v>350</v>
      </c>
      <c r="D84" s="333" t="s">
        <v>317</v>
      </c>
      <c r="E84" s="569">
        <v>0</v>
      </c>
      <c r="F84" s="404">
        <v>6464</v>
      </c>
      <c r="G84" s="281">
        <v>0</v>
      </c>
      <c r="H84" s="281">
        <v>11922000000</v>
      </c>
      <c r="I84" s="346"/>
    </row>
    <row r="85" spans="1:9" s="271" customFormat="1" ht="12" hidden="1">
      <c r="A85" s="338"/>
      <c r="B85" s="88"/>
      <c r="C85" s="148" t="s">
        <v>532</v>
      </c>
      <c r="D85" s="333" t="s">
        <v>317</v>
      </c>
      <c r="E85" s="569">
        <v>0</v>
      </c>
      <c r="F85" s="404">
        <v>6464</v>
      </c>
      <c r="G85" s="281">
        <f aca="true" t="shared" si="5" ref="G85:G90">E85*F85</f>
        <v>0</v>
      </c>
      <c r="H85" s="281">
        <v>0</v>
      </c>
      <c r="I85" s="346"/>
    </row>
    <row r="86" spans="1:9" s="271" customFormat="1" ht="12" hidden="1">
      <c r="A86" s="338"/>
      <c r="B86" s="88"/>
      <c r="C86" s="148" t="s">
        <v>507</v>
      </c>
      <c r="D86" s="333" t="s">
        <v>317</v>
      </c>
      <c r="E86" s="569">
        <v>0</v>
      </c>
      <c r="F86" s="404">
        <v>6464</v>
      </c>
      <c r="G86" s="281">
        <f t="shared" si="5"/>
        <v>0</v>
      </c>
      <c r="H86" s="281">
        <v>0</v>
      </c>
      <c r="I86" s="346"/>
    </row>
    <row r="87" spans="1:9" s="271" customFormat="1" ht="12">
      <c r="A87" s="338"/>
      <c r="B87" s="88"/>
      <c r="C87" s="148" t="s">
        <v>343</v>
      </c>
      <c r="D87" s="333" t="s">
        <v>317</v>
      </c>
      <c r="E87" s="519">
        <f>153834150/F87</f>
        <v>23798.599938118812</v>
      </c>
      <c r="F87" s="404">
        <v>6464</v>
      </c>
      <c r="G87" s="281">
        <f t="shared" si="5"/>
        <v>153834150</v>
      </c>
      <c r="H87" s="281">
        <v>130925377.00000001</v>
      </c>
      <c r="I87" s="346"/>
    </row>
    <row r="88" spans="1:9" s="271" customFormat="1" ht="12" hidden="1">
      <c r="A88" s="338"/>
      <c r="B88" s="88"/>
      <c r="C88" s="148" t="s">
        <v>506</v>
      </c>
      <c r="D88" s="333" t="s">
        <v>317</v>
      </c>
      <c r="E88" s="519">
        <v>0</v>
      </c>
      <c r="F88" s="404">
        <v>6464</v>
      </c>
      <c r="G88" s="281">
        <f t="shared" si="5"/>
        <v>0</v>
      </c>
      <c r="H88" s="281">
        <v>0</v>
      </c>
      <c r="I88" s="346"/>
    </row>
    <row r="89" spans="1:9" s="271" customFormat="1" ht="12">
      <c r="A89" s="338"/>
      <c r="B89" s="88"/>
      <c r="C89" s="148" t="s">
        <v>594</v>
      </c>
      <c r="D89" s="333" t="s">
        <v>317</v>
      </c>
      <c r="E89" s="519">
        <f>1584567331/F89</f>
        <v>245137.27274133664</v>
      </c>
      <c r="F89" s="404">
        <v>6464</v>
      </c>
      <c r="G89" s="281">
        <f t="shared" si="5"/>
        <v>1584567331</v>
      </c>
      <c r="H89" s="281">
        <v>0</v>
      </c>
      <c r="I89" s="346"/>
    </row>
    <row r="90" spans="1:9" s="271" customFormat="1" ht="12">
      <c r="A90" s="338"/>
      <c r="B90" s="88"/>
      <c r="C90" s="148" t="s">
        <v>608</v>
      </c>
      <c r="D90" s="333" t="s">
        <v>317</v>
      </c>
      <c r="E90" s="519">
        <v>71558.34</v>
      </c>
      <c r="F90" s="404">
        <v>6464</v>
      </c>
      <c r="G90" s="281">
        <f t="shared" si="5"/>
        <v>462553109.76</v>
      </c>
      <c r="H90" s="281">
        <v>0</v>
      </c>
      <c r="I90" s="346"/>
    </row>
    <row r="91" spans="1:9" s="271" customFormat="1" ht="12">
      <c r="A91" s="338"/>
      <c r="B91" s="88"/>
      <c r="C91" s="275" t="s">
        <v>143</v>
      </c>
      <c r="D91" s="280"/>
      <c r="E91" s="520">
        <f>SUM(E68:E90)</f>
        <v>19543166.157605194</v>
      </c>
      <c r="F91" s="404"/>
      <c r="G91" s="405">
        <f>SUM(G68:G90)</f>
        <v>126327026042.76</v>
      </c>
      <c r="H91" s="405">
        <f>SUM(H68:H90)</f>
        <v>74888411623.86</v>
      </c>
      <c r="I91" s="346"/>
    </row>
    <row r="92" spans="1:9" s="271" customFormat="1" ht="12">
      <c r="A92" s="338"/>
      <c r="B92" s="88"/>
      <c r="C92" s="275"/>
      <c r="D92" s="280"/>
      <c r="E92" s="521"/>
      <c r="F92" s="404"/>
      <c r="G92" s="408"/>
      <c r="H92" s="408"/>
      <c r="I92" s="346"/>
    </row>
    <row r="93" spans="1:9" s="271" customFormat="1" ht="12">
      <c r="A93" s="338"/>
      <c r="B93" s="88"/>
      <c r="C93" s="275" t="s">
        <v>351</v>
      </c>
      <c r="D93" s="280"/>
      <c r="E93" s="522">
        <f>+E66+E91</f>
        <v>19543166.157605194</v>
      </c>
      <c r="F93" s="404"/>
      <c r="G93" s="409">
        <f>+G91+G66</f>
        <v>126327026042.76</v>
      </c>
      <c r="H93" s="409">
        <f>+H91</f>
        <v>74888411623.86</v>
      </c>
      <c r="I93" s="346"/>
    </row>
    <row r="94" spans="1:9" s="271" customFormat="1" ht="12">
      <c r="A94" s="338"/>
      <c r="B94" s="88"/>
      <c r="C94" s="403" t="s">
        <v>352</v>
      </c>
      <c r="D94" s="280"/>
      <c r="E94" s="524">
        <v>0</v>
      </c>
      <c r="F94" s="281"/>
      <c r="G94" s="410">
        <v>0</v>
      </c>
      <c r="H94" s="410">
        <v>0</v>
      </c>
      <c r="I94" s="346"/>
    </row>
    <row r="95" spans="1:9" s="271" customFormat="1" ht="12">
      <c r="A95" s="338"/>
      <c r="B95" s="88"/>
      <c r="C95" s="275" t="s">
        <v>143</v>
      </c>
      <c r="D95" s="346"/>
      <c r="E95" s="524">
        <v>0</v>
      </c>
      <c r="F95" s="281"/>
      <c r="G95" s="410">
        <f>G94</f>
        <v>0</v>
      </c>
      <c r="H95" s="410">
        <v>0</v>
      </c>
      <c r="I95" s="346"/>
    </row>
    <row r="96" spans="1:9" s="271" customFormat="1" ht="12">
      <c r="A96" s="338"/>
      <c r="B96" s="88"/>
      <c r="C96" s="275" t="s">
        <v>338</v>
      </c>
      <c r="D96" s="280"/>
      <c r="E96" s="525">
        <f>+E95+E93</f>
        <v>19543166.157605194</v>
      </c>
      <c r="F96" s="281"/>
      <c r="G96" s="411">
        <f>G93+G95</f>
        <v>126327026042.76</v>
      </c>
      <c r="H96" s="411">
        <f>+H93+H95</f>
        <v>74888411623.86</v>
      </c>
      <c r="I96" s="346"/>
    </row>
    <row r="97" spans="1:9" ht="12.75">
      <c r="A97" s="325"/>
      <c r="B97" s="286"/>
      <c r="C97" s="347"/>
      <c r="D97" s="347"/>
      <c r="E97" s="524"/>
      <c r="F97" s="410"/>
      <c r="G97" s="410"/>
      <c r="H97" s="410"/>
      <c r="I97" s="99"/>
    </row>
    <row r="98" spans="3:9" ht="12.75">
      <c r="C98" s="634"/>
      <c r="D98" s="412"/>
      <c r="E98" s="526"/>
      <c r="F98" s="412"/>
      <c r="G98" s="635"/>
      <c r="H98" s="636"/>
      <c r="I98" s="637"/>
    </row>
    <row r="99" spans="5:8" ht="12.75">
      <c r="E99" s="527"/>
      <c r="H99" s="136"/>
    </row>
    <row r="100" spans="5:8" ht="12.75">
      <c r="E100" s="528"/>
      <c r="F100" s="69"/>
      <c r="G100" s="103"/>
      <c r="H100" s="136"/>
    </row>
    <row r="101" ht="12.75">
      <c r="H101" s="136"/>
    </row>
    <row r="104" spans="6:7" ht="15">
      <c r="F104" s="175"/>
      <c r="G104" s="620"/>
    </row>
    <row r="105" spans="6:7" ht="13.5">
      <c r="F105" s="175"/>
      <c r="G105" s="621"/>
    </row>
    <row r="106" spans="6:7" ht="13.5">
      <c r="F106" s="175"/>
      <c r="G106" s="622"/>
    </row>
    <row r="107" spans="6:7" ht="13.5">
      <c r="F107" s="175"/>
      <c r="G107" s="621"/>
    </row>
    <row r="108" spans="6:7" ht="13.5">
      <c r="F108" s="175"/>
      <c r="G108" s="621"/>
    </row>
    <row r="109" spans="6:7" ht="13.5">
      <c r="F109" s="175"/>
      <c r="G109" s="622"/>
    </row>
    <row r="110" spans="6:7" ht="13.5">
      <c r="F110" s="175"/>
      <c r="G110" s="623"/>
    </row>
    <row r="111" spans="6:7" ht="13.5">
      <c r="F111" s="175"/>
      <c r="G111" s="624"/>
    </row>
    <row r="112" spans="6:7" ht="13.5">
      <c r="F112" s="175"/>
      <c r="G112" s="621"/>
    </row>
    <row r="113" spans="6:7" ht="13.5">
      <c r="F113" s="175"/>
      <c r="G113" s="622"/>
    </row>
    <row r="114" spans="6:7" ht="13.5">
      <c r="F114" s="175"/>
      <c r="G114" s="623"/>
    </row>
    <row r="115" spans="6:7" ht="13.5">
      <c r="F115" s="175"/>
      <c r="G115" s="621"/>
    </row>
    <row r="116" spans="6:7" ht="13.5">
      <c r="F116" s="175"/>
      <c r="G116" s="622"/>
    </row>
    <row r="117" spans="6:7" ht="13.5">
      <c r="F117" s="175"/>
      <c r="G117" s="622"/>
    </row>
    <row r="118" spans="6:7" ht="13.5">
      <c r="F118" s="175"/>
      <c r="G118" s="622"/>
    </row>
    <row r="119" spans="6:7" ht="13.5">
      <c r="F119" s="175"/>
      <c r="G119" s="625"/>
    </row>
    <row r="120" spans="6:7" ht="13.5">
      <c r="F120" s="175"/>
      <c r="G120" s="621"/>
    </row>
    <row r="121" spans="6:7" ht="13.5">
      <c r="F121" s="175"/>
      <c r="G121" s="621"/>
    </row>
    <row r="122" spans="6:7" ht="13.5">
      <c r="F122" s="175"/>
      <c r="G122" s="622"/>
    </row>
    <row r="123" spans="6:7" ht="13.5">
      <c r="F123" s="175"/>
      <c r="G123" s="623"/>
    </row>
    <row r="124" ht="12.75">
      <c r="G124" s="136"/>
    </row>
  </sheetData>
  <sheetProtection selectLockedCells="1" selectUnlockedCells="1"/>
  <mergeCells count="5">
    <mergeCell ref="C1:H1"/>
    <mergeCell ref="C2:H2"/>
    <mergeCell ref="C4:H4"/>
    <mergeCell ref="D5:E5"/>
    <mergeCell ref="G5:H5"/>
  </mergeCells>
  <printOptions/>
  <pageMargins left="1.3779527559055118" right="0.3937007874015748" top="1.6929133858267718" bottom="0.9055118110236221" header="0.5118110236220472" footer="1.299212598425197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P9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54" sqref="G54"/>
    </sheetView>
  </sheetViews>
  <sheetFormatPr defaultColWidth="11.421875" defaultRowHeight="12.75"/>
  <cols>
    <col min="1" max="1" width="2.140625" style="0" customWidth="1"/>
    <col min="2" max="2" width="20.28125" style="0" customWidth="1"/>
    <col min="3" max="4" width="8.7109375" style="0" customWidth="1"/>
    <col min="5" max="5" width="14.7109375" style="2" customWidth="1"/>
    <col min="6" max="6" width="16.421875" style="2" customWidth="1"/>
    <col min="7" max="7" width="14.8515625" style="2" customWidth="1"/>
    <col min="8" max="8" width="13.57421875" style="2" customWidth="1"/>
    <col min="9" max="9" width="13.7109375" style="2" customWidth="1"/>
    <col min="10" max="10" width="17.00390625" style="0" customWidth="1"/>
    <col min="11" max="11" width="12.8515625" style="69" customWidth="1"/>
    <col min="12" max="12" width="2.140625" style="0" customWidth="1"/>
    <col min="13" max="13" width="13.7109375" style="0" customWidth="1"/>
    <col min="14" max="14" width="13.7109375" style="87" customWidth="1"/>
    <col min="16" max="16" width="13.28125" style="0" customWidth="1"/>
  </cols>
  <sheetData>
    <row r="1" spans="1:14" s="415" customFormat="1" ht="15">
      <c r="A1" s="413"/>
      <c r="B1" s="1067" t="s">
        <v>587</v>
      </c>
      <c r="C1" s="1067"/>
      <c r="D1" s="1067"/>
      <c r="E1" s="1067"/>
      <c r="F1" s="1067"/>
      <c r="G1" s="1067"/>
      <c r="H1" s="1067"/>
      <c r="I1" s="1067"/>
      <c r="J1" s="1067"/>
      <c r="K1" s="1067"/>
      <c r="L1" s="414"/>
      <c r="N1" s="416"/>
    </row>
    <row r="2" spans="1:14" s="415" customFormat="1" ht="15">
      <c r="A2" s="417"/>
      <c r="B2" s="1064" t="s">
        <v>25</v>
      </c>
      <c r="C2" s="1064"/>
      <c r="D2" s="1064"/>
      <c r="E2" s="1064"/>
      <c r="F2" s="1064"/>
      <c r="G2" s="1064"/>
      <c r="H2" s="1064"/>
      <c r="I2" s="1064"/>
      <c r="J2" s="1064"/>
      <c r="K2" s="1064"/>
      <c r="L2" s="418"/>
      <c r="N2" s="416"/>
    </row>
    <row r="3" spans="1:14" s="415" customFormat="1" ht="15" customHeight="1">
      <c r="A3" s="417"/>
      <c r="B3" s="417"/>
      <c r="C3" s="419"/>
      <c r="D3" s="419"/>
      <c r="E3" s="419"/>
      <c r="F3" s="419"/>
      <c r="G3" s="419"/>
      <c r="H3" s="419"/>
      <c r="I3" s="419"/>
      <c r="J3" s="419"/>
      <c r="K3" s="420" t="s">
        <v>353</v>
      </c>
      <c r="L3" s="418"/>
      <c r="N3" s="416"/>
    </row>
    <row r="4" spans="1:14" s="415" customFormat="1" ht="15" customHeight="1">
      <c r="A4" s="417"/>
      <c r="B4" s="417"/>
      <c r="C4" s="419"/>
      <c r="D4" s="419"/>
      <c r="E4" s="419"/>
      <c r="F4" s="419"/>
      <c r="G4" s="419"/>
      <c r="H4" s="419"/>
      <c r="I4" s="419"/>
      <c r="J4" s="419"/>
      <c r="K4" s="420"/>
      <c r="L4" s="418"/>
      <c r="N4" s="416"/>
    </row>
    <row r="5" spans="1:14" s="415" customFormat="1" ht="15" customHeight="1">
      <c r="A5" s="417"/>
      <c r="B5" s="1068" t="s">
        <v>354</v>
      </c>
      <c r="C5" s="1068"/>
      <c r="D5" s="1068"/>
      <c r="E5" s="1068"/>
      <c r="F5" s="1068"/>
      <c r="G5" s="1068"/>
      <c r="H5" s="1068"/>
      <c r="I5" s="1068"/>
      <c r="J5" s="1068"/>
      <c r="K5" s="1068"/>
      <c r="L5" s="418"/>
      <c r="N5" s="416"/>
    </row>
    <row r="6" spans="1:12" ht="7.5" customHeight="1">
      <c r="A6" s="72"/>
      <c r="B6" s="421"/>
      <c r="C6" s="141"/>
      <c r="D6" s="141"/>
      <c r="E6" s="141"/>
      <c r="F6" s="141"/>
      <c r="G6" s="141"/>
      <c r="H6" s="141"/>
      <c r="I6" s="141"/>
      <c r="J6" s="141"/>
      <c r="K6" s="141"/>
      <c r="L6" s="97"/>
    </row>
    <row r="7" spans="1:12" ht="12.75">
      <c r="A7" s="72"/>
      <c r="B7" s="422"/>
      <c r="C7" s="1069" t="s">
        <v>355</v>
      </c>
      <c r="D7" s="1069"/>
      <c r="E7" s="1069"/>
      <c r="F7" s="1070" t="s">
        <v>356</v>
      </c>
      <c r="G7" s="1070"/>
      <c r="H7" s="1070"/>
      <c r="I7" s="1070"/>
      <c r="J7" s="1069" t="s">
        <v>338</v>
      </c>
      <c r="K7" s="1069"/>
      <c r="L7" s="97"/>
    </row>
    <row r="8" spans="1:12" ht="12.75">
      <c r="A8" s="72"/>
      <c r="B8" s="423" t="s">
        <v>271</v>
      </c>
      <c r="C8" s="424" t="s">
        <v>357</v>
      </c>
      <c r="D8" s="424" t="s">
        <v>358</v>
      </c>
      <c r="E8" s="642" t="s">
        <v>359</v>
      </c>
      <c r="F8" s="424" t="s">
        <v>360</v>
      </c>
      <c r="G8" s="424" t="s">
        <v>361</v>
      </c>
      <c r="H8" s="425" t="s">
        <v>362</v>
      </c>
      <c r="I8" s="424" t="s">
        <v>363</v>
      </c>
      <c r="J8" s="425" t="s">
        <v>125</v>
      </c>
      <c r="K8" s="424" t="s">
        <v>125</v>
      </c>
      <c r="L8" s="97"/>
    </row>
    <row r="9" spans="1:12" ht="12.75">
      <c r="A9" s="72"/>
      <c r="B9" s="426"/>
      <c r="C9" s="427" t="s">
        <v>303</v>
      </c>
      <c r="D9" s="427" t="s">
        <v>364</v>
      </c>
      <c r="E9" s="643" t="s">
        <v>365</v>
      </c>
      <c r="F9" s="428"/>
      <c r="G9" s="428"/>
      <c r="H9" s="644" t="s">
        <v>366</v>
      </c>
      <c r="I9" s="428"/>
      <c r="J9" s="429" t="s">
        <v>584</v>
      </c>
      <c r="K9" s="427" t="s">
        <v>548</v>
      </c>
      <c r="L9" s="97"/>
    </row>
    <row r="10" spans="1:12" ht="12" customHeight="1">
      <c r="A10" s="72"/>
      <c r="B10" s="422"/>
      <c r="C10" s="430"/>
      <c r="D10" s="431"/>
      <c r="E10" s="430"/>
      <c r="F10" s="430"/>
      <c r="G10" s="430"/>
      <c r="H10" s="214"/>
      <c r="I10" s="430"/>
      <c r="J10" s="432"/>
      <c r="K10" s="430"/>
      <c r="L10" s="97"/>
    </row>
    <row r="11" spans="1:12" ht="12" customHeight="1">
      <c r="A11" s="72"/>
      <c r="B11" s="433" t="s">
        <v>367</v>
      </c>
      <c r="C11" s="430"/>
      <c r="D11" s="431"/>
      <c r="E11" s="434"/>
      <c r="F11" s="434"/>
      <c r="G11" s="434"/>
      <c r="H11" s="171"/>
      <c r="I11" s="434"/>
      <c r="J11" s="435"/>
      <c r="K11" s="607"/>
      <c r="L11" s="97"/>
    </row>
    <row r="12" spans="1:12" ht="12" customHeight="1">
      <c r="A12" s="72"/>
      <c r="B12" s="436" t="s">
        <v>368</v>
      </c>
      <c r="C12" s="430"/>
      <c r="D12" s="431"/>
      <c r="E12" s="434"/>
      <c r="F12" s="369"/>
      <c r="G12" s="434"/>
      <c r="H12" s="171"/>
      <c r="I12" s="434"/>
      <c r="J12" s="607"/>
      <c r="K12" s="613"/>
      <c r="L12" s="97"/>
    </row>
    <row r="13" spans="1:12" ht="12" customHeight="1">
      <c r="A13" s="72"/>
      <c r="B13" s="433" t="s">
        <v>369</v>
      </c>
      <c r="C13" s="430">
        <v>0</v>
      </c>
      <c r="D13" s="431">
        <v>0</v>
      </c>
      <c r="E13" s="434">
        <v>0</v>
      </c>
      <c r="F13" s="684">
        <f>990990000+54142668</f>
        <v>1045132668</v>
      </c>
      <c r="G13" s="437">
        <v>0</v>
      </c>
      <c r="H13" s="645">
        <v>0</v>
      </c>
      <c r="I13" s="434">
        <v>0</v>
      </c>
      <c r="J13" s="607">
        <f>SUM(C13:I13)</f>
        <v>1045132668</v>
      </c>
      <c r="K13" s="613">
        <v>1091306962</v>
      </c>
      <c r="L13" s="97"/>
    </row>
    <row r="14" spans="1:12" ht="6.75" customHeight="1">
      <c r="A14" s="72"/>
      <c r="B14" s="433"/>
      <c r="C14" s="430"/>
      <c r="D14" s="431"/>
      <c r="E14" s="434"/>
      <c r="F14" s="434"/>
      <c r="G14" s="437"/>
      <c r="H14" s="645"/>
      <c r="I14" s="434"/>
      <c r="J14" s="607"/>
      <c r="K14" s="613"/>
      <c r="L14" s="97"/>
    </row>
    <row r="15" spans="1:12" ht="12" customHeight="1">
      <c r="A15" s="72"/>
      <c r="B15" s="436" t="s">
        <v>370</v>
      </c>
      <c r="C15" s="430"/>
      <c r="D15" s="431"/>
      <c r="E15" s="434"/>
      <c r="F15" s="434"/>
      <c r="G15" s="437"/>
      <c r="H15" s="645"/>
      <c r="I15" s="434"/>
      <c r="J15" s="607"/>
      <c r="K15" s="613"/>
      <c r="L15" s="97"/>
    </row>
    <row r="16" spans="1:13" ht="12" customHeight="1">
      <c r="A16" s="72"/>
      <c r="B16" s="433" t="s">
        <v>371</v>
      </c>
      <c r="C16" s="430">
        <v>0</v>
      </c>
      <c r="D16" s="431">
        <v>0</v>
      </c>
      <c r="E16" s="434">
        <f>124200000+82176473</f>
        <v>206376473</v>
      </c>
      <c r="F16" s="684">
        <f>6205536158+4859408+80491640+14837500+142278024</f>
        <v>6448002730</v>
      </c>
      <c r="G16" s="437">
        <f>154489208+5381284</f>
        <v>159870492</v>
      </c>
      <c r="H16" s="645">
        <v>780669534</v>
      </c>
      <c r="I16" s="434">
        <v>0</v>
      </c>
      <c r="J16" s="607">
        <f>SUM(C16:I16)</f>
        <v>7594919229</v>
      </c>
      <c r="K16" s="613">
        <v>3067352391</v>
      </c>
      <c r="L16" s="97"/>
      <c r="M16" s="87"/>
    </row>
    <row r="17" spans="1:12" ht="8.25" customHeight="1">
      <c r="A17" s="72"/>
      <c r="B17" s="433"/>
      <c r="C17" s="430"/>
      <c r="D17" s="431"/>
      <c r="E17" s="434"/>
      <c r="F17" s="434"/>
      <c r="G17" s="437"/>
      <c r="H17" s="645"/>
      <c r="I17" s="434"/>
      <c r="J17" s="607"/>
      <c r="K17" s="613"/>
      <c r="L17" s="97"/>
    </row>
    <row r="18" spans="1:12" ht="12" customHeight="1">
      <c r="A18" s="72"/>
      <c r="B18" s="433" t="s">
        <v>372</v>
      </c>
      <c r="C18" s="430">
        <v>0</v>
      </c>
      <c r="D18" s="431">
        <v>0</v>
      </c>
      <c r="E18" s="434">
        <f>1654272933+1210300+71717028+461416568+42433984</f>
        <v>2231050813</v>
      </c>
      <c r="F18" s="684">
        <f>3112958782+399478489+89106928+127190481+162471+282414564+924668829+130816770+483999106+1582347+142546873+27955000+173098904+82560000</f>
        <v>5978539544</v>
      </c>
      <c r="G18" s="437">
        <f>3164623058+6158153+4127459968+76315991+220979318+53136580+770532181+600000+218538923</f>
        <v>8638344172</v>
      </c>
      <c r="H18" s="645">
        <f>4034290396+2320025+73965000</f>
        <v>4110575421</v>
      </c>
      <c r="I18" s="434">
        <v>0</v>
      </c>
      <c r="J18" s="607">
        <f>SUM(C18:I18)</f>
        <v>20958509950</v>
      </c>
      <c r="K18" s="613">
        <v>19361891286</v>
      </c>
      <c r="L18" s="97"/>
    </row>
    <row r="19" spans="1:13" ht="12" customHeight="1">
      <c r="A19" s="72"/>
      <c r="B19" s="433"/>
      <c r="C19" s="430"/>
      <c r="D19" s="431"/>
      <c r="E19" s="434"/>
      <c r="F19" s="434"/>
      <c r="G19" s="437"/>
      <c r="H19" s="645"/>
      <c r="I19" s="434"/>
      <c r="J19" s="607"/>
      <c r="K19" s="613"/>
      <c r="L19" s="97"/>
      <c r="M19" s="87"/>
    </row>
    <row r="20" spans="1:13" ht="12" customHeight="1">
      <c r="A20" s="72"/>
      <c r="B20" s="433" t="s">
        <v>373</v>
      </c>
      <c r="C20" s="430">
        <v>0</v>
      </c>
      <c r="D20" s="431">
        <v>0</v>
      </c>
      <c r="E20" s="434">
        <f>64364346+82654041+1247819820+41172766+641453163+18943981+1000000+20968833+14276667+168022240+1315704+84339320</f>
        <v>2386330881</v>
      </c>
      <c r="F20" s="684">
        <f>84020558+61644370+618091557+24074114+313821533+2000000+8458704+6750000+49107836+24189439+22827000+176469577+89126050+6287634+12982098+83039363+422512+40150367+1000000+613333+8050000+29562260+2120588+790556+8000000+39543720+31538241</f>
        <v>1744681410</v>
      </c>
      <c r="G20" s="645">
        <f>64364346+82654041+1247819820+41172766+641453163+18943981+315200600+297527033+1000000+20968833+14276667+168022240+1315704+84339320+44500000</f>
        <v>3043558514</v>
      </c>
      <c r="H20" s="437">
        <f>96552527+166763577+708956052+87923746+354352695</f>
        <v>1414548597</v>
      </c>
      <c r="I20" s="434">
        <v>0</v>
      </c>
      <c r="J20" s="607">
        <f>SUM(C20:I20)</f>
        <v>8589119402</v>
      </c>
      <c r="K20" s="613">
        <v>6062569400</v>
      </c>
      <c r="L20" s="97"/>
      <c r="M20" s="87"/>
    </row>
    <row r="21" spans="1:13" ht="12" customHeight="1">
      <c r="A21" s="72"/>
      <c r="B21" s="433"/>
      <c r="C21" s="430"/>
      <c r="D21" s="431"/>
      <c r="E21" s="434"/>
      <c r="F21" s="434"/>
      <c r="G21" s="435"/>
      <c r="H21" s="434"/>
      <c r="I21" s="434"/>
      <c r="J21" s="607"/>
      <c r="K21" s="613"/>
      <c r="L21" s="97"/>
      <c r="M21" s="87"/>
    </row>
    <row r="22" spans="1:12" ht="12" customHeight="1">
      <c r="A22" s="72"/>
      <c r="B22" s="433" t="s">
        <v>374</v>
      </c>
      <c r="C22" s="430">
        <v>0</v>
      </c>
      <c r="D22" s="431">
        <v>0</v>
      </c>
      <c r="E22" s="434">
        <f>56841887+315200000+152803909+297527033+151470820+3664884452+5413257+44500000+29498232+5881910+55672188+10056270</f>
        <v>4789749958</v>
      </c>
      <c r="F22" s="684">
        <f>1443753317+100000000+226261027+25846703+802057+26135817+1090913+14310000+2565476+17525541+22185000+2743460+6611815+6460000+21513075+5030465+23072499+30000000+45796365+12400000+885690+15645000+763376+468000+1350000+945454+8554089+90910</f>
        <v>2062806049</v>
      </c>
      <c r="G22" s="171">
        <f>56841887+152803909+151470820+3664884452+5413257+29498232+5881910+55672188+10056270</f>
        <v>4132522925</v>
      </c>
      <c r="H22" s="434">
        <f>379865495+124035261+14233636+36943750</f>
        <v>555078142</v>
      </c>
      <c r="I22" s="434">
        <v>0</v>
      </c>
      <c r="J22" s="607">
        <f>SUM(C22:I22)</f>
        <v>11540157074</v>
      </c>
      <c r="K22" s="613">
        <v>7806242098</v>
      </c>
      <c r="L22" s="97"/>
    </row>
    <row r="23" spans="1:14" ht="12" customHeight="1">
      <c r="A23" s="72"/>
      <c r="B23" s="433"/>
      <c r="C23" s="430"/>
      <c r="D23" s="431"/>
      <c r="E23" s="434"/>
      <c r="F23" s="434"/>
      <c r="G23" s="435"/>
      <c r="H23" s="434"/>
      <c r="I23" s="434"/>
      <c r="J23" s="607"/>
      <c r="K23" s="613"/>
      <c r="L23" s="97"/>
      <c r="N23" s="178"/>
    </row>
    <row r="24" spans="1:12" ht="12" customHeight="1">
      <c r="A24" s="72"/>
      <c r="B24" s="433" t="s">
        <v>375</v>
      </c>
      <c r="C24" s="430">
        <v>0</v>
      </c>
      <c r="D24" s="431">
        <v>0</v>
      </c>
      <c r="E24" s="434">
        <v>0</v>
      </c>
      <c r="F24" s="437">
        <v>0</v>
      </c>
      <c r="G24" s="683">
        <f>2177857888+25370085</f>
        <v>2203227973</v>
      </c>
      <c r="H24" s="645">
        <v>0</v>
      </c>
      <c r="I24" s="434">
        <v>0</v>
      </c>
      <c r="J24" s="607">
        <f>SUM(C24:I24)</f>
        <v>2203227973</v>
      </c>
      <c r="K24" s="613">
        <v>2235260091</v>
      </c>
      <c r="L24" s="97"/>
    </row>
    <row r="25" spans="1:12" ht="12" customHeight="1">
      <c r="A25" s="72"/>
      <c r="B25" s="433"/>
      <c r="C25" s="430"/>
      <c r="D25" s="431"/>
      <c r="E25" s="434"/>
      <c r="F25" s="434"/>
      <c r="G25" s="434"/>
      <c r="H25" s="171"/>
      <c r="I25" s="434"/>
      <c r="J25" s="607"/>
      <c r="K25" s="613"/>
      <c r="L25" s="97"/>
    </row>
    <row r="26" spans="1:12" ht="12" customHeight="1">
      <c r="A26" s="72"/>
      <c r="B26" s="433" t="s">
        <v>376</v>
      </c>
      <c r="C26" s="430">
        <v>0</v>
      </c>
      <c r="D26" s="431">
        <v>0</v>
      </c>
      <c r="E26" s="434">
        <v>0</v>
      </c>
      <c r="F26" s="434">
        <v>0</v>
      </c>
      <c r="G26" s="434">
        <v>24261275842</v>
      </c>
      <c r="H26" s="171">
        <v>0</v>
      </c>
      <c r="I26" s="434">
        <v>0</v>
      </c>
      <c r="J26" s="607">
        <f>SUM(C26:I26)</f>
        <v>24261275842</v>
      </c>
      <c r="K26" s="613">
        <v>26270353414</v>
      </c>
      <c r="L26" s="97"/>
    </row>
    <row r="27" spans="1:12" ht="12" customHeight="1">
      <c r="A27" s="72"/>
      <c r="B27" s="438"/>
      <c r="C27" s="439"/>
      <c r="D27" s="440"/>
      <c r="E27" s="369"/>
      <c r="F27" s="369"/>
      <c r="G27" s="369"/>
      <c r="H27" s="193"/>
      <c r="I27" s="369"/>
      <c r="J27" s="608"/>
      <c r="K27" s="614"/>
      <c r="L27" s="97"/>
    </row>
    <row r="28" spans="1:12" ht="12" customHeight="1">
      <c r="A28" s="72"/>
      <c r="B28" s="433" t="s">
        <v>377</v>
      </c>
      <c r="C28" s="430">
        <v>0</v>
      </c>
      <c r="D28" s="431">
        <v>0</v>
      </c>
      <c r="E28" s="434">
        <v>22131598</v>
      </c>
      <c r="F28" s="683">
        <f>43013292+31339937+818181+34606629+66999180</f>
        <v>176777219</v>
      </c>
      <c r="G28" s="437">
        <f>14425114</f>
        <v>14425114</v>
      </c>
      <c r="H28" s="645">
        <f>151911307</f>
        <v>151911307</v>
      </c>
      <c r="I28" s="434">
        <v>0</v>
      </c>
      <c r="J28" s="607">
        <f>SUM(C28:I28)</f>
        <v>365245238</v>
      </c>
      <c r="K28" s="613">
        <v>305229476</v>
      </c>
      <c r="L28" s="97"/>
    </row>
    <row r="29" spans="1:12" ht="12" customHeight="1">
      <c r="A29" s="72"/>
      <c r="B29" s="433"/>
      <c r="C29" s="430"/>
      <c r="D29" s="431"/>
      <c r="E29" s="434"/>
      <c r="F29" s="434"/>
      <c r="G29" s="434"/>
      <c r="H29" s="171"/>
      <c r="I29" s="434"/>
      <c r="J29" s="607"/>
      <c r="K29" s="613"/>
      <c r="L29" s="97"/>
    </row>
    <row r="30" spans="1:12" ht="12" customHeight="1">
      <c r="A30" s="72"/>
      <c r="B30" s="433" t="s">
        <v>378</v>
      </c>
      <c r="C30" s="430"/>
      <c r="D30" s="431"/>
      <c r="E30" s="434"/>
      <c r="F30" s="434"/>
      <c r="G30" s="434"/>
      <c r="H30" s="171"/>
      <c r="I30" s="434"/>
      <c r="J30" s="607"/>
      <c r="K30" s="613"/>
      <c r="L30" s="97"/>
    </row>
    <row r="31" spans="1:12" ht="12" customHeight="1">
      <c r="A31" s="72"/>
      <c r="B31" s="433" t="s">
        <v>379</v>
      </c>
      <c r="C31" s="430">
        <v>0</v>
      </c>
      <c r="D31" s="431">
        <v>0</v>
      </c>
      <c r="E31" s="434">
        <v>0</v>
      </c>
      <c r="F31" s="683">
        <f>6766500621+1641290</f>
        <v>6768141911</v>
      </c>
      <c r="G31" s="437">
        <v>0</v>
      </c>
      <c r="H31" s="645">
        <v>0</v>
      </c>
      <c r="I31" s="434">
        <v>0</v>
      </c>
      <c r="J31" s="607">
        <f>SUM(C31:I31)</f>
        <v>6768141911</v>
      </c>
      <c r="K31" s="613">
        <v>1902830</v>
      </c>
      <c r="L31" s="97"/>
    </row>
    <row r="32" spans="1:12" ht="12" customHeight="1">
      <c r="A32" s="72"/>
      <c r="B32" s="433"/>
      <c r="C32" s="430"/>
      <c r="D32" s="431"/>
      <c r="E32" s="434"/>
      <c r="F32" s="434"/>
      <c r="G32" s="434"/>
      <c r="H32" s="171"/>
      <c r="I32" s="434"/>
      <c r="J32" s="607"/>
      <c r="K32" s="613"/>
      <c r="L32" s="97"/>
    </row>
    <row r="33" spans="1:12" ht="12" customHeight="1">
      <c r="A33" s="72"/>
      <c r="B33" s="433" t="s">
        <v>380</v>
      </c>
      <c r="C33" s="430"/>
      <c r="D33" s="431"/>
      <c r="E33" s="434"/>
      <c r="F33" s="434"/>
      <c r="G33" s="434"/>
      <c r="H33" s="171"/>
      <c r="I33" s="434"/>
      <c r="J33" s="607"/>
      <c r="K33" s="613"/>
      <c r="L33" s="97"/>
    </row>
    <row r="34" spans="1:12" ht="12" customHeight="1">
      <c r="A34" s="72"/>
      <c r="B34" s="433" t="s">
        <v>381</v>
      </c>
      <c r="C34" s="430">
        <v>0</v>
      </c>
      <c r="D34" s="431">
        <v>0</v>
      </c>
      <c r="E34" s="434">
        <v>5785874</v>
      </c>
      <c r="F34" s="684">
        <f>1575902340-676650621</f>
        <v>899251719</v>
      </c>
      <c r="G34" s="434">
        <v>0</v>
      </c>
      <c r="H34" s="171">
        <v>0</v>
      </c>
      <c r="I34" s="434">
        <v>0</v>
      </c>
      <c r="J34" s="607">
        <f>SUM(C34:I34)</f>
        <v>905037593</v>
      </c>
      <c r="K34" s="435">
        <v>758960295</v>
      </c>
      <c r="L34" s="97"/>
    </row>
    <row r="35" spans="1:12" ht="12" customHeight="1">
      <c r="A35" s="72"/>
      <c r="B35" s="433"/>
      <c r="C35" s="430"/>
      <c r="D35" s="431"/>
      <c r="E35" s="434"/>
      <c r="F35" s="434"/>
      <c r="G35" s="434"/>
      <c r="H35" s="171"/>
      <c r="I35" s="434"/>
      <c r="J35" s="607"/>
      <c r="K35" s="613"/>
      <c r="L35" s="97"/>
    </row>
    <row r="36" spans="1:12" ht="12" customHeight="1">
      <c r="A36" s="72"/>
      <c r="B36" s="433" t="s">
        <v>382</v>
      </c>
      <c r="C36" s="430"/>
      <c r="D36" s="431"/>
      <c r="E36" s="434"/>
      <c r="F36" s="434"/>
      <c r="G36" s="434"/>
      <c r="H36" s="171"/>
      <c r="I36" s="434"/>
      <c r="J36" s="607"/>
      <c r="K36" s="613"/>
      <c r="L36" s="97"/>
    </row>
    <row r="37" spans="1:14" ht="12" customHeight="1">
      <c r="A37" s="72"/>
      <c r="B37" s="433" t="s">
        <v>383</v>
      </c>
      <c r="C37" s="430">
        <v>0</v>
      </c>
      <c r="D37" s="431">
        <v>0</v>
      </c>
      <c r="E37" s="434">
        <f>31625275+51250454+103656992</f>
        <v>186532721</v>
      </c>
      <c r="F37" s="683">
        <f>573818501+311209443+190591857</f>
        <v>1075619801</v>
      </c>
      <c r="G37" s="437">
        <v>63342814</v>
      </c>
      <c r="H37" s="645">
        <f>1143182</f>
        <v>1143182</v>
      </c>
      <c r="I37" s="434">
        <v>0</v>
      </c>
      <c r="J37" s="607">
        <f>SUM(C37:I37)</f>
        <v>1326638518</v>
      </c>
      <c r="K37" s="613">
        <v>1725473939</v>
      </c>
      <c r="L37" s="97"/>
      <c r="N37" s="435"/>
    </row>
    <row r="38" spans="1:12" ht="12" customHeight="1">
      <c r="A38" s="72"/>
      <c r="B38" s="433"/>
      <c r="C38" s="430"/>
      <c r="D38" s="431"/>
      <c r="E38" s="434"/>
      <c r="F38" s="434"/>
      <c r="G38" s="434"/>
      <c r="H38" s="171"/>
      <c r="I38" s="434"/>
      <c r="J38" s="607"/>
      <c r="K38" s="613"/>
      <c r="L38" s="97"/>
    </row>
    <row r="39" spans="1:12" ht="12" customHeight="1">
      <c r="A39" s="72"/>
      <c r="B39" s="433" t="s">
        <v>384</v>
      </c>
      <c r="C39" s="430"/>
      <c r="D39" s="431"/>
      <c r="E39" s="434"/>
      <c r="F39" s="434"/>
      <c r="G39" s="434"/>
      <c r="H39" s="171"/>
      <c r="I39" s="434"/>
      <c r="J39" s="607"/>
      <c r="K39" s="613"/>
      <c r="L39" s="97"/>
    </row>
    <row r="40" spans="1:12" ht="12" customHeight="1">
      <c r="A40" s="72"/>
      <c r="B40" s="433" t="s">
        <v>385</v>
      </c>
      <c r="C40" s="430">
        <v>0</v>
      </c>
      <c r="D40" s="431">
        <v>0</v>
      </c>
      <c r="E40" s="434">
        <v>0</v>
      </c>
      <c r="F40" s="683">
        <f>9681099737-F43</f>
        <v>8442598229</v>
      </c>
      <c r="G40" s="437">
        <v>0</v>
      </c>
      <c r="H40" s="645">
        <v>0</v>
      </c>
      <c r="I40" s="434">
        <v>0</v>
      </c>
      <c r="J40" s="607">
        <f>SUM(C40:I40)</f>
        <v>8442598229</v>
      </c>
      <c r="K40" s="613">
        <v>7945849075</v>
      </c>
      <c r="L40" s="97"/>
    </row>
    <row r="41" spans="1:12" ht="10.5" customHeight="1">
      <c r="A41" s="72"/>
      <c r="B41" s="433"/>
      <c r="C41" s="430"/>
      <c r="D41" s="431"/>
      <c r="E41" s="434"/>
      <c r="F41" s="434"/>
      <c r="G41" s="434"/>
      <c r="H41" s="171"/>
      <c r="I41" s="434"/>
      <c r="J41" s="607"/>
      <c r="K41" s="613"/>
      <c r="L41" s="97"/>
    </row>
    <row r="42" spans="1:12" ht="12" customHeight="1">
      <c r="A42" s="72"/>
      <c r="B42" s="433" t="s">
        <v>160</v>
      </c>
      <c r="C42" s="430"/>
      <c r="D42" s="431"/>
      <c r="E42" s="434"/>
      <c r="F42" s="434"/>
      <c r="G42" s="434"/>
      <c r="H42" s="171"/>
      <c r="I42" s="434"/>
      <c r="J42" s="607"/>
      <c r="K42" s="613"/>
      <c r="L42" s="97"/>
    </row>
    <row r="43" spans="1:12" ht="12" customHeight="1">
      <c r="A43" s="72"/>
      <c r="B43" s="433" t="s">
        <v>386</v>
      </c>
      <c r="C43" s="430">
        <v>0</v>
      </c>
      <c r="D43" s="431">
        <v>0</v>
      </c>
      <c r="E43" s="434">
        <v>0</v>
      </c>
      <c r="F43" s="683">
        <f>517863395+597908044+64961517+57768552</f>
        <v>1238501508</v>
      </c>
      <c r="G43" s="437">
        <v>0</v>
      </c>
      <c r="H43" s="645">
        <v>0</v>
      </c>
      <c r="I43" s="437">
        <v>0</v>
      </c>
      <c r="J43" s="607">
        <f>SUM(C43:I43)</f>
        <v>1238501508</v>
      </c>
      <c r="K43" s="613">
        <v>993958120</v>
      </c>
      <c r="L43" s="97"/>
    </row>
    <row r="44" spans="1:12" ht="9.75" customHeight="1">
      <c r="A44" s="72"/>
      <c r="B44" s="433"/>
      <c r="C44" s="430"/>
      <c r="D44" s="431"/>
      <c r="E44" s="434"/>
      <c r="F44" s="437"/>
      <c r="G44" s="434"/>
      <c r="H44" s="171"/>
      <c r="I44" s="434"/>
      <c r="J44" s="607"/>
      <c r="K44" s="613"/>
      <c r="L44" s="97"/>
    </row>
    <row r="45" spans="1:12" ht="12" customHeight="1">
      <c r="A45" s="72"/>
      <c r="B45" s="436" t="s">
        <v>387</v>
      </c>
      <c r="C45" s="430"/>
      <c r="D45" s="431"/>
      <c r="E45" s="434"/>
      <c r="F45" s="437"/>
      <c r="G45" s="434"/>
      <c r="H45" s="171"/>
      <c r="I45" s="434"/>
      <c r="J45" s="607"/>
      <c r="K45" s="613"/>
      <c r="L45" s="97"/>
    </row>
    <row r="46" spans="1:12" ht="12" customHeight="1">
      <c r="A46" s="72"/>
      <c r="B46" s="436" t="s">
        <v>388</v>
      </c>
      <c r="C46" s="430">
        <v>0</v>
      </c>
      <c r="D46" s="431">
        <v>0</v>
      </c>
      <c r="E46" s="434">
        <v>0</v>
      </c>
      <c r="F46" s="437">
        <v>0</v>
      </c>
      <c r="G46" s="434">
        <v>0</v>
      </c>
      <c r="H46" s="171">
        <v>0</v>
      </c>
      <c r="I46" s="434">
        <v>0</v>
      </c>
      <c r="J46" s="607">
        <f>SUM(C46:I46)</f>
        <v>0</v>
      </c>
      <c r="K46" s="613">
        <v>687008598</v>
      </c>
      <c r="L46" s="97"/>
    </row>
    <row r="47" spans="1:12" ht="12" customHeight="1">
      <c r="A47" s="72"/>
      <c r="B47" s="436"/>
      <c r="C47" s="430"/>
      <c r="D47" s="431"/>
      <c r="E47" s="434"/>
      <c r="F47" s="437"/>
      <c r="G47" s="434"/>
      <c r="H47" s="171"/>
      <c r="I47" s="434"/>
      <c r="J47" s="607"/>
      <c r="K47" s="613"/>
      <c r="L47" s="97"/>
    </row>
    <row r="48" spans="1:12" ht="12" customHeight="1">
      <c r="A48" s="72"/>
      <c r="B48" s="436" t="s">
        <v>389</v>
      </c>
      <c r="C48" s="430">
        <v>0</v>
      </c>
      <c r="D48" s="431">
        <v>0</v>
      </c>
      <c r="E48" s="434">
        <v>0</v>
      </c>
      <c r="F48" s="437">
        <v>0</v>
      </c>
      <c r="G48" s="434">
        <v>0</v>
      </c>
      <c r="H48" s="171">
        <v>5948799653</v>
      </c>
      <c r="I48" s="434"/>
      <c r="J48" s="607">
        <f>SUM(C48:I48)</f>
        <v>5948799653</v>
      </c>
      <c r="K48" s="613">
        <v>6675057184</v>
      </c>
      <c r="L48" s="97"/>
    </row>
    <row r="49" spans="1:12" ht="12" customHeight="1">
      <c r="A49" s="72"/>
      <c r="B49" s="436"/>
      <c r="C49" s="430"/>
      <c r="D49" s="431"/>
      <c r="E49" s="434"/>
      <c r="F49" s="437"/>
      <c r="G49" s="434"/>
      <c r="H49" s="171"/>
      <c r="I49" s="434"/>
      <c r="J49" s="607"/>
      <c r="K49" s="613"/>
      <c r="L49" s="97"/>
    </row>
    <row r="50" spans="1:12" ht="12" customHeight="1">
      <c r="A50" s="72"/>
      <c r="B50" s="436" t="s">
        <v>390</v>
      </c>
      <c r="C50" s="430">
        <v>0</v>
      </c>
      <c r="D50" s="431">
        <v>0</v>
      </c>
      <c r="E50" s="434">
        <f>281729981+45888605</f>
        <v>327618586</v>
      </c>
      <c r="F50" s="437">
        <v>0</v>
      </c>
      <c r="G50" s="434">
        <v>0</v>
      </c>
      <c r="H50" s="171">
        <v>0</v>
      </c>
      <c r="I50" s="434">
        <v>0</v>
      </c>
      <c r="J50" s="607">
        <f>SUM(C50:I50)</f>
        <v>327618586</v>
      </c>
      <c r="K50" s="613">
        <v>435815089</v>
      </c>
      <c r="L50" s="97"/>
    </row>
    <row r="51" spans="1:12" ht="12" customHeight="1">
      <c r="A51" s="72"/>
      <c r="B51" s="436"/>
      <c r="C51" s="430"/>
      <c r="D51" s="431"/>
      <c r="E51" s="434"/>
      <c r="F51" s="437"/>
      <c r="G51" s="434"/>
      <c r="H51" s="171"/>
      <c r="I51" s="434"/>
      <c r="J51" s="607"/>
      <c r="K51" s="613"/>
      <c r="L51" s="97"/>
    </row>
    <row r="52" spans="1:12" ht="12" customHeight="1">
      <c r="A52" s="72"/>
      <c r="B52" s="436" t="s">
        <v>391</v>
      </c>
      <c r="C52" s="430">
        <v>0</v>
      </c>
      <c r="D52" s="431">
        <v>0</v>
      </c>
      <c r="E52" s="434">
        <f>3269858856+219439745+2367430+1276940</f>
        <v>3492942971</v>
      </c>
      <c r="F52" s="437">
        <v>0</v>
      </c>
      <c r="G52" s="437">
        <v>0</v>
      </c>
      <c r="H52" s="645">
        <v>0</v>
      </c>
      <c r="I52" s="434">
        <v>0</v>
      </c>
      <c r="J52" s="607">
        <f>E52</f>
        <v>3492942971</v>
      </c>
      <c r="K52" s="613">
        <v>5860292797</v>
      </c>
      <c r="L52" s="97"/>
    </row>
    <row r="53" spans="1:12" ht="12" customHeight="1">
      <c r="A53" s="72"/>
      <c r="B53" s="436"/>
      <c r="C53" s="430"/>
      <c r="D53" s="431"/>
      <c r="E53" s="434"/>
      <c r="F53" s="437"/>
      <c r="G53" s="646"/>
      <c r="H53" s="197"/>
      <c r="I53" s="434"/>
      <c r="J53" s="607"/>
      <c r="K53" s="613"/>
      <c r="L53" s="97"/>
    </row>
    <row r="54" spans="1:12" ht="12.75">
      <c r="A54" s="72"/>
      <c r="B54" s="433" t="s">
        <v>363</v>
      </c>
      <c r="C54" s="434">
        <v>0</v>
      </c>
      <c r="D54" s="431">
        <v>0</v>
      </c>
      <c r="E54" s="434">
        <f>4231568390+6695260351-E16-E18-E20-E24-E22-E50-E52-E28-E37-E34</f>
        <v>-2721691134</v>
      </c>
      <c r="F54" s="437">
        <f>31611390834+505467934+2099288713+1407435675+236121001+346790671-F13-F16-F18-F20-F22-F28-F31-F34-F37-F40-F43</f>
        <v>326442040</v>
      </c>
      <c r="G54" s="437">
        <f>487160356443-436596399924+28503359003-G16-G18-G20-G24-G26-G28-G46-G48-G22-G37</f>
        <v>36550747676</v>
      </c>
      <c r="H54" s="645">
        <f>20107393717-H16-H18-H20-H22-H28-H37-H48</f>
        <v>7144667881</v>
      </c>
      <c r="I54" s="434">
        <v>0</v>
      </c>
      <c r="J54" s="609">
        <f>SUM(C54:I54)</f>
        <v>41300166463</v>
      </c>
      <c r="K54" s="613">
        <v>58388066101</v>
      </c>
      <c r="L54" s="97"/>
    </row>
    <row r="55" spans="1:14" ht="12.75">
      <c r="A55" s="72"/>
      <c r="B55" s="441" t="s">
        <v>583</v>
      </c>
      <c r="C55" s="252">
        <v>0</v>
      </c>
      <c r="D55" s="442">
        <v>0</v>
      </c>
      <c r="E55" s="252">
        <f aca="true" t="shared" si="0" ref="E55:J55">SUM(E13:E54)</f>
        <v>10926828741</v>
      </c>
      <c r="F55" s="252">
        <f t="shared" si="0"/>
        <v>36206494828</v>
      </c>
      <c r="G55" s="252">
        <f t="shared" si="0"/>
        <v>79067315522</v>
      </c>
      <c r="H55" s="252">
        <f t="shared" si="0"/>
        <v>20107393717</v>
      </c>
      <c r="I55" s="252">
        <f t="shared" si="0"/>
        <v>0</v>
      </c>
      <c r="J55" s="610">
        <f t="shared" si="0"/>
        <v>146308032808</v>
      </c>
      <c r="K55" s="629"/>
      <c r="L55" s="97"/>
      <c r="M55" s="122"/>
      <c r="N55" s="690"/>
    </row>
    <row r="56" spans="1:12" ht="13.5" thickBot="1">
      <c r="A56" s="72"/>
      <c r="B56" s="444"/>
      <c r="C56" s="445"/>
      <c r="D56" s="446"/>
      <c r="E56" s="647"/>
      <c r="F56" s="647"/>
      <c r="G56" s="589"/>
      <c r="H56" s="648"/>
      <c r="I56" s="589"/>
      <c r="J56" s="611"/>
      <c r="K56" s="615"/>
      <c r="L56" s="97"/>
    </row>
    <row r="57" spans="1:14" s="69" customFormat="1" ht="13.5" thickBot="1">
      <c r="A57" s="72"/>
      <c r="B57" s="447" t="s">
        <v>589</v>
      </c>
      <c r="C57" s="448">
        <v>0</v>
      </c>
      <c r="D57" s="449">
        <v>0</v>
      </c>
      <c r="E57" s="649">
        <v>11961615577</v>
      </c>
      <c r="F57" s="650">
        <v>26820104195</v>
      </c>
      <c r="G57" s="651">
        <v>90889206387</v>
      </c>
      <c r="H57" s="652">
        <v>20001662987</v>
      </c>
      <c r="I57" s="588">
        <v>0</v>
      </c>
      <c r="J57" s="612">
        <v>0</v>
      </c>
      <c r="K57" s="616">
        <f>SUM(K13:K54)</f>
        <v>149672589146</v>
      </c>
      <c r="L57" s="97"/>
      <c r="M57" s="136"/>
      <c r="N57" s="136"/>
    </row>
    <row r="58" spans="1:12" ht="12.75">
      <c r="A58" s="72"/>
      <c r="B58" s="72"/>
      <c r="C58" s="169"/>
      <c r="D58" s="169"/>
      <c r="E58" s="193"/>
      <c r="F58" s="193"/>
      <c r="G58" s="193"/>
      <c r="H58" s="193"/>
      <c r="I58" s="193"/>
      <c r="J58" s="184"/>
      <c r="K58" s="171"/>
      <c r="L58" s="97"/>
    </row>
    <row r="59" spans="1:14" s="271" customFormat="1" ht="12">
      <c r="A59" s="88"/>
      <c r="B59" s="88"/>
      <c r="C59" s="258"/>
      <c r="D59" s="258"/>
      <c r="E59" s="285"/>
      <c r="F59" s="171"/>
      <c r="G59" s="285"/>
      <c r="H59" s="653"/>
      <c r="I59" s="285"/>
      <c r="J59" s="285"/>
      <c r="K59" s="171"/>
      <c r="L59" s="346"/>
      <c r="N59" s="135"/>
    </row>
    <row r="60" spans="1:12" ht="12.75">
      <c r="A60" s="286"/>
      <c r="B60" s="286"/>
      <c r="C60" s="150"/>
      <c r="D60" s="150"/>
      <c r="E60" s="142"/>
      <c r="F60" s="142"/>
      <c r="G60" s="142"/>
      <c r="H60" s="142"/>
      <c r="I60" s="412"/>
      <c r="J60" s="626"/>
      <c r="K60" s="150"/>
      <c r="L60" s="151"/>
    </row>
    <row r="61" spans="5:16" ht="12.75">
      <c r="E61" s="44"/>
      <c r="F61" s="44"/>
      <c r="G61" s="44"/>
      <c r="H61" s="44"/>
      <c r="J61" s="87"/>
      <c r="P61" s="87"/>
    </row>
    <row r="62" spans="5:10" ht="12.75">
      <c r="E62" s="179"/>
      <c r="F62" s="179"/>
      <c r="G62" s="179"/>
      <c r="H62" s="179"/>
      <c r="J62" s="122"/>
    </row>
    <row r="63" spans="5:10" ht="12.75">
      <c r="E63" s="179"/>
      <c r="F63" s="179"/>
      <c r="G63" s="260"/>
      <c r="H63" s="260"/>
      <c r="J63" s="176"/>
    </row>
    <row r="64" spans="5:10" ht="12.75">
      <c r="E64" s="179"/>
      <c r="F64" s="103"/>
      <c r="G64" s="179"/>
      <c r="H64" s="179"/>
      <c r="J64" s="176"/>
    </row>
    <row r="65" spans="5:10" ht="12.75">
      <c r="E65" s="179"/>
      <c r="F65" s="103"/>
      <c r="G65" s="179"/>
      <c r="H65" s="179"/>
      <c r="J65" s="171"/>
    </row>
    <row r="66" spans="5:11" ht="12.75">
      <c r="E66" s="103"/>
      <c r="F66" s="103"/>
      <c r="G66" s="103"/>
      <c r="H66" s="103"/>
      <c r="J66" s="122"/>
      <c r="K66" s="207"/>
    </row>
    <row r="67" spans="5:10" ht="12.75">
      <c r="E67" s="179"/>
      <c r="F67" s="103"/>
      <c r="G67" s="103"/>
      <c r="H67" s="103"/>
      <c r="J67" s="122"/>
    </row>
    <row r="68" spans="5:10" ht="12.75">
      <c r="E68" s="179"/>
      <c r="F68" s="103"/>
      <c r="G68" s="103"/>
      <c r="H68" s="103"/>
      <c r="J68" s="122"/>
    </row>
    <row r="69" spans="5:10" ht="12.75">
      <c r="E69" s="179"/>
      <c r="F69" s="64"/>
      <c r="G69" s="103"/>
      <c r="H69" s="103"/>
      <c r="J69" s="122"/>
    </row>
    <row r="70" spans="5:11" ht="12.75">
      <c r="E70" s="103"/>
      <c r="F70" s="103"/>
      <c r="G70" s="103"/>
      <c r="H70" s="103"/>
      <c r="J70" s="122"/>
      <c r="K70" s="136"/>
    </row>
    <row r="71" spans="5:11" ht="12.75">
      <c r="E71" s="103"/>
      <c r="F71" s="103"/>
      <c r="G71" s="103"/>
      <c r="H71" s="103"/>
      <c r="J71" s="122"/>
      <c r="K71" s="136"/>
    </row>
    <row r="72" spans="5:11" ht="12.75">
      <c r="E72" s="103"/>
      <c r="F72" s="103"/>
      <c r="G72" s="103"/>
      <c r="H72" s="103"/>
      <c r="J72" s="122"/>
      <c r="K72" s="570"/>
    </row>
    <row r="73" spans="5:10" ht="12.75">
      <c r="E73" s="103"/>
      <c r="F73" s="103"/>
      <c r="G73" s="103"/>
      <c r="H73" s="103"/>
      <c r="J73" s="122"/>
    </row>
    <row r="74" spans="5:10" ht="12.75">
      <c r="E74" s="103"/>
      <c r="F74" s="103"/>
      <c r="G74" s="103"/>
      <c r="H74" s="103"/>
      <c r="J74" s="122"/>
    </row>
    <row r="75" spans="5:10" ht="12.75">
      <c r="E75" s="103"/>
      <c r="F75" s="103"/>
      <c r="G75" s="103"/>
      <c r="H75" s="103"/>
      <c r="J75" s="122"/>
    </row>
    <row r="76" spans="5:10" ht="12.75">
      <c r="E76" s="103"/>
      <c r="F76" s="103"/>
      <c r="G76" s="103"/>
      <c r="H76" s="103"/>
      <c r="J76" s="122"/>
    </row>
    <row r="77" spans="5:10" ht="12.75">
      <c r="E77" s="103"/>
      <c r="F77" s="103"/>
      <c r="G77" s="103"/>
      <c r="H77" s="103"/>
      <c r="J77" s="122"/>
    </row>
    <row r="78" spans="5:10" ht="12.75">
      <c r="E78" s="103"/>
      <c r="F78" s="103"/>
      <c r="G78" s="103"/>
      <c r="H78" s="103"/>
      <c r="J78" s="122"/>
    </row>
    <row r="79" spans="5:10" ht="12.75">
      <c r="E79" s="103"/>
      <c r="F79" s="103"/>
      <c r="G79" s="103"/>
      <c r="H79" s="103"/>
      <c r="J79" s="122"/>
    </row>
    <row r="80" spans="5:10" ht="12.75">
      <c r="E80" s="103"/>
      <c r="F80" s="103"/>
      <c r="G80" s="103"/>
      <c r="H80" s="103"/>
      <c r="J80" s="122"/>
    </row>
    <row r="81" spans="5:10" ht="12.75">
      <c r="E81" s="103"/>
      <c r="F81" s="103"/>
      <c r="G81" s="103"/>
      <c r="H81" s="103"/>
      <c r="J81" s="122"/>
    </row>
    <row r="82" spans="5:10" ht="12.75">
      <c r="E82" s="179"/>
      <c r="F82" s="179"/>
      <c r="G82" s="179"/>
      <c r="H82" s="179"/>
      <c r="I82" s="44"/>
      <c r="J82" s="122"/>
    </row>
    <row r="83" spans="5:10" ht="12.75">
      <c r="E83" s="691"/>
      <c r="F83" s="691"/>
      <c r="G83" s="691"/>
      <c r="H83" s="691"/>
      <c r="J83" s="122"/>
    </row>
    <row r="84" spans="5:10" ht="12.75">
      <c r="E84" s="44"/>
      <c r="F84" s="122"/>
      <c r="G84" s="135"/>
      <c r="H84" s="135"/>
      <c r="J84" s="122"/>
    </row>
    <row r="85" spans="5:10" ht="12.75">
      <c r="E85" s="44"/>
      <c r="F85" s="692"/>
      <c r="G85" s="135"/>
      <c r="H85" s="135"/>
      <c r="I85" s="44"/>
      <c r="J85" s="122"/>
    </row>
    <row r="86" spans="1:13" ht="15.75">
      <c r="A86" s="175"/>
      <c r="B86" s="316"/>
      <c r="C86" s="450"/>
      <c r="D86" s="450"/>
      <c r="E86" s="450"/>
      <c r="F86" s="654"/>
      <c r="G86" s="450"/>
      <c r="H86" s="655"/>
      <c r="I86" s="450"/>
      <c r="J86" s="451"/>
      <c r="K86" s="420"/>
      <c r="L86" s="175"/>
      <c r="M86" s="175"/>
    </row>
    <row r="87" spans="1:13" ht="12.75">
      <c r="A87" s="175"/>
      <c r="B87" s="452"/>
      <c r="C87" s="452"/>
      <c r="D87" s="452"/>
      <c r="E87" s="195"/>
      <c r="F87" s="103"/>
      <c r="G87" s="452"/>
      <c r="H87" s="1066"/>
      <c r="I87" s="1066"/>
      <c r="J87" s="451"/>
      <c r="K87" s="141"/>
      <c r="L87" s="175"/>
      <c r="M87" s="175"/>
    </row>
    <row r="88" spans="1:13" ht="12.75">
      <c r="A88" s="175"/>
      <c r="B88" s="186"/>
      <c r="C88" s="188"/>
      <c r="D88" s="188"/>
      <c r="E88" s="188"/>
      <c r="F88" s="189"/>
      <c r="G88" s="188"/>
      <c r="H88" s="451"/>
      <c r="I88" s="188"/>
      <c r="J88" s="189"/>
      <c r="K88" s="191"/>
      <c r="L88" s="175"/>
      <c r="M88" s="175"/>
    </row>
    <row r="89" spans="1:13" ht="12.75">
      <c r="A89" s="175"/>
      <c r="B89" s="453"/>
      <c r="C89" s="453"/>
      <c r="D89" s="453"/>
      <c r="E89" s="195"/>
      <c r="F89" s="453"/>
      <c r="G89" s="451"/>
      <c r="H89" s="451"/>
      <c r="I89" s="453"/>
      <c r="J89" s="195"/>
      <c r="K89" s="191"/>
      <c r="L89" s="175"/>
      <c r="M89" s="175"/>
    </row>
    <row r="90" spans="1:13" ht="12.75">
      <c r="A90" s="175"/>
      <c r="B90" s="186"/>
      <c r="C90" s="453"/>
      <c r="D90" s="453"/>
      <c r="E90" s="453"/>
      <c r="F90" s="314"/>
      <c r="G90" s="451"/>
      <c r="I90" s="314"/>
      <c r="J90" s="195"/>
      <c r="K90" s="191"/>
      <c r="L90" s="175"/>
      <c r="M90" s="175"/>
    </row>
  </sheetData>
  <sheetProtection selectLockedCells="1" selectUnlockedCells="1"/>
  <mergeCells count="7">
    <mergeCell ref="H87:I87"/>
    <mergeCell ref="B1:K1"/>
    <mergeCell ref="B2:K2"/>
    <mergeCell ref="B5:K5"/>
    <mergeCell ref="C7:E7"/>
    <mergeCell ref="F7:I7"/>
    <mergeCell ref="J7:K7"/>
  </mergeCells>
  <printOptions/>
  <pageMargins left="0.3937007874015748" right="0.3937007874015748" top="1.6929133858267718" bottom="0.3937007874015748" header="0.3937007874015748" footer="0.3937007874015748"/>
  <pageSetup horizontalDpi="600" verticalDpi="600" orientation="portrait" scale="6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H36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1.28515625" style="0" customWidth="1"/>
    <col min="2" max="2" width="38.7109375" style="0" customWidth="1"/>
    <col min="3" max="3" width="20.7109375" style="0" customWidth="1"/>
    <col min="4" max="4" width="20.7109375" style="69" customWidth="1"/>
    <col min="5" max="5" width="2.28125" style="0" customWidth="1"/>
    <col min="6" max="6" width="13.7109375" style="0" customWidth="1"/>
    <col min="7" max="7" width="14.7109375" style="0" bestFit="1" customWidth="1"/>
    <col min="8" max="8" width="13.7109375" style="0" customWidth="1"/>
  </cols>
  <sheetData>
    <row r="1" spans="1:5" ht="12.75">
      <c r="A1" s="287"/>
      <c r="B1" s="454"/>
      <c r="C1" s="455"/>
      <c r="D1" s="138"/>
      <c r="E1" s="328"/>
    </row>
    <row r="2" spans="1:5" ht="12.75">
      <c r="A2" s="327"/>
      <c r="B2" s="1041" t="s">
        <v>590</v>
      </c>
      <c r="C2" s="1041"/>
      <c r="D2" s="1041"/>
      <c r="E2" s="154"/>
    </row>
    <row r="3" spans="1:5" ht="12.75">
      <c r="A3" s="327"/>
      <c r="B3" s="288"/>
      <c r="C3" s="456"/>
      <c r="D3" s="78"/>
      <c r="E3" s="154"/>
    </row>
    <row r="4" spans="1:5" ht="12.75">
      <c r="A4" s="327"/>
      <c r="B4" s="457" t="s">
        <v>30</v>
      </c>
      <c r="C4" s="458"/>
      <c r="D4" s="330" t="s">
        <v>392</v>
      </c>
      <c r="E4" s="154"/>
    </row>
    <row r="5" spans="1:5" ht="12.75">
      <c r="A5" s="327"/>
      <c r="B5" s="457"/>
      <c r="C5" s="458"/>
      <c r="D5" s="330"/>
      <c r="E5" s="154"/>
    </row>
    <row r="6" spans="1:5" ht="12.75">
      <c r="A6" s="327"/>
      <c r="B6" s="1041" t="s">
        <v>393</v>
      </c>
      <c r="C6" s="1041"/>
      <c r="D6" s="1041"/>
      <c r="E6" s="154"/>
    </row>
    <row r="7" spans="1:5" ht="12.75">
      <c r="A7" s="327"/>
      <c r="B7" s="457"/>
      <c r="C7" s="458"/>
      <c r="D7" s="74"/>
      <c r="E7" s="154"/>
    </row>
    <row r="8" spans="1:5" ht="12.75">
      <c r="A8" s="327"/>
      <c r="B8" s="457"/>
      <c r="C8" s="458"/>
      <c r="D8" s="330"/>
      <c r="E8" s="154"/>
    </row>
    <row r="9" spans="1:5" ht="12.75">
      <c r="A9" s="327"/>
      <c r="B9" s="457"/>
      <c r="C9" s="458"/>
      <c r="D9" s="74"/>
      <c r="E9" s="154"/>
    </row>
    <row r="10" spans="1:5" ht="12.75">
      <c r="A10" s="327"/>
      <c r="B10" s="459"/>
      <c r="C10" s="1071" t="s">
        <v>394</v>
      </c>
      <c r="D10" s="1071"/>
      <c r="E10" s="154"/>
    </row>
    <row r="11" spans="1:5" ht="12.75">
      <c r="A11" s="327"/>
      <c r="B11" s="460" t="s">
        <v>395</v>
      </c>
      <c r="C11" s="461">
        <v>43830</v>
      </c>
      <c r="D11" s="462">
        <v>43465</v>
      </c>
      <c r="E11" s="154"/>
    </row>
    <row r="12" spans="1:5" ht="12.75">
      <c r="A12" s="327"/>
      <c r="B12" s="463"/>
      <c r="C12" s="463"/>
      <c r="D12" s="348"/>
      <c r="E12" s="154"/>
    </row>
    <row r="13" spans="1:8" ht="12.75">
      <c r="A13" s="327"/>
      <c r="B13" s="334" t="s">
        <v>396</v>
      </c>
      <c r="C13" s="593">
        <f>24758619330+593161972512+6000588997+1782234216+8609970825</f>
        <v>634313385880</v>
      </c>
      <c r="D13" s="336">
        <v>604347348726</v>
      </c>
      <c r="E13" s="154"/>
      <c r="F13" s="87"/>
      <c r="G13" s="87"/>
      <c r="H13" s="87"/>
    </row>
    <row r="14" spans="1:5" ht="12.75">
      <c r="A14" s="327"/>
      <c r="B14" s="334"/>
      <c r="C14" s="593"/>
      <c r="D14" s="336"/>
      <c r="E14" s="154"/>
    </row>
    <row r="15" spans="1:8" ht="12.75">
      <c r="A15" s="327"/>
      <c r="B15" s="334" t="s">
        <v>397</v>
      </c>
      <c r="C15" s="593">
        <f>415+19</f>
        <v>434</v>
      </c>
      <c r="D15" s="336">
        <v>388</v>
      </c>
      <c r="E15" s="154"/>
      <c r="F15" s="87"/>
      <c r="G15" s="87"/>
      <c r="H15" s="87"/>
    </row>
    <row r="16" spans="1:5" ht="12.75">
      <c r="A16" s="327"/>
      <c r="B16" s="334"/>
      <c r="C16" s="593"/>
      <c r="D16" s="336"/>
      <c r="E16" s="154"/>
    </row>
    <row r="17" spans="1:6" ht="12.75">
      <c r="A17" s="327"/>
      <c r="B17" s="337" t="s">
        <v>398</v>
      </c>
      <c r="C17" s="593">
        <f>321511453+201263986+10778090</f>
        <v>533553529</v>
      </c>
      <c r="D17" s="336">
        <v>511860490</v>
      </c>
      <c r="E17" s="154"/>
      <c r="F17" s="87"/>
    </row>
    <row r="18" spans="1:5" ht="12.75">
      <c r="A18" s="327"/>
      <c r="B18" s="334"/>
      <c r="C18" s="336"/>
      <c r="D18" s="336"/>
      <c r="E18" s="154"/>
    </row>
    <row r="19" spans="1:5" ht="12.75">
      <c r="A19" s="327"/>
      <c r="B19" s="334" t="s">
        <v>399</v>
      </c>
      <c r="C19" s="336">
        <v>1</v>
      </c>
      <c r="D19" s="336">
        <v>1</v>
      </c>
      <c r="E19" s="154"/>
    </row>
    <row r="20" spans="1:5" ht="12.75">
      <c r="A20" s="327"/>
      <c r="B20" s="464"/>
      <c r="C20" s="465"/>
      <c r="D20" s="352"/>
      <c r="E20" s="154"/>
    </row>
    <row r="21" spans="1:5" ht="12.75">
      <c r="A21" s="327"/>
      <c r="B21" s="327"/>
      <c r="C21" s="57"/>
      <c r="D21" s="193"/>
      <c r="E21" s="154"/>
    </row>
    <row r="22" spans="1:5" ht="12.75">
      <c r="A22" s="327"/>
      <c r="B22" s="327"/>
      <c r="C22" s="57"/>
      <c r="D22" s="193"/>
      <c r="E22" s="154"/>
    </row>
    <row r="23" spans="1:5" ht="12.75">
      <c r="A23" s="327"/>
      <c r="B23" s="327"/>
      <c r="C23" s="57"/>
      <c r="D23" s="193"/>
      <c r="E23" s="154"/>
    </row>
    <row r="24" spans="1:5" ht="12.75">
      <c r="A24" s="327"/>
      <c r="B24" s="327"/>
      <c r="C24" s="193"/>
      <c r="D24" s="193"/>
      <c r="E24" s="154"/>
    </row>
    <row r="25" spans="1:5" ht="12.75">
      <c r="A25" s="327"/>
      <c r="B25" s="327"/>
      <c r="C25" s="57"/>
      <c r="D25" s="193"/>
      <c r="E25" s="154"/>
    </row>
    <row r="26" spans="1:5" ht="12.75">
      <c r="A26" s="327"/>
      <c r="B26" s="327"/>
      <c r="C26" s="57"/>
      <c r="D26" s="193"/>
      <c r="E26" s="154"/>
    </row>
    <row r="27" spans="1:5" ht="12.75">
      <c r="A27" s="339"/>
      <c r="B27" s="339"/>
      <c r="C27" s="466"/>
      <c r="D27" s="412"/>
      <c r="E27" s="185"/>
    </row>
    <row r="28" spans="1:4" ht="12.75">
      <c r="A28" s="2"/>
      <c r="B28" s="2"/>
      <c r="C28" s="2"/>
      <c r="D28" s="3"/>
    </row>
    <row r="29" spans="1:4" ht="12.75">
      <c r="A29" s="2"/>
      <c r="B29" s="2"/>
      <c r="C29" s="2"/>
      <c r="D29" s="3"/>
    </row>
    <row r="30" spans="1:4" ht="12.75">
      <c r="A30" s="2"/>
      <c r="B30" s="2"/>
      <c r="C30" s="44"/>
      <c r="D30" s="3"/>
    </row>
    <row r="31" spans="1:4" ht="12.75">
      <c r="A31" s="2"/>
      <c r="B31" s="2"/>
      <c r="C31" s="44"/>
      <c r="D31" s="3"/>
    </row>
    <row r="32" spans="1:4" ht="12.75">
      <c r="A32" s="2"/>
      <c r="B32" s="2"/>
      <c r="C32" s="2"/>
      <c r="D32" s="3"/>
    </row>
    <row r="33" spans="1:4" ht="12.75">
      <c r="A33" s="2"/>
      <c r="B33" s="2"/>
      <c r="C33" s="2"/>
      <c r="D33" s="3"/>
    </row>
    <row r="34" spans="1:4" ht="12.75">
      <c r="A34" s="2"/>
      <c r="B34" s="2"/>
      <c r="C34" s="2"/>
      <c r="D34" s="3"/>
    </row>
    <row r="35" spans="1:4" ht="12.75">
      <c r="A35" s="2"/>
      <c r="B35" s="2"/>
      <c r="C35" s="2"/>
      <c r="D35" s="3"/>
    </row>
    <row r="36" spans="1:4" ht="12.75">
      <c r="A36" s="2"/>
      <c r="B36" s="2"/>
      <c r="C36" s="2"/>
      <c r="D36" s="3"/>
    </row>
  </sheetData>
  <sheetProtection selectLockedCells="1" selectUnlockedCells="1"/>
  <mergeCells count="3">
    <mergeCell ref="B2:D2"/>
    <mergeCell ref="B6:D6"/>
    <mergeCell ref="C10:D10"/>
  </mergeCells>
  <printOptions/>
  <pageMargins left="1.7201388888888889" right="0.5902777777777778" top="1.7319444444444445" bottom="0.9840277777777777" header="0.5118055555555555" footer="0.5118055555555555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G74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2.7109375" style="0" customWidth="1"/>
    <col min="2" max="2" width="43.00390625" style="0" customWidth="1"/>
    <col min="3" max="3" width="20.7109375" style="0" customWidth="1"/>
    <col min="4" max="4" width="20.7109375" style="69" customWidth="1"/>
    <col min="5" max="5" width="6.00390625" style="0" customWidth="1"/>
    <col min="7" max="7" width="16.421875" style="0" customWidth="1"/>
  </cols>
  <sheetData>
    <row r="1" spans="1:5" ht="12.75">
      <c r="A1" s="287"/>
      <c r="B1" s="454"/>
      <c r="C1" s="455"/>
      <c r="D1" s="138"/>
      <c r="E1" s="328"/>
    </row>
    <row r="2" spans="1:5" ht="12.75">
      <c r="A2" s="180"/>
      <c r="B2" s="1072" t="s">
        <v>609</v>
      </c>
      <c r="C2" s="1072"/>
      <c r="D2" s="1072"/>
      <c r="E2" s="1072"/>
    </row>
    <row r="3" spans="1:6" ht="12.75">
      <c r="A3" s="180"/>
      <c r="B3" s="288"/>
      <c r="C3" s="456"/>
      <c r="D3" s="78"/>
      <c r="E3" s="1"/>
      <c r="F3" s="87"/>
    </row>
    <row r="4" spans="1:6" ht="12.75">
      <c r="A4" s="180"/>
      <c r="B4" s="457"/>
      <c r="C4" s="458"/>
      <c r="D4" s="330" t="s">
        <v>400</v>
      </c>
      <c r="E4" s="1"/>
      <c r="F4" s="87"/>
    </row>
    <row r="5" spans="1:6" ht="12.75">
      <c r="A5" s="180"/>
      <c r="B5" s="327"/>
      <c r="C5" s="329"/>
      <c r="D5" s="331"/>
      <c r="E5" s="1"/>
      <c r="F5" s="87"/>
    </row>
    <row r="6" spans="1:6" ht="12.75">
      <c r="A6" s="180"/>
      <c r="B6" s="457"/>
      <c r="C6" s="458"/>
      <c r="D6" s="74"/>
      <c r="E6" s="1"/>
      <c r="F6" s="87"/>
    </row>
    <row r="7" spans="1:5" ht="12.75">
      <c r="A7" s="180"/>
      <c r="B7" s="1041" t="s">
        <v>401</v>
      </c>
      <c r="C7" s="1041"/>
      <c r="D7" s="1041"/>
      <c r="E7" s="1"/>
    </row>
    <row r="8" spans="1:5" ht="12.75">
      <c r="A8" s="180"/>
      <c r="B8" s="457"/>
      <c r="C8" s="458"/>
      <c r="D8" s="74"/>
      <c r="E8" s="1"/>
    </row>
    <row r="9" spans="1:5" ht="12.75">
      <c r="A9" s="180"/>
      <c r="B9" s="457"/>
      <c r="C9" s="458"/>
      <c r="D9" s="74"/>
      <c r="E9" s="1"/>
    </row>
    <row r="10" spans="1:5" ht="12.75">
      <c r="A10" s="180"/>
      <c r="B10" s="459"/>
      <c r="C10" s="467" t="s">
        <v>402</v>
      </c>
      <c r="D10" s="468"/>
      <c r="E10" s="1"/>
    </row>
    <row r="11" spans="1:5" ht="15.75" customHeight="1">
      <c r="A11" s="180"/>
      <c r="B11" s="332" t="s">
        <v>403</v>
      </c>
      <c r="C11" s="461">
        <v>43830</v>
      </c>
      <c r="D11" s="462">
        <v>43465</v>
      </c>
      <c r="E11" s="1"/>
    </row>
    <row r="12" spans="1:5" ht="12.75">
      <c r="A12" s="180"/>
      <c r="B12" s="334"/>
      <c r="C12" s="334"/>
      <c r="D12" s="335"/>
      <c r="E12" s="1"/>
    </row>
    <row r="13" spans="1:7" ht="12.75">
      <c r="A13" s="180"/>
      <c r="B13" s="334" t="s">
        <v>404</v>
      </c>
      <c r="C13" s="469">
        <f>+BALANCE!C15/BALANCE!F15</f>
        <v>3.9437836065230663</v>
      </c>
      <c r="D13" s="469">
        <v>4.34</v>
      </c>
      <c r="E13" s="1"/>
      <c r="F13" s="87"/>
      <c r="G13" s="87"/>
    </row>
    <row r="14" spans="1:7" ht="12.75">
      <c r="A14" s="180"/>
      <c r="B14" s="334" t="s">
        <v>30</v>
      </c>
      <c r="C14" s="470"/>
      <c r="D14" s="470"/>
      <c r="E14" s="1"/>
      <c r="F14" s="87"/>
      <c r="G14" s="87"/>
    </row>
    <row r="15" spans="1:7" ht="12.75">
      <c r="A15" s="180"/>
      <c r="B15" s="334" t="s">
        <v>405</v>
      </c>
      <c r="C15" s="469">
        <f>BALANCE!F23/BALANCE!F27</f>
        <v>0.19685996720421634</v>
      </c>
      <c r="D15" s="469">
        <v>0.18</v>
      </c>
      <c r="E15" s="1"/>
      <c r="F15" s="87"/>
      <c r="G15" s="87"/>
    </row>
    <row r="16" spans="1:7" ht="12.75">
      <c r="A16" s="180"/>
      <c r="B16" s="334"/>
      <c r="C16" s="470"/>
      <c r="D16" s="470"/>
      <c r="E16" s="1"/>
      <c r="F16" s="87"/>
      <c r="G16" s="87"/>
    </row>
    <row r="17" spans="1:7" ht="12.75">
      <c r="A17" s="180"/>
      <c r="B17" s="334" t="s">
        <v>406</v>
      </c>
      <c r="C17" s="469">
        <v>9.2</v>
      </c>
      <c r="D17" s="469">
        <v>8</v>
      </c>
      <c r="E17" s="1"/>
      <c r="F17" s="87"/>
      <c r="G17" s="87"/>
    </row>
    <row r="18" spans="1:7" ht="12.75">
      <c r="A18" s="180"/>
      <c r="B18" s="334" t="s">
        <v>407</v>
      </c>
      <c r="C18" s="471"/>
      <c r="D18" s="469"/>
      <c r="E18" s="1"/>
      <c r="F18" s="87"/>
      <c r="G18" s="87"/>
    </row>
    <row r="19" spans="1:7" ht="12.75">
      <c r="A19" s="180"/>
      <c r="B19" s="334"/>
      <c r="C19" s="471"/>
      <c r="D19" s="469"/>
      <c r="E19" s="1"/>
      <c r="F19" s="87"/>
      <c r="G19" s="87"/>
    </row>
    <row r="20" spans="1:7" ht="12.75">
      <c r="A20" s="180"/>
      <c r="B20" s="464"/>
      <c r="C20" s="464"/>
      <c r="D20" s="350"/>
      <c r="E20" s="1"/>
      <c r="G20" s="87"/>
    </row>
    <row r="21" spans="1:7" ht="15">
      <c r="A21" s="180"/>
      <c r="B21" s="457"/>
      <c r="C21" s="472"/>
      <c r="D21" s="74"/>
      <c r="E21" s="1"/>
      <c r="G21" s="1000"/>
    </row>
    <row r="22" spans="1:7" ht="12.75">
      <c r="A22" s="180"/>
      <c r="B22" s="457"/>
      <c r="C22" s="473"/>
      <c r="D22" s="74"/>
      <c r="E22" s="1"/>
      <c r="G22" s="87"/>
    </row>
    <row r="23" spans="1:7" ht="14.25" customHeight="1">
      <c r="A23" s="180"/>
      <c r="B23" s="474"/>
      <c r="C23" s="475"/>
      <c r="D23" s="476"/>
      <c r="E23" s="1"/>
      <c r="G23" s="87"/>
    </row>
    <row r="24" spans="1:7" ht="12.75">
      <c r="A24" s="180"/>
      <c r="B24" s="477" t="s">
        <v>408</v>
      </c>
      <c r="C24" s="1073" t="s">
        <v>409</v>
      </c>
      <c r="D24" s="1073"/>
      <c r="E24" s="1"/>
      <c r="G24" s="112"/>
    </row>
    <row r="25" spans="1:7" ht="12.75">
      <c r="A25" s="180"/>
      <c r="B25" s="478" t="s">
        <v>410</v>
      </c>
      <c r="C25" s="1073" t="s">
        <v>411</v>
      </c>
      <c r="D25" s="1073"/>
      <c r="E25" s="1"/>
      <c r="G25" s="87"/>
    </row>
    <row r="26" spans="1:7" ht="12.75">
      <c r="A26" s="180"/>
      <c r="B26" s="478"/>
      <c r="C26" s="479"/>
      <c r="D26" s="480"/>
      <c r="E26" s="1"/>
      <c r="G26" s="87"/>
    </row>
    <row r="27" spans="1:7" ht="12.75">
      <c r="A27" s="180"/>
      <c r="B27" s="478"/>
      <c r="C27" s="479"/>
      <c r="D27" s="480"/>
      <c r="E27" s="1"/>
      <c r="G27" s="87"/>
    </row>
    <row r="28" spans="1:7" ht="12.75">
      <c r="A28" s="180"/>
      <c r="B28" s="478" t="s">
        <v>412</v>
      </c>
      <c r="C28" s="479"/>
      <c r="D28" s="481" t="s">
        <v>413</v>
      </c>
      <c r="E28" s="1"/>
      <c r="G28" s="87"/>
    </row>
    <row r="29" spans="1:7" s="82" customFormat="1" ht="12.75">
      <c r="A29" s="482"/>
      <c r="B29" s="483" t="s">
        <v>414</v>
      </c>
      <c r="C29" s="456"/>
      <c r="D29" s="160"/>
      <c r="E29" s="484"/>
      <c r="G29" s="65"/>
    </row>
    <row r="30" spans="1:7" s="82" customFormat="1" ht="12.75">
      <c r="A30" s="482"/>
      <c r="B30" s="477"/>
      <c r="C30" s="456"/>
      <c r="D30" s="160"/>
      <c r="E30" s="484"/>
      <c r="G30" s="65"/>
    </row>
    <row r="31" spans="1:7" ht="12.75">
      <c r="A31" s="180"/>
      <c r="B31" s="478"/>
      <c r="C31" s="479"/>
      <c r="D31" s="480"/>
      <c r="E31" s="1"/>
      <c r="G31" s="87"/>
    </row>
    <row r="32" spans="1:7" ht="12.75">
      <c r="A32" s="180"/>
      <c r="B32" s="478"/>
      <c r="C32" s="479"/>
      <c r="D32" s="480"/>
      <c r="E32" s="1"/>
      <c r="F32" s="485"/>
      <c r="G32" s="87"/>
    </row>
    <row r="33" spans="1:7" ht="12.75">
      <c r="A33" s="180"/>
      <c r="B33" s="478" t="s">
        <v>415</v>
      </c>
      <c r="C33" s="479"/>
      <c r="D33" s="480"/>
      <c r="E33" s="1"/>
      <c r="G33" s="87"/>
    </row>
    <row r="34" spans="1:7" ht="12.75">
      <c r="A34" s="180"/>
      <c r="B34" s="486"/>
      <c r="C34" s="487"/>
      <c r="D34" s="488"/>
      <c r="E34" s="1"/>
      <c r="G34" s="87"/>
    </row>
    <row r="35" spans="1:7" ht="12.75">
      <c r="A35" s="180"/>
      <c r="B35" s="457"/>
      <c r="C35" s="458"/>
      <c r="D35" s="74"/>
      <c r="E35" s="1"/>
      <c r="G35" s="87"/>
    </row>
    <row r="36" spans="1:7" ht="12.75">
      <c r="A36" s="180"/>
      <c r="B36" s="338"/>
      <c r="C36" s="175"/>
      <c r="D36" s="169"/>
      <c r="E36" s="154"/>
      <c r="G36" s="87"/>
    </row>
    <row r="37" spans="1:7" ht="12.75">
      <c r="A37" s="180"/>
      <c r="B37" s="180"/>
      <c r="C37" s="175"/>
      <c r="D37" s="169"/>
      <c r="E37" s="154"/>
      <c r="G37" s="87"/>
    </row>
    <row r="38" spans="1:7" ht="12.75">
      <c r="A38" s="325"/>
      <c r="B38" s="325"/>
      <c r="C38" s="137"/>
      <c r="D38" s="150"/>
      <c r="E38" s="185"/>
      <c r="G38" s="87"/>
    </row>
    <row r="40" spans="1:3" ht="20.25">
      <c r="A40" s="1074"/>
      <c r="B40" s="1074"/>
      <c r="C40" s="1074"/>
    </row>
    <row r="42" spans="1:5" ht="20.25">
      <c r="A42" s="489"/>
      <c r="B42" s="489"/>
      <c r="C42" s="489"/>
      <c r="D42" s="490"/>
      <c r="E42" s="489"/>
    </row>
    <row r="54" ht="12.75">
      <c r="C54" t="s">
        <v>30</v>
      </c>
    </row>
    <row r="62" ht="12.75" customHeight="1">
      <c r="B62" s="175"/>
    </row>
    <row r="63" ht="12.75" customHeight="1">
      <c r="B63" s="175"/>
    </row>
    <row r="64" ht="12.75" customHeight="1">
      <c r="B64" s="175"/>
    </row>
    <row r="65" ht="12.75" customHeight="1">
      <c r="B65" s="175"/>
    </row>
    <row r="66" ht="12.75" customHeight="1">
      <c r="B66" s="175"/>
    </row>
    <row r="67" ht="12.75" customHeight="1">
      <c r="B67" s="175"/>
    </row>
    <row r="68" ht="12.75" customHeight="1">
      <c r="B68" s="175"/>
    </row>
    <row r="69" ht="12.75" customHeight="1">
      <c r="B69" s="175"/>
    </row>
    <row r="70" ht="12.75" customHeight="1">
      <c r="B70" s="175"/>
    </row>
    <row r="71" ht="12.75" customHeight="1">
      <c r="B71" s="175"/>
    </row>
    <row r="72" ht="12.75" customHeight="1">
      <c r="B72" s="175"/>
    </row>
    <row r="73" ht="12.75" customHeight="1">
      <c r="B73" s="175"/>
    </row>
    <row r="74" ht="12.75" customHeight="1">
      <c r="B74" s="175"/>
    </row>
  </sheetData>
  <sheetProtection selectLockedCells="1" selectUnlockedCells="1"/>
  <mergeCells count="5">
    <mergeCell ref="B2:E2"/>
    <mergeCell ref="B7:D7"/>
    <mergeCell ref="C24:D24"/>
    <mergeCell ref="C25:D25"/>
    <mergeCell ref="A40:C40"/>
  </mergeCells>
  <printOptions/>
  <pageMargins left="1.7402777777777778" right="0.7479166666666667" top="1.8895833333333334" bottom="0.9840277777777777" header="0.5118055555555555" footer="0.5118055555555555"/>
  <pageSetup horizontalDpi="600" verticalDpi="600" orientation="portrait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9"/>
  </sheetPr>
  <dimension ref="B9:G50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3.140625" style="0" customWidth="1"/>
    <col min="2" max="2" width="53.28125" style="0" customWidth="1"/>
    <col min="3" max="3" width="14.7109375" style="0" customWidth="1"/>
    <col min="4" max="4" width="14.8515625" style="0" customWidth="1"/>
    <col min="5" max="5" width="15.421875" style="0" customWidth="1"/>
    <col min="7" max="7" width="12.7109375" style="0" bestFit="1" customWidth="1"/>
  </cols>
  <sheetData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2:6" ht="12.75">
      <c r="B9" s="590" t="s">
        <v>560</v>
      </c>
      <c r="C9" s="536"/>
      <c r="D9" s="536"/>
      <c r="E9" s="531"/>
      <c r="F9" s="175"/>
    </row>
    <row r="10" spans="2:6" ht="15.75">
      <c r="B10" s="667"/>
      <c r="C10" s="668"/>
      <c r="D10" s="544"/>
      <c r="E10" s="545"/>
      <c r="F10" s="175"/>
    </row>
    <row r="11" spans="2:6" ht="12.75">
      <c r="B11" s="175"/>
      <c r="C11" s="175"/>
      <c r="D11" s="175"/>
      <c r="E11" s="175"/>
      <c r="F11" s="175"/>
    </row>
    <row r="12" spans="2:6" ht="15">
      <c r="B12" s="415" t="s">
        <v>595</v>
      </c>
      <c r="C12" s="415"/>
      <c r="E12" s="175"/>
      <c r="F12" s="175"/>
    </row>
    <row r="13" spans="2:6" ht="18.75" customHeight="1">
      <c r="B13" s="494" t="s">
        <v>416</v>
      </c>
      <c r="C13" s="535" t="s">
        <v>513</v>
      </c>
      <c r="D13" s="534" t="s">
        <v>514</v>
      </c>
      <c r="E13" s="531"/>
      <c r="F13" s="175"/>
    </row>
    <row r="14" spans="2:6" ht="13.5" customHeight="1">
      <c r="B14" s="325"/>
      <c r="C14" s="532" t="s">
        <v>515</v>
      </c>
      <c r="D14" s="546" t="s">
        <v>516</v>
      </c>
      <c r="E14" s="538" t="s">
        <v>517</v>
      </c>
      <c r="F14" s="175"/>
    </row>
    <row r="15" spans="2:6" ht="12.75">
      <c r="B15" s="349" t="s">
        <v>518</v>
      </c>
      <c r="C15" s="537">
        <f>193800356263+3134137296+561714951+7169145314+283640229</f>
        <v>204948994053</v>
      </c>
      <c r="D15" s="878">
        <f>12343862623+902983</f>
        <v>12344765606</v>
      </c>
      <c r="E15" s="669">
        <f>D15/C15%</f>
        <v>6.02333554406597</v>
      </c>
      <c r="F15" s="175"/>
    </row>
    <row r="16" spans="2:7" ht="12.75">
      <c r="B16" s="665" t="s">
        <v>510</v>
      </c>
      <c r="C16" s="666">
        <f>7169145314+283640229</f>
        <v>7452785543</v>
      </c>
      <c r="D16" s="664">
        <v>5106008859</v>
      </c>
      <c r="E16" s="669">
        <f>D16/C16%</f>
        <v>68.51141535658165</v>
      </c>
      <c r="F16" s="175"/>
      <c r="G16" s="87"/>
    </row>
    <row r="17" spans="2:6" ht="12.75">
      <c r="B17" s="350" t="s">
        <v>511</v>
      </c>
      <c r="C17" s="465">
        <v>11543175608</v>
      </c>
      <c r="D17" s="497">
        <v>11543175608</v>
      </c>
      <c r="E17" s="669">
        <f>D17/C17%</f>
        <v>100</v>
      </c>
      <c r="F17" s="175"/>
    </row>
    <row r="18" spans="2:6" ht="12.75">
      <c r="B18" s="496" t="s">
        <v>512</v>
      </c>
      <c r="C18" s="497">
        <v>23032033925</v>
      </c>
      <c r="D18" s="497">
        <v>23032033925</v>
      </c>
      <c r="E18" s="669">
        <f>D18/C18%</f>
        <v>100</v>
      </c>
      <c r="F18" s="175"/>
    </row>
    <row r="19" spans="2:6" ht="12.75">
      <c r="B19" s="541" t="s">
        <v>519</v>
      </c>
      <c r="C19" s="498">
        <f>SUM(C16:C18)</f>
        <v>42027995076</v>
      </c>
      <c r="D19" s="539"/>
      <c r="E19" s="540"/>
      <c r="F19" s="175"/>
    </row>
    <row r="20" spans="2:5" ht="12.75">
      <c r="B20" s="530"/>
      <c r="C20" s="530"/>
      <c r="D20" s="536"/>
      <c r="E20" s="531"/>
    </row>
    <row r="21" spans="2:5" ht="12.75">
      <c r="B21" s="533" t="s">
        <v>596</v>
      </c>
      <c r="C21" s="552">
        <f>C15+C19</f>
        <v>246976989129</v>
      </c>
      <c r="D21" s="544"/>
      <c r="E21" s="545"/>
    </row>
    <row r="22" spans="2:5" ht="12.75">
      <c r="B22" s="533" t="s">
        <v>597</v>
      </c>
      <c r="C22" s="553">
        <f>D16+D17+D18+D15</f>
        <v>52025983998</v>
      </c>
      <c r="D22" s="536"/>
      <c r="E22" s="531"/>
    </row>
    <row r="23" spans="2:5" ht="24" customHeight="1">
      <c r="B23" s="533" t="s">
        <v>598</v>
      </c>
      <c r="C23" s="552">
        <f>+C21-C22</f>
        <v>194951005131</v>
      </c>
      <c r="D23" s="544"/>
      <c r="E23" s="545"/>
    </row>
    <row r="24" s="175" customFormat="1" ht="12.75"/>
    <row r="25" spans="2:5" ht="12.75">
      <c r="B25" s="547" t="s">
        <v>417</v>
      </c>
      <c r="C25" s="550"/>
      <c r="D25" s="542"/>
      <c r="E25" s="543"/>
    </row>
    <row r="26" spans="2:5" ht="12.75">
      <c r="B26" s="548" t="s">
        <v>418</v>
      </c>
      <c r="C26" s="551"/>
      <c r="D26" s="544"/>
      <c r="E26" s="545"/>
    </row>
    <row r="27" spans="2:5" ht="12.75">
      <c r="B27" s="549" t="s">
        <v>419</v>
      </c>
      <c r="C27" s="530" t="s">
        <v>420</v>
      </c>
      <c r="D27" s="536"/>
      <c r="E27" s="531" t="s">
        <v>30</v>
      </c>
    </row>
    <row r="28" spans="2:5" ht="12.75">
      <c r="B28" s="549" t="s">
        <v>421</v>
      </c>
      <c r="C28" s="530" t="s">
        <v>422</v>
      </c>
      <c r="D28" s="536"/>
      <c r="E28" s="531"/>
    </row>
    <row r="29" spans="2:5" ht="12.75">
      <c r="B29" s="287" t="s">
        <v>423</v>
      </c>
      <c r="C29" s="875" t="s">
        <v>424</v>
      </c>
      <c r="D29" s="175"/>
      <c r="E29" s="538"/>
    </row>
    <row r="30" spans="2:5" ht="25.5">
      <c r="B30" s="879" t="s">
        <v>613</v>
      </c>
      <c r="C30" s="536"/>
      <c r="D30" s="536"/>
      <c r="E30" s="531"/>
    </row>
    <row r="32" ht="12.75">
      <c r="B32" t="s">
        <v>425</v>
      </c>
    </row>
    <row r="33" spans="2:5" ht="12.75">
      <c r="B33" s="271" t="s">
        <v>426</v>
      </c>
      <c r="C33" s="271"/>
      <c r="D33" s="271"/>
      <c r="E33" s="271"/>
    </row>
    <row r="34" spans="2:5" ht="12.75">
      <c r="B34" s="271" t="s">
        <v>427</v>
      </c>
      <c r="C34" s="271"/>
      <c r="D34" s="271"/>
      <c r="E34" s="271"/>
    </row>
    <row r="35" spans="2:5" ht="12.75">
      <c r="B35" s="271" t="s">
        <v>428</v>
      </c>
      <c r="C35" s="271"/>
      <c r="D35" s="271"/>
      <c r="E35" s="271"/>
    </row>
    <row r="36" spans="2:5" ht="12.75">
      <c r="B36" s="271" t="s">
        <v>429</v>
      </c>
      <c r="C36" s="271"/>
      <c r="D36" s="271"/>
      <c r="E36" s="271"/>
    </row>
    <row r="37" spans="2:5" ht="12.75">
      <c r="B37" s="271" t="s">
        <v>430</v>
      </c>
      <c r="C37" s="271"/>
      <c r="D37" s="271"/>
      <c r="E37" s="271"/>
    </row>
    <row r="38" spans="2:5" ht="12.75">
      <c r="B38" s="271" t="s">
        <v>431</v>
      </c>
      <c r="C38" s="271"/>
      <c r="D38" s="271"/>
      <c r="E38" s="271"/>
    </row>
    <row r="39" ht="12.75">
      <c r="B39" s="271" t="s">
        <v>432</v>
      </c>
    </row>
    <row r="40" ht="12.75">
      <c r="B40" s="271" t="s">
        <v>612</v>
      </c>
    </row>
    <row r="41" ht="12.75">
      <c r="B41" s="271"/>
    </row>
    <row r="42" ht="12.75">
      <c r="B42" s="271"/>
    </row>
    <row r="43" ht="12.75">
      <c r="B43" s="271"/>
    </row>
    <row r="48" spans="2:6" ht="12.75">
      <c r="B48" s="175" t="s">
        <v>563</v>
      </c>
      <c r="C48" s="670" t="s">
        <v>566</v>
      </c>
      <c r="D48" s="670" t="s">
        <v>567</v>
      </c>
      <c r="E48" s="670"/>
      <c r="F48" s="175"/>
    </row>
    <row r="49" spans="2:6" ht="12.75">
      <c r="B49" s="175" t="s">
        <v>564</v>
      </c>
      <c r="C49" s="670"/>
      <c r="D49" s="670" t="s">
        <v>568</v>
      </c>
      <c r="E49" s="670"/>
      <c r="F49" s="175"/>
    </row>
    <row r="50" spans="2:6" ht="12.75">
      <c r="B50" s="317" t="s">
        <v>565</v>
      </c>
      <c r="C50" s="671"/>
      <c r="D50" s="671" t="s">
        <v>569</v>
      </c>
      <c r="E50" s="671"/>
      <c r="F50" s="175"/>
    </row>
  </sheetData>
  <sheetProtection selectLockedCells="1" selectUnlockedCells="1"/>
  <printOptions/>
  <pageMargins left="0.3937007874015748" right="0.3937007874015748" top="1.6929133858267718" bottom="0.3937007874015748" header="0.3937007874015748" footer="0.3937007874015748"/>
  <pageSetup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9"/>
  </sheetPr>
  <dimension ref="A1:F140"/>
  <sheetViews>
    <sheetView zoomScalePageLayoutView="0" workbookViewId="0" topLeftCell="A127">
      <selection activeCell="F139" sqref="F139"/>
    </sheetView>
  </sheetViews>
  <sheetFormatPr defaultColWidth="11.421875" defaultRowHeight="12.75"/>
  <cols>
    <col min="1" max="1" width="3.57421875" style="0" customWidth="1"/>
    <col min="2" max="2" width="31.28125" style="0" customWidth="1"/>
    <col min="3" max="3" width="22.421875" style="0" customWidth="1"/>
    <col min="4" max="4" width="5.421875" style="0" customWidth="1"/>
    <col min="5" max="5" width="15.140625" style="0" customWidth="1"/>
    <col min="6" max="6" width="40.28125" style="0" customWidth="1"/>
  </cols>
  <sheetData>
    <row r="1" spans="1:6" ht="15.75">
      <c r="A1" s="82"/>
      <c r="B1" s="1075" t="s">
        <v>570</v>
      </c>
      <c r="C1" s="1075"/>
      <c r="D1" s="1075"/>
      <c r="E1" s="1075"/>
      <c r="F1" s="1075"/>
    </row>
    <row r="2" ht="8.25" customHeight="1"/>
    <row r="3" ht="12.75">
      <c r="A3" s="499" t="s">
        <v>433</v>
      </c>
    </row>
    <row r="4" spans="1:5" ht="12.75">
      <c r="A4" s="499" t="s">
        <v>571</v>
      </c>
      <c r="B4" s="500"/>
      <c r="C4" s="2"/>
      <c r="D4" s="2"/>
      <c r="E4" s="2"/>
    </row>
    <row r="5" ht="6.75" customHeight="1">
      <c r="A5" s="499"/>
    </row>
    <row r="6" spans="1:2" ht="12.75">
      <c r="A6" s="501" t="s">
        <v>434</v>
      </c>
      <c r="B6" t="s">
        <v>435</v>
      </c>
    </row>
    <row r="7" spans="1:2" ht="12.75">
      <c r="A7" s="501"/>
      <c r="B7" t="s">
        <v>436</v>
      </c>
    </row>
    <row r="8" spans="1:2" ht="12.75">
      <c r="A8" s="501"/>
      <c r="B8" t="s">
        <v>437</v>
      </c>
    </row>
    <row r="9" spans="1:2" ht="12.75">
      <c r="A9" s="501"/>
      <c r="B9" t="s">
        <v>438</v>
      </c>
    </row>
    <row r="10" spans="1:2" ht="12.75">
      <c r="A10" s="501"/>
      <c r="B10" t="s">
        <v>439</v>
      </c>
    </row>
    <row r="11" ht="12.75">
      <c r="A11" s="501"/>
    </row>
    <row r="12" spans="1:2" ht="12.75">
      <c r="A12" s="501" t="s">
        <v>440</v>
      </c>
      <c r="B12" t="s">
        <v>441</v>
      </c>
    </row>
    <row r="13" ht="12.75">
      <c r="A13" s="501"/>
    </row>
    <row r="14" spans="1:2" ht="12.75">
      <c r="A14" s="501" t="s">
        <v>442</v>
      </c>
      <c r="B14" t="s">
        <v>435</v>
      </c>
    </row>
    <row r="15" ht="12.75">
      <c r="A15" s="501"/>
    </row>
    <row r="16" spans="1:3" ht="12.75">
      <c r="A16" s="501" t="s">
        <v>443</v>
      </c>
      <c r="B16" t="s">
        <v>435</v>
      </c>
      <c r="C16" t="s">
        <v>444</v>
      </c>
    </row>
    <row r="17" spans="1:3" ht="12.75">
      <c r="A17" s="501"/>
      <c r="B17" t="s">
        <v>436</v>
      </c>
      <c r="C17" t="s">
        <v>445</v>
      </c>
    </row>
    <row r="18" spans="1:3" ht="12.75">
      <c r="A18" s="501"/>
      <c r="B18" t="s">
        <v>437</v>
      </c>
      <c r="C18" t="s">
        <v>446</v>
      </c>
    </row>
    <row r="19" spans="1:3" ht="12.75">
      <c r="A19" s="501"/>
      <c r="B19" t="s">
        <v>439</v>
      </c>
      <c r="C19" t="s">
        <v>446</v>
      </c>
    </row>
    <row r="20" spans="1:3" ht="12.75">
      <c r="A20" s="501"/>
      <c r="B20" t="s">
        <v>447</v>
      </c>
      <c r="C20" t="s">
        <v>446</v>
      </c>
    </row>
    <row r="21" spans="1:3" ht="12.75">
      <c r="A21" s="501"/>
      <c r="B21" t="s">
        <v>448</v>
      </c>
      <c r="C21" t="s">
        <v>446</v>
      </c>
    </row>
    <row r="22" spans="1:3" ht="12.75">
      <c r="A22" s="501"/>
      <c r="B22" t="s">
        <v>449</v>
      </c>
      <c r="C22" t="s">
        <v>446</v>
      </c>
    </row>
    <row r="23" spans="1:3" ht="12.75">
      <c r="A23" s="501"/>
      <c r="B23" t="s">
        <v>450</v>
      </c>
      <c r="C23" t="s">
        <v>451</v>
      </c>
    </row>
    <row r="24" spans="1:3" ht="12.75">
      <c r="A24" s="501"/>
      <c r="B24" s="2" t="s">
        <v>452</v>
      </c>
      <c r="C24" t="s">
        <v>453</v>
      </c>
    </row>
    <row r="25" ht="12.75">
      <c r="A25" s="501"/>
    </row>
    <row r="26" spans="1:2" ht="12.75">
      <c r="A26" s="501" t="s">
        <v>454</v>
      </c>
      <c r="B26" s="56" t="s">
        <v>455</v>
      </c>
    </row>
    <row r="27" spans="1:2" ht="12.75">
      <c r="A27" s="501"/>
      <c r="B27" s="56" t="s">
        <v>456</v>
      </c>
    </row>
    <row r="28" spans="1:2" ht="12.75">
      <c r="A28" s="501"/>
      <c r="B28" s="56" t="s">
        <v>457</v>
      </c>
    </row>
    <row r="29" spans="1:4" ht="12.75">
      <c r="A29" s="501"/>
      <c r="B29" s="56" t="s">
        <v>458</v>
      </c>
      <c r="C29" s="183"/>
      <c r="D29" s="183"/>
    </row>
    <row r="30" spans="1:4" ht="12.75">
      <c r="A30" s="501"/>
      <c r="B30" s="56" t="s">
        <v>459</v>
      </c>
      <c r="C30" s="183"/>
      <c r="D30" s="183"/>
    </row>
    <row r="31" spans="1:4" ht="12.75">
      <c r="A31" s="501"/>
      <c r="B31" t="s">
        <v>447</v>
      </c>
      <c r="C31" s="183"/>
      <c r="D31" s="183"/>
    </row>
    <row r="32" spans="1:4" ht="12.75" customHeight="1">
      <c r="A32" s="501"/>
      <c r="B32" s="56"/>
      <c r="C32" s="183"/>
      <c r="D32" s="183"/>
    </row>
    <row r="33" spans="1:2" ht="12.75">
      <c r="A33" s="502"/>
      <c r="B33" s="503"/>
    </row>
    <row r="34" ht="9" customHeight="1" thickBot="1">
      <c r="A34" s="499"/>
    </row>
    <row r="35" spans="1:6" ht="12.75">
      <c r="A35" s="499"/>
      <c r="B35" s="979" t="s">
        <v>572</v>
      </c>
      <c r="C35" s="980"/>
      <c r="D35" s="980"/>
      <c r="E35" s="980"/>
      <c r="F35" s="981"/>
    </row>
    <row r="36" spans="2:6" ht="13.5" thickBot="1">
      <c r="B36" s="1006"/>
      <c r="C36" s="1007"/>
      <c r="D36" s="1007"/>
      <c r="E36" s="1007"/>
      <c r="F36" s="1008"/>
    </row>
    <row r="37" spans="2:6" ht="12.75">
      <c r="B37" s="1001" t="s">
        <v>460</v>
      </c>
      <c r="C37" s="1002" t="s">
        <v>461</v>
      </c>
      <c r="D37" s="188"/>
      <c r="E37" s="1003" t="s">
        <v>462</v>
      </c>
      <c r="F37" s="1004" t="s">
        <v>463</v>
      </c>
    </row>
    <row r="38" spans="2:6" ht="12.75">
      <c r="B38" s="982"/>
      <c r="C38" s="977" t="s">
        <v>464</v>
      </c>
      <c r="D38" s="743"/>
      <c r="E38" s="978"/>
      <c r="F38" s="983" t="s">
        <v>465</v>
      </c>
    </row>
    <row r="39" spans="2:6" ht="15.75" customHeight="1" thickBot="1">
      <c r="B39" s="1076" t="s">
        <v>466</v>
      </c>
      <c r="C39" s="1077"/>
      <c r="D39" s="1077"/>
      <c r="E39" s="1077"/>
      <c r="F39" s="1078"/>
    </row>
    <row r="40" ht="10.5" customHeight="1" thickBot="1"/>
    <row r="41" spans="2:6" ht="10.5" customHeight="1">
      <c r="B41" s="1005" t="s">
        <v>573</v>
      </c>
      <c r="C41" s="980"/>
      <c r="D41" s="980"/>
      <c r="E41" s="980"/>
      <c r="F41" s="981"/>
    </row>
    <row r="42" spans="2:6" ht="13.5" thickBot="1">
      <c r="B42" s="1006"/>
      <c r="C42" s="1007"/>
      <c r="D42" s="1007"/>
      <c r="E42" s="1007"/>
      <c r="F42" s="1008"/>
    </row>
    <row r="43" spans="2:6" ht="12.75">
      <c r="B43" s="1001" t="s">
        <v>460</v>
      </c>
      <c r="C43" s="1002" t="s">
        <v>467</v>
      </c>
      <c r="D43" s="1003"/>
      <c r="E43" s="1002" t="s">
        <v>468</v>
      </c>
      <c r="F43" s="1004" t="s">
        <v>469</v>
      </c>
    </row>
    <row r="44" spans="2:6" ht="12.75">
      <c r="B44" s="982"/>
      <c r="C44" s="977" t="s">
        <v>470</v>
      </c>
      <c r="D44" s="978"/>
      <c r="E44" s="977" t="s">
        <v>471</v>
      </c>
      <c r="F44" s="983"/>
    </row>
    <row r="45" spans="2:6" ht="10.5" customHeight="1">
      <c r="B45" s="984"/>
      <c r="C45" s="175"/>
      <c r="D45" s="175"/>
      <c r="E45" s="175"/>
      <c r="F45" s="985"/>
    </row>
    <row r="46" spans="2:6" ht="15" customHeight="1" thickBot="1">
      <c r="B46" s="1076" t="s">
        <v>466</v>
      </c>
      <c r="C46" s="1077"/>
      <c r="D46" s="1077"/>
      <c r="E46" s="1077"/>
      <c r="F46" s="1078"/>
    </row>
    <row r="47" spans="2:6" ht="12.75">
      <c r="B47" s="175"/>
      <c r="C47" s="175"/>
      <c r="D47" s="175"/>
      <c r="E47" s="175"/>
      <c r="F47" s="175"/>
    </row>
    <row r="48" ht="12.75">
      <c r="B48" s="504" t="s">
        <v>574</v>
      </c>
    </row>
    <row r="49" ht="13.5" thickBot="1"/>
    <row r="50" spans="2:5" ht="12.75">
      <c r="B50" s="990" t="s">
        <v>472</v>
      </c>
      <c r="C50" s="1079" t="s">
        <v>473</v>
      </c>
      <c r="D50" s="1080"/>
      <c r="E50" s="1081"/>
    </row>
    <row r="51" spans="2:5" ht="12.75">
      <c r="B51" s="991" t="s">
        <v>474</v>
      </c>
      <c r="C51" s="1082"/>
      <c r="D51" s="1083"/>
      <c r="E51" s="1084"/>
    </row>
    <row r="52" spans="2:5" ht="12.75">
      <c r="B52" s="867" t="s">
        <v>475</v>
      </c>
      <c r="C52" s="993"/>
      <c r="D52" s="994"/>
      <c r="E52" s="995"/>
    </row>
    <row r="53" spans="2:5" ht="12.75">
      <c r="B53" s="868" t="s">
        <v>520</v>
      </c>
      <c r="C53" s="996" t="s">
        <v>444</v>
      </c>
      <c r="D53" s="536"/>
      <c r="E53" s="870"/>
    </row>
    <row r="54" spans="2:5" ht="12.75">
      <c r="B54" s="869" t="s">
        <v>521</v>
      </c>
      <c r="C54" s="996" t="s">
        <v>445</v>
      </c>
      <c r="D54" s="568"/>
      <c r="E54" s="870"/>
    </row>
    <row r="55" spans="2:5" ht="12.75">
      <c r="B55" s="868" t="s">
        <v>476</v>
      </c>
      <c r="C55" s="996" t="s">
        <v>524</v>
      </c>
      <c r="D55" s="536"/>
      <c r="E55" s="870"/>
    </row>
    <row r="56" spans="2:5" ht="12.75">
      <c r="B56" s="869" t="s">
        <v>479</v>
      </c>
      <c r="C56" s="996" t="s">
        <v>524</v>
      </c>
      <c r="D56" s="536"/>
      <c r="E56" s="870"/>
    </row>
    <row r="57" spans="2:5" ht="12.75">
      <c r="B57" s="986" t="s">
        <v>552</v>
      </c>
      <c r="C57" s="996" t="s">
        <v>545</v>
      </c>
      <c r="D57" s="536"/>
      <c r="E57" s="870"/>
    </row>
    <row r="58" spans="2:5" ht="12.75">
      <c r="B58" s="986" t="s">
        <v>543</v>
      </c>
      <c r="C58" s="996" t="s">
        <v>524</v>
      </c>
      <c r="D58" s="536"/>
      <c r="E58" s="870"/>
    </row>
    <row r="59" spans="2:5" ht="13.5" thickBot="1">
      <c r="B59" s="987" t="s">
        <v>544</v>
      </c>
      <c r="C59" s="992" t="s">
        <v>524</v>
      </c>
      <c r="D59" s="988"/>
      <c r="E59" s="989"/>
    </row>
    <row r="60" spans="2:5" ht="12.75">
      <c r="B60" s="317"/>
      <c r="C60" s="317"/>
      <c r="D60" s="317"/>
      <c r="E60" s="175"/>
    </row>
    <row r="61" spans="2:5" ht="12.75">
      <c r="B61" s="317"/>
      <c r="C61" s="317"/>
      <c r="D61" s="317"/>
      <c r="E61" s="175"/>
    </row>
    <row r="62" spans="2:5" ht="12.75">
      <c r="B62" s="317"/>
      <c r="C62" s="317"/>
      <c r="D62" s="317"/>
      <c r="E62" s="175"/>
    </row>
    <row r="63" spans="2:5" ht="12.75">
      <c r="B63" s="317"/>
      <c r="C63" s="317"/>
      <c r="D63" s="317"/>
      <c r="E63" s="175"/>
    </row>
    <row r="64" spans="2:5" ht="12.75">
      <c r="B64" s="317"/>
      <c r="C64" s="317"/>
      <c r="D64" s="317"/>
      <c r="E64" s="175"/>
    </row>
    <row r="65" spans="2:5" ht="12.75">
      <c r="B65" s="317"/>
      <c r="C65" s="317"/>
      <c r="D65" s="317"/>
      <c r="E65" s="175"/>
    </row>
    <row r="66" spans="2:5" ht="12.75">
      <c r="B66" s="317"/>
      <c r="C66" s="317"/>
      <c r="D66" s="317"/>
      <c r="E66" s="175"/>
    </row>
    <row r="67" spans="2:5" ht="12.75">
      <c r="B67" s="506"/>
      <c r="C67" s="175"/>
      <c r="D67" s="175"/>
      <c r="E67" s="175"/>
    </row>
    <row r="68" spans="2:5" ht="12.75">
      <c r="B68" s="506"/>
      <c r="C68" s="175"/>
      <c r="D68" s="175"/>
      <c r="E68" s="175"/>
    </row>
    <row r="69" spans="2:5" ht="12.75">
      <c r="B69" s="506"/>
      <c r="C69" s="175"/>
      <c r="D69" s="175"/>
      <c r="E69" s="175"/>
    </row>
    <row r="70" spans="2:5" ht="12.75">
      <c r="B70" s="533" t="s">
        <v>477</v>
      </c>
      <c r="C70" s="997"/>
      <c r="D70" s="536"/>
      <c r="E70" s="531"/>
    </row>
    <row r="71" spans="2:5" ht="12.75">
      <c r="B71" s="339" t="s">
        <v>478</v>
      </c>
      <c r="C71" s="505" t="s">
        <v>523</v>
      </c>
      <c r="D71" s="326"/>
      <c r="E71" s="185"/>
    </row>
    <row r="72" spans="2:5" ht="12.75" customHeight="1">
      <c r="B72" s="491" t="s">
        <v>520</v>
      </c>
      <c r="C72" s="505" t="s">
        <v>523</v>
      </c>
      <c r="D72" s="492"/>
      <c r="E72" s="493"/>
    </row>
    <row r="73" spans="2:5" ht="12.75" customHeight="1">
      <c r="B73" s="491" t="s">
        <v>542</v>
      </c>
      <c r="C73" s="505" t="s">
        <v>545</v>
      </c>
      <c r="D73" s="137"/>
      <c r="E73" s="185"/>
    </row>
    <row r="74" spans="2:5" ht="12.75" customHeight="1">
      <c r="B74" s="491" t="s">
        <v>476</v>
      </c>
      <c r="C74" s="505" t="s">
        <v>522</v>
      </c>
      <c r="D74" s="495"/>
      <c r="E74" s="493"/>
    </row>
    <row r="75" spans="2:5" ht="12.75" customHeight="1">
      <c r="B75" s="491" t="s">
        <v>543</v>
      </c>
      <c r="C75" s="505" t="s">
        <v>522</v>
      </c>
      <c r="D75" s="317"/>
      <c r="E75" s="328"/>
    </row>
    <row r="76" spans="2:5" ht="12.75" customHeight="1">
      <c r="B76" s="599" t="s">
        <v>544</v>
      </c>
      <c r="C76" s="482" t="s">
        <v>522</v>
      </c>
      <c r="D76" s="871"/>
      <c r="E76" s="328"/>
    </row>
    <row r="77" spans="2:5" ht="12.75" customHeight="1">
      <c r="B77" s="866" t="s">
        <v>603</v>
      </c>
      <c r="C77" s="533"/>
      <c r="D77" s="568"/>
      <c r="E77" s="531"/>
    </row>
    <row r="78" spans="2:5" ht="12.75" customHeight="1">
      <c r="B78" s="865" t="s">
        <v>478</v>
      </c>
      <c r="C78" s="533" t="s">
        <v>579</v>
      </c>
      <c r="D78" s="568"/>
      <c r="E78" s="531"/>
    </row>
    <row r="79" spans="2:5" ht="12.75" customHeight="1">
      <c r="B79" s="872" t="s">
        <v>448</v>
      </c>
      <c r="C79" s="533" t="s">
        <v>545</v>
      </c>
      <c r="D79" s="568"/>
      <c r="E79" s="531"/>
    </row>
    <row r="80" spans="2:5" ht="12.75" customHeight="1">
      <c r="B80" s="873" t="s">
        <v>544</v>
      </c>
      <c r="C80" s="533" t="s">
        <v>604</v>
      </c>
      <c r="D80" s="568"/>
      <c r="E80" s="531"/>
    </row>
    <row r="81" spans="2:5" ht="12.75" customHeight="1">
      <c r="B81" s="874" t="s">
        <v>543</v>
      </c>
      <c r="C81" s="998" t="s">
        <v>604</v>
      </c>
      <c r="D81" s="668"/>
      <c r="E81" s="545"/>
    </row>
    <row r="82" ht="6.75" customHeight="1"/>
    <row r="83" ht="6.75" customHeight="1"/>
    <row r="84" ht="6.75" customHeight="1"/>
    <row r="85" ht="12.75">
      <c r="A85" s="499" t="s">
        <v>480</v>
      </c>
    </row>
    <row r="86" ht="10.5" customHeight="1"/>
    <row r="87" spans="3:5" ht="12.75">
      <c r="C87" s="501" t="s">
        <v>599</v>
      </c>
      <c r="D87" s="501"/>
      <c r="E87" s="501" t="s">
        <v>600</v>
      </c>
    </row>
    <row r="88" ht="12.75">
      <c r="B88" s="500" t="s">
        <v>481</v>
      </c>
    </row>
    <row r="89" spans="2:3" ht="12.75">
      <c r="B89" s="500" t="s">
        <v>482</v>
      </c>
      <c r="C89" s="396"/>
    </row>
    <row r="90" spans="2:5" ht="12.75">
      <c r="B90" s="500" t="s">
        <v>483</v>
      </c>
      <c r="C90" s="29">
        <f>41492763+(7000*6442)</f>
        <v>86586763</v>
      </c>
      <c r="D90" s="507"/>
      <c r="E90" s="29">
        <v>242963773</v>
      </c>
    </row>
    <row r="91" spans="2:5" ht="12.75">
      <c r="B91" s="2" t="s">
        <v>484</v>
      </c>
      <c r="C91" s="29"/>
      <c r="D91" s="508"/>
      <c r="E91" s="560"/>
    </row>
    <row r="92" spans="2:5" ht="12.75">
      <c r="B92" s="2"/>
      <c r="C92" s="29"/>
      <c r="D92" s="508"/>
      <c r="E92" s="560"/>
    </row>
    <row r="93" spans="2:5" ht="12.75">
      <c r="B93" s="500" t="s">
        <v>485</v>
      </c>
      <c r="C93" s="512">
        <f>21111413842+(500*6442)</f>
        <v>21114634842</v>
      </c>
      <c r="D93" s="509"/>
      <c r="E93" s="512">
        <v>14304542207</v>
      </c>
    </row>
    <row r="94" spans="2:5" ht="12.75">
      <c r="B94" s="2" t="s">
        <v>484</v>
      </c>
      <c r="C94" s="513"/>
      <c r="D94" s="510"/>
      <c r="E94" s="513"/>
    </row>
    <row r="95" spans="3:5" ht="9.75" customHeight="1">
      <c r="C95" s="513"/>
      <c r="D95" s="510"/>
      <c r="E95" s="513"/>
    </row>
    <row r="96" spans="2:5" ht="11.25" customHeight="1">
      <c r="B96" s="500" t="s">
        <v>486</v>
      </c>
      <c r="C96" s="29">
        <v>15652565228</v>
      </c>
      <c r="D96" s="507"/>
      <c r="E96" s="29">
        <v>16635887453</v>
      </c>
    </row>
    <row r="97" spans="3:5" ht="9.75" customHeight="1">
      <c r="C97" s="513"/>
      <c r="D97" s="510"/>
      <c r="E97" s="513"/>
    </row>
    <row r="98" spans="2:5" ht="12.75" customHeight="1">
      <c r="B98" s="500" t="s">
        <v>487</v>
      </c>
      <c r="C98" s="513"/>
      <c r="D98" s="510"/>
      <c r="E98" s="513"/>
    </row>
    <row r="99" spans="2:5" ht="14.25" customHeight="1">
      <c r="B99" s="2" t="s">
        <v>539</v>
      </c>
      <c r="C99" s="29">
        <v>34165629</v>
      </c>
      <c r="D99" s="507"/>
      <c r="E99" s="29">
        <v>138102117</v>
      </c>
    </row>
    <row r="100" spans="2:5" ht="14.25" customHeight="1">
      <c r="B100" s="2"/>
      <c r="C100" s="29"/>
      <c r="D100" s="507"/>
      <c r="E100" s="508"/>
    </row>
    <row r="101" spans="2:5" ht="14.25" customHeight="1">
      <c r="B101" s="500" t="s">
        <v>488</v>
      </c>
      <c r="C101" s="29"/>
      <c r="D101" s="508"/>
      <c r="E101" s="513"/>
    </row>
    <row r="102" spans="2:5" ht="14.25" customHeight="1">
      <c r="B102" s="2" t="s">
        <v>489</v>
      </c>
      <c r="C102" s="29">
        <v>8614407</v>
      </c>
      <c r="D102" s="507"/>
      <c r="E102" s="29">
        <v>6114650</v>
      </c>
    </row>
    <row r="103" spans="2:5" ht="14.25" customHeight="1">
      <c r="B103" s="2"/>
      <c r="C103" s="29"/>
      <c r="D103" s="507"/>
      <c r="E103" s="508"/>
    </row>
    <row r="104" spans="2:5" ht="14.25" customHeight="1">
      <c r="B104" s="500" t="s">
        <v>490</v>
      </c>
      <c r="C104" s="29"/>
      <c r="D104" s="508"/>
      <c r="E104" s="513"/>
    </row>
    <row r="105" spans="2:5" ht="14.25" customHeight="1">
      <c r="B105" s="2" t="s">
        <v>539</v>
      </c>
      <c r="C105" s="29">
        <v>507430</v>
      </c>
      <c r="D105" s="507"/>
      <c r="E105" s="29">
        <v>4421010</v>
      </c>
    </row>
    <row r="106" spans="2:5" ht="14.25" customHeight="1">
      <c r="B106" s="2"/>
      <c r="C106" s="29"/>
      <c r="D106" s="507"/>
      <c r="E106" s="508"/>
    </row>
    <row r="107" spans="2:5" ht="14.25" customHeight="1">
      <c r="B107" s="500" t="s">
        <v>491</v>
      </c>
      <c r="C107" s="29">
        <v>168688311</v>
      </c>
      <c r="D107" s="507"/>
      <c r="E107" s="29">
        <v>0</v>
      </c>
    </row>
    <row r="108" spans="2:5" ht="14.25" customHeight="1">
      <c r="B108" s="2" t="s">
        <v>492</v>
      </c>
      <c r="C108" s="29"/>
      <c r="D108" s="507"/>
      <c r="E108" s="514"/>
    </row>
    <row r="109" spans="3:5" ht="14.25" customHeight="1">
      <c r="C109" s="513"/>
      <c r="D109" s="510"/>
      <c r="E109" s="561"/>
    </row>
    <row r="110" spans="2:5" ht="14.25" customHeight="1">
      <c r="B110" s="500" t="s">
        <v>601</v>
      </c>
      <c r="C110" s="29">
        <v>3490173</v>
      </c>
      <c r="D110" s="510"/>
      <c r="E110" s="561">
        <v>0</v>
      </c>
    </row>
    <row r="111" spans="2:5" ht="14.25" customHeight="1">
      <c r="B111" t="s">
        <v>602</v>
      </c>
      <c r="C111" s="513"/>
      <c r="D111" s="510"/>
      <c r="E111" s="561"/>
    </row>
    <row r="112" spans="3:5" ht="14.25" customHeight="1">
      <c r="C112" s="513"/>
      <c r="D112" s="510"/>
      <c r="E112" s="561"/>
    </row>
    <row r="113" spans="2:5" ht="12.75">
      <c r="B113" s="500" t="s">
        <v>493</v>
      </c>
      <c r="C113" s="29"/>
      <c r="D113" s="508"/>
      <c r="E113" s="29"/>
    </row>
    <row r="114" spans="3:5" ht="8.25" customHeight="1">
      <c r="C114" s="29"/>
      <c r="D114" s="508"/>
      <c r="E114" s="29"/>
    </row>
    <row r="115" spans="2:5" ht="12.75">
      <c r="B115" s="500" t="s">
        <v>494</v>
      </c>
      <c r="C115" s="29"/>
      <c r="D115" s="508"/>
      <c r="E115" s="29"/>
    </row>
    <row r="116" spans="2:5" ht="12.75">
      <c r="B116" s="511" t="s">
        <v>495</v>
      </c>
      <c r="C116" s="29">
        <v>65750000</v>
      </c>
      <c r="D116" s="507"/>
      <c r="E116" s="29">
        <v>62752857</v>
      </c>
    </row>
    <row r="117" spans="2:5" ht="12.75">
      <c r="B117" s="271" t="s">
        <v>496</v>
      </c>
      <c r="C117" s="507"/>
      <c r="D117" s="507"/>
      <c r="E117" s="29"/>
    </row>
    <row r="118" spans="2:5" ht="12.75">
      <c r="B118" s="271" t="s">
        <v>497</v>
      </c>
      <c r="C118" s="507"/>
      <c r="D118" s="507"/>
      <c r="E118" s="29"/>
    </row>
    <row r="119" spans="2:5" ht="12.75">
      <c r="B119" s="271" t="s">
        <v>498</v>
      </c>
      <c r="C119" s="507"/>
      <c r="D119" s="507"/>
      <c r="E119" s="29"/>
    </row>
    <row r="120" spans="2:5" ht="8.25" customHeight="1">
      <c r="B120" s="271"/>
      <c r="C120" s="507"/>
      <c r="D120" s="507"/>
      <c r="E120" s="29"/>
    </row>
    <row r="121" spans="2:5" ht="12.75" customHeight="1">
      <c r="B121" s="511" t="s">
        <v>499</v>
      </c>
      <c r="C121" s="29">
        <v>168688311</v>
      </c>
      <c r="D121" s="29"/>
      <c r="E121" s="29">
        <v>29885712</v>
      </c>
    </row>
    <row r="122" spans="2:5" ht="9" customHeight="1">
      <c r="B122" s="271"/>
      <c r="C122" s="29"/>
      <c r="D122" s="29"/>
      <c r="E122" s="29"/>
    </row>
    <row r="123" spans="2:5" ht="12.75">
      <c r="B123" s="511" t="s">
        <v>500</v>
      </c>
      <c r="C123" s="29">
        <v>159314298</v>
      </c>
      <c r="D123" s="29"/>
      <c r="E123" s="29">
        <v>115238100</v>
      </c>
    </row>
    <row r="124" spans="2:5" ht="12.75">
      <c r="B124" t="s">
        <v>501</v>
      </c>
      <c r="C124" s="29"/>
      <c r="D124" s="29"/>
      <c r="E124" s="29"/>
    </row>
    <row r="125" spans="2:5" ht="12.75">
      <c r="B125" t="s">
        <v>502</v>
      </c>
      <c r="C125" s="29"/>
      <c r="D125" s="29"/>
      <c r="E125" s="29"/>
    </row>
    <row r="126" spans="2:5" ht="12.75">
      <c r="B126" t="s">
        <v>484</v>
      </c>
      <c r="C126" s="29"/>
      <c r="D126" s="29"/>
      <c r="E126" s="29"/>
    </row>
    <row r="127" spans="2:5" ht="12.75">
      <c r="B127" t="s">
        <v>503</v>
      </c>
      <c r="C127" s="29"/>
      <c r="D127" s="29"/>
      <c r="E127" s="29"/>
    </row>
    <row r="128" spans="3:5" ht="10.5" customHeight="1">
      <c r="C128" s="29"/>
      <c r="D128" s="29"/>
      <c r="E128" s="29"/>
    </row>
    <row r="129" spans="2:5" ht="12.75">
      <c r="B129" s="500" t="s">
        <v>504</v>
      </c>
      <c r="C129" s="29"/>
      <c r="D129" s="29"/>
      <c r="E129" s="29"/>
    </row>
    <row r="130" spans="2:5" ht="12.75">
      <c r="B130" s="511" t="s">
        <v>505</v>
      </c>
      <c r="C130" s="515"/>
      <c r="D130" s="515"/>
      <c r="E130" s="396"/>
    </row>
    <row r="131" spans="2:5" ht="12.75">
      <c r="B131" t="s">
        <v>610</v>
      </c>
      <c r="C131" s="29">
        <v>104227273</v>
      </c>
      <c r="D131" s="29"/>
      <c r="E131" s="29">
        <v>233890961</v>
      </c>
    </row>
    <row r="132" spans="3:5" ht="12.75">
      <c r="C132" s="355"/>
      <c r="D132" s="355"/>
      <c r="E132" s="391"/>
    </row>
    <row r="133" spans="2:6" ht="12.75">
      <c r="B133" s="175"/>
      <c r="C133" s="204"/>
      <c r="D133" s="204"/>
      <c r="E133" s="204"/>
      <c r="F133" s="175"/>
    </row>
    <row r="134" spans="2:6" ht="12.75">
      <c r="B134" s="175"/>
      <c r="C134" s="670"/>
      <c r="D134" s="670"/>
      <c r="E134" s="670"/>
      <c r="F134" s="175"/>
    </row>
    <row r="135" spans="2:6" ht="12.75">
      <c r="B135" s="175"/>
      <c r="C135" s="670"/>
      <c r="D135" s="670"/>
      <c r="E135" s="670"/>
      <c r="F135" s="175"/>
    </row>
    <row r="136" spans="2:6" ht="12.75">
      <c r="B136" s="670" t="s">
        <v>561</v>
      </c>
      <c r="C136" s="670"/>
      <c r="D136" s="854" t="s">
        <v>562</v>
      </c>
      <c r="E136" s="855"/>
      <c r="F136" s="175"/>
    </row>
    <row r="137" spans="2:6" ht="12.75">
      <c r="B137" s="670" t="s">
        <v>576</v>
      </c>
      <c r="C137" s="670"/>
      <c r="D137" s="854"/>
      <c r="E137" s="854" t="s">
        <v>577</v>
      </c>
      <c r="F137" s="175"/>
    </row>
    <row r="138" spans="2:6" ht="12.75">
      <c r="B138" s="671" t="s">
        <v>579</v>
      </c>
      <c r="C138" s="671"/>
      <c r="D138" s="854"/>
      <c r="E138" s="856" t="s">
        <v>578</v>
      </c>
      <c r="F138" s="175"/>
    </row>
    <row r="139" spans="2:6" ht="12.75">
      <c r="B139" s="175"/>
      <c r="C139" s="175"/>
      <c r="D139" s="175"/>
      <c r="E139" s="175"/>
      <c r="F139" s="175"/>
    </row>
    <row r="140" spans="2:6" ht="12.75">
      <c r="B140" s="175"/>
      <c r="C140" s="175"/>
      <c r="D140" s="175"/>
      <c r="E140" s="175"/>
      <c r="F140" s="175"/>
    </row>
  </sheetData>
  <sheetProtection selectLockedCells="1" selectUnlockedCells="1"/>
  <mergeCells count="4">
    <mergeCell ref="B1:F1"/>
    <mergeCell ref="B39:F39"/>
    <mergeCell ref="B46:F46"/>
    <mergeCell ref="C50:E51"/>
  </mergeCells>
  <printOptions/>
  <pageMargins left="0.3937007874015748" right="0.3937007874015748" top="1.6535433070866143" bottom="0.3937007874015748" header="0.3937007874015748" footer="0.3937007874015748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H63"/>
  <sheetViews>
    <sheetView zoomScale="90" zoomScaleNormal="90" zoomScalePageLayoutView="0" workbookViewId="0" topLeftCell="A2">
      <selection activeCell="C12" sqref="C12"/>
    </sheetView>
  </sheetViews>
  <sheetFormatPr defaultColWidth="11.421875" defaultRowHeight="12.75"/>
  <cols>
    <col min="1" max="1" width="2.57421875" style="0" customWidth="1"/>
    <col min="2" max="2" width="54.140625" style="0" customWidth="1"/>
    <col min="3" max="3" width="18.7109375" style="104" customWidth="1"/>
    <col min="4" max="4" width="18.7109375" style="101" customWidth="1"/>
    <col min="5" max="5" width="3.7109375" style="0" customWidth="1"/>
    <col min="7" max="7" width="12.421875" style="0" customWidth="1"/>
    <col min="8" max="8" width="11.28125" style="0" customWidth="1"/>
  </cols>
  <sheetData>
    <row r="1" spans="1:5" ht="15.75">
      <c r="A1" s="70"/>
      <c r="B1" s="1009" t="s">
        <v>23</v>
      </c>
      <c r="C1" s="1009"/>
      <c r="D1" s="1009"/>
      <c r="E1" s="71"/>
    </row>
    <row r="2" spans="1:5" ht="13.5">
      <c r="A2" s="72"/>
      <c r="B2" s="73"/>
      <c r="C2" s="656"/>
      <c r="D2" s="656"/>
      <c r="E2" s="75"/>
    </row>
    <row r="3" spans="1:5" ht="12.75">
      <c r="A3" s="72"/>
      <c r="B3" s="1010" t="s">
        <v>24</v>
      </c>
      <c r="C3" s="1010"/>
      <c r="D3" s="1010"/>
      <c r="E3" s="75"/>
    </row>
    <row r="4" spans="1:5" ht="12.75">
      <c r="A4" s="72"/>
      <c r="B4" s="1010" t="s">
        <v>592</v>
      </c>
      <c r="C4" s="1010"/>
      <c r="D4" s="1010"/>
      <c r="E4" s="75"/>
    </row>
    <row r="5" spans="1:5" ht="12.75">
      <c r="A5" s="72"/>
      <c r="B5" s="1011" t="s">
        <v>25</v>
      </c>
      <c r="C5" s="1011"/>
      <c r="D5" s="1011"/>
      <c r="E5" s="75"/>
    </row>
    <row r="6" spans="1:5" ht="13.5">
      <c r="A6" s="72"/>
      <c r="B6" s="77"/>
      <c r="C6" s="657"/>
      <c r="D6" s="657"/>
      <c r="E6" s="75"/>
    </row>
    <row r="7" spans="1:5" s="82" customFormat="1" ht="15">
      <c r="A7" s="79"/>
      <c r="B7" s="80"/>
      <c r="C7" s="658"/>
      <c r="D7" s="658"/>
      <c r="E7" s="81"/>
    </row>
    <row r="8" spans="1:5" s="82" customFormat="1" ht="15">
      <c r="A8" s="79"/>
      <c r="B8" s="83" t="s">
        <v>26</v>
      </c>
      <c r="C8" s="84">
        <v>43830</v>
      </c>
      <c r="D8" s="84">
        <v>43465</v>
      </c>
      <c r="E8" s="81"/>
    </row>
    <row r="9" spans="1:5" s="82" customFormat="1" ht="15">
      <c r="A9" s="79"/>
      <c r="B9" s="76"/>
      <c r="C9" s="556"/>
      <c r="D9" s="556"/>
      <c r="E9" s="81"/>
    </row>
    <row r="10" spans="1:5" ht="13.5">
      <c r="A10" s="72"/>
      <c r="B10" s="73" t="s">
        <v>625</v>
      </c>
      <c r="C10" s="601">
        <f>24758619330+593161972512+6000588997+1782234216</f>
        <v>625703415055</v>
      </c>
      <c r="D10" s="601">
        <v>594812790538</v>
      </c>
      <c r="E10" s="75"/>
    </row>
    <row r="11" spans="1:5" ht="13.5">
      <c r="A11" s="72"/>
      <c r="B11" s="73"/>
      <c r="C11" s="555"/>
      <c r="D11" s="555"/>
      <c r="E11" s="75"/>
    </row>
    <row r="12" spans="1:5" ht="13.5">
      <c r="A12" s="72"/>
      <c r="B12" s="73" t="s">
        <v>626</v>
      </c>
      <c r="C12" s="555">
        <v>8609970825</v>
      </c>
      <c r="D12" s="555">
        <v>9534558188</v>
      </c>
      <c r="E12" s="75"/>
    </row>
    <row r="13" spans="1:5" ht="13.5">
      <c r="A13" s="72"/>
      <c r="B13" s="73"/>
      <c r="C13" s="555"/>
      <c r="D13" s="555"/>
      <c r="E13" s="75"/>
    </row>
    <row r="14" spans="1:5" ht="13.5">
      <c r="A14" s="72"/>
      <c r="B14" s="73" t="s">
        <v>27</v>
      </c>
      <c r="C14" s="555">
        <f>+-'ANEXO F'!D34</f>
        <v>-456133199490</v>
      </c>
      <c r="D14" s="555">
        <v>-423639395526</v>
      </c>
      <c r="E14" s="75"/>
    </row>
    <row r="15" spans="1:5" ht="13.5">
      <c r="A15" s="72"/>
      <c r="B15" s="73"/>
      <c r="C15" s="558"/>
      <c r="D15" s="558"/>
      <c r="E15" s="75"/>
    </row>
    <row r="16" spans="1:5" ht="13.5">
      <c r="A16" s="72"/>
      <c r="B16" s="85" t="s">
        <v>28</v>
      </c>
      <c r="C16" s="559">
        <f>+-'ANEXO H'!G55</f>
        <v>-79067315522</v>
      </c>
      <c r="D16" s="559">
        <v>-90889206387</v>
      </c>
      <c r="E16" s="86"/>
    </row>
    <row r="17" spans="1:5" ht="13.5">
      <c r="A17" s="72"/>
      <c r="B17" s="73"/>
      <c r="C17" s="558"/>
      <c r="D17" s="558"/>
      <c r="E17" s="75"/>
    </row>
    <row r="18" spans="1:8" ht="13.5">
      <c r="A18" s="72"/>
      <c r="B18" s="73" t="s">
        <v>29</v>
      </c>
      <c r="C18" s="559">
        <f>+-'ANEXO H'!F55-'ANEXO H'!H55</f>
        <v>-56313888545</v>
      </c>
      <c r="D18" s="559">
        <v>-46821767182</v>
      </c>
      <c r="E18" s="75"/>
      <c r="G18" s="87"/>
      <c r="H18" s="87"/>
    </row>
    <row r="19" spans="1:5" ht="13.5" hidden="1">
      <c r="A19" s="72"/>
      <c r="B19" s="73"/>
      <c r="C19" s="555"/>
      <c r="D19" s="555"/>
      <c r="E19" s="75"/>
    </row>
    <row r="20" spans="1:5" ht="13.5">
      <c r="A20" s="72"/>
      <c r="B20" s="73"/>
      <c r="C20" s="555"/>
      <c r="D20" s="555"/>
      <c r="E20" s="75"/>
    </row>
    <row r="21" spans="1:7" ht="13.5" customHeight="1">
      <c r="A21" s="72"/>
      <c r="B21" s="73" t="s">
        <v>627</v>
      </c>
      <c r="C21" s="860">
        <v>6685464001</v>
      </c>
      <c r="D21" s="554">
        <v>5744964549</v>
      </c>
      <c r="E21" s="75"/>
      <c r="G21" s="87"/>
    </row>
    <row r="22" spans="1:5" ht="13.5">
      <c r="A22" s="72"/>
      <c r="B22" s="88"/>
      <c r="C22" s="555" t="s">
        <v>30</v>
      </c>
      <c r="D22" s="555" t="s">
        <v>30</v>
      </c>
      <c r="E22" s="75"/>
    </row>
    <row r="23" spans="1:7" ht="13.5">
      <c r="A23" s="72"/>
      <c r="B23" s="73" t="s">
        <v>636</v>
      </c>
      <c r="C23" s="554">
        <v>-1248949392</v>
      </c>
      <c r="D23" s="554">
        <v>-2427004544</v>
      </c>
      <c r="E23" s="81"/>
      <c r="G23" s="87"/>
    </row>
    <row r="24" spans="1:7" ht="13.5">
      <c r="A24" s="72"/>
      <c r="B24" s="73"/>
      <c r="C24" s="555"/>
      <c r="D24" s="555"/>
      <c r="E24" s="81"/>
      <c r="G24" s="87"/>
    </row>
    <row r="25" spans="1:8" ht="13.5">
      <c r="A25" s="72"/>
      <c r="B25" s="73" t="s">
        <v>628</v>
      </c>
      <c r="C25" s="578">
        <v>27036177163</v>
      </c>
      <c r="D25" s="578">
        <v>55093492151</v>
      </c>
      <c r="E25" s="75"/>
      <c r="G25" s="87"/>
      <c r="H25" s="87"/>
    </row>
    <row r="26" spans="1:5" ht="13.5">
      <c r="A26" s="72"/>
      <c r="B26" s="73"/>
      <c r="C26" s="89"/>
      <c r="D26" s="89"/>
      <c r="E26" s="75"/>
    </row>
    <row r="27" spans="1:7" ht="15">
      <c r="A27" s="72"/>
      <c r="B27" s="79" t="s">
        <v>31</v>
      </c>
      <c r="C27" s="90">
        <f>SUM(C10:C25)</f>
        <v>75271674095</v>
      </c>
      <c r="D27" s="91">
        <f>SUM(D10:E26)</f>
        <v>101408431787</v>
      </c>
      <c r="E27" s="75"/>
      <c r="G27" s="87"/>
    </row>
    <row r="28" spans="1:5" s="82" customFormat="1" ht="13.5">
      <c r="A28" s="79"/>
      <c r="B28" s="73"/>
      <c r="C28" s="41"/>
      <c r="D28" s="41"/>
      <c r="E28" s="81"/>
    </row>
    <row r="29" spans="1:7" ht="13.5">
      <c r="A29" s="72"/>
      <c r="B29" s="73" t="s">
        <v>629</v>
      </c>
      <c r="C29" s="617">
        <v>230338004</v>
      </c>
      <c r="D29" s="554">
        <v>784315955</v>
      </c>
      <c r="E29" s="75"/>
      <c r="G29" s="87"/>
    </row>
    <row r="30" spans="1:7" ht="13.5">
      <c r="A30" s="72"/>
      <c r="B30" s="73"/>
      <c r="C30" s="555"/>
      <c r="D30" s="41"/>
      <c r="E30" s="75"/>
      <c r="G30" s="87"/>
    </row>
    <row r="31" spans="1:5" ht="13.5">
      <c r="A31" s="72"/>
      <c r="B31" s="73" t="s">
        <v>32</v>
      </c>
      <c r="C31" s="555">
        <f>4461455188-114769351</f>
        <v>4346685837</v>
      </c>
      <c r="D31" s="41">
        <v>515570186</v>
      </c>
      <c r="E31" s="75"/>
    </row>
    <row r="32" spans="1:5" ht="13.5">
      <c r="A32" s="72"/>
      <c r="B32" s="73"/>
      <c r="C32" s="585"/>
      <c r="D32" s="586"/>
      <c r="E32" s="75"/>
    </row>
    <row r="33" spans="1:5" ht="13.5">
      <c r="A33" s="72"/>
      <c r="B33" s="73" t="s">
        <v>541</v>
      </c>
      <c r="C33" s="585">
        <v>0</v>
      </c>
      <c r="D33" s="41">
        <v>17420146</v>
      </c>
      <c r="E33" s="75"/>
    </row>
    <row r="34" spans="1:5" ht="13.5">
      <c r="A34" s="72"/>
      <c r="B34" s="73"/>
      <c r="C34" s="585"/>
      <c r="D34" s="586"/>
      <c r="E34" s="75"/>
    </row>
    <row r="35" spans="1:5" ht="13.5" customHeight="1" hidden="1">
      <c r="A35" s="72"/>
      <c r="B35" s="73" t="s">
        <v>549</v>
      </c>
      <c r="C35" s="585">
        <v>0</v>
      </c>
      <c r="D35" s="557">
        <v>0</v>
      </c>
      <c r="E35" s="75"/>
    </row>
    <row r="36" spans="1:5" ht="13.5" customHeight="1" hidden="1">
      <c r="A36" s="72"/>
      <c r="B36" s="73" t="s">
        <v>541</v>
      </c>
      <c r="C36" s="585">
        <v>0</v>
      </c>
      <c r="D36" s="586">
        <v>0</v>
      </c>
      <c r="E36" s="75"/>
    </row>
    <row r="37" spans="1:5" ht="13.5">
      <c r="A37" s="72"/>
      <c r="B37" s="73" t="s">
        <v>549</v>
      </c>
      <c r="C37" s="585">
        <v>4173923271</v>
      </c>
      <c r="D37" s="586">
        <v>-34505650469</v>
      </c>
      <c r="E37" s="75"/>
    </row>
    <row r="38" spans="1:5" ht="13.5">
      <c r="A38" s="72"/>
      <c r="B38" s="73"/>
      <c r="C38" s="585"/>
      <c r="D38" s="586"/>
      <c r="E38" s="75"/>
    </row>
    <row r="39" spans="1:5" ht="13.5">
      <c r="A39" s="72"/>
      <c r="B39" s="73" t="s">
        <v>541</v>
      </c>
      <c r="C39" s="585">
        <v>-16362216</v>
      </c>
      <c r="D39" s="586">
        <v>-24197582</v>
      </c>
      <c r="E39" s="75"/>
    </row>
    <row r="40" spans="1:5" ht="13.5">
      <c r="A40" s="72"/>
      <c r="B40" s="73"/>
      <c r="C40" s="585"/>
      <c r="D40" s="586"/>
      <c r="E40" s="75"/>
    </row>
    <row r="41" spans="1:5" ht="13.5">
      <c r="A41" s="72"/>
      <c r="B41" s="73" t="s">
        <v>540</v>
      </c>
      <c r="C41" s="585">
        <v>-443712</v>
      </c>
      <c r="D41" s="586">
        <v>-980006</v>
      </c>
      <c r="E41" s="75"/>
    </row>
    <row r="42" spans="1:5" ht="13.5">
      <c r="A42" s="72"/>
      <c r="B42" s="73"/>
      <c r="C42" s="585"/>
      <c r="D42" s="586"/>
      <c r="E42" s="75"/>
    </row>
    <row r="43" spans="1:5" ht="13.5">
      <c r="A43" s="72"/>
      <c r="B43" s="73"/>
      <c r="C43" s="586"/>
      <c r="D43" s="672"/>
      <c r="E43" s="75"/>
    </row>
    <row r="44" spans="1:5" ht="13.5">
      <c r="A44" s="72"/>
      <c r="B44" s="73" t="s">
        <v>534</v>
      </c>
      <c r="C44" s="586">
        <v>-971108807</v>
      </c>
      <c r="D44" s="672">
        <v>-1121027322</v>
      </c>
      <c r="E44" s="75"/>
    </row>
    <row r="45" spans="1:5" ht="13.5">
      <c r="A45" s="72"/>
      <c r="B45" s="73"/>
      <c r="C45" s="585"/>
      <c r="D45" s="586"/>
      <c r="E45" s="75"/>
    </row>
    <row r="46" spans="1:5" ht="15">
      <c r="A46" s="72"/>
      <c r="B46" s="92" t="s">
        <v>33</v>
      </c>
      <c r="C46" s="591">
        <f>SUM(C27:C44)</f>
        <v>83034706472</v>
      </c>
      <c r="D46" s="600">
        <f>SUM(D27:D45)</f>
        <v>67073882695</v>
      </c>
      <c r="E46" s="75"/>
    </row>
    <row r="47" spans="1:5" ht="13.5">
      <c r="A47" s="72"/>
      <c r="B47" s="73"/>
      <c r="C47" s="592"/>
      <c r="D47" s="93"/>
      <c r="E47" s="75"/>
    </row>
    <row r="48" spans="1:5" ht="13.5">
      <c r="A48" s="72"/>
      <c r="B48" s="73"/>
      <c r="C48" s="41"/>
      <c r="D48" s="94"/>
      <c r="E48" s="75"/>
    </row>
    <row r="49" spans="1:5" ht="13.5">
      <c r="A49" s="72"/>
      <c r="B49" s="79" t="s">
        <v>34</v>
      </c>
      <c r="C49" s="26">
        <v>-8628610109</v>
      </c>
      <c r="D49" s="26">
        <v>-10283893970</v>
      </c>
      <c r="E49" s="75"/>
    </row>
    <row r="50" spans="1:5" ht="13.5" hidden="1">
      <c r="A50" s="72"/>
      <c r="B50" s="79" t="s">
        <v>35</v>
      </c>
      <c r="C50" s="41">
        <v>0</v>
      </c>
      <c r="D50" s="41">
        <v>0</v>
      </c>
      <c r="E50" s="75"/>
    </row>
    <row r="51" spans="1:5" ht="13.5">
      <c r="A51" s="72"/>
      <c r="B51" s="79"/>
      <c r="C51" s="41"/>
      <c r="D51" s="41"/>
      <c r="E51" s="75"/>
    </row>
    <row r="52" spans="1:5" ht="15.75" thickBot="1">
      <c r="A52" s="72"/>
      <c r="B52" s="95" t="s">
        <v>36</v>
      </c>
      <c r="C52" s="96">
        <f>+C46+C49</f>
        <v>74406096363</v>
      </c>
      <c r="D52" s="96">
        <f>+D46+D49</f>
        <v>56789988725</v>
      </c>
      <c r="E52" s="75"/>
    </row>
    <row r="53" spans="1:7" ht="13.5">
      <c r="A53" s="72"/>
      <c r="B53" s="73"/>
      <c r="C53" s="659"/>
      <c r="D53" s="659"/>
      <c r="E53" s="75"/>
      <c r="G53" s="87"/>
    </row>
    <row r="54" spans="1:5" ht="13.5">
      <c r="A54" s="72"/>
      <c r="B54" s="73"/>
      <c r="C54" s="659"/>
      <c r="D54" s="659"/>
      <c r="E54" s="75"/>
    </row>
    <row r="55" spans="1:5" ht="13.5">
      <c r="A55" s="72"/>
      <c r="B55" s="73" t="s">
        <v>22</v>
      </c>
      <c r="C55" s="660"/>
      <c r="D55" s="660"/>
      <c r="E55" s="75"/>
    </row>
    <row r="56" spans="1:5" ht="13.5">
      <c r="A56" s="97"/>
      <c r="B56" s="98"/>
      <c r="C56" s="661"/>
      <c r="D56" s="661"/>
      <c r="E56" s="99"/>
    </row>
    <row r="57" spans="2:5" ht="13.5">
      <c r="B57" s="2"/>
      <c r="C57" s="100"/>
      <c r="E57" s="2"/>
    </row>
    <row r="58" spans="2:5" ht="13.5">
      <c r="B58" s="2"/>
      <c r="C58" s="697"/>
      <c r="E58" s="2"/>
    </row>
    <row r="59" spans="2:5" ht="13.5">
      <c r="B59" s="2"/>
      <c r="C59" s="100"/>
      <c r="E59" s="2"/>
    </row>
    <row r="60" spans="2:5" ht="13.5">
      <c r="B60" s="2"/>
      <c r="C60" s="100"/>
      <c r="D60" s="102"/>
      <c r="E60" s="2"/>
    </row>
    <row r="61" spans="2:5" ht="13.5">
      <c r="B61" s="2"/>
      <c r="C61" s="134"/>
      <c r="D61" s="102"/>
      <c r="E61" s="2"/>
    </row>
    <row r="62" spans="2:4" ht="13.5">
      <c r="B62" s="103"/>
      <c r="D62" s="104"/>
    </row>
    <row r="63" ht="13.5">
      <c r="B63" s="103"/>
    </row>
  </sheetData>
  <sheetProtection selectLockedCells="1" selectUnlockedCells="1"/>
  <mergeCells count="4">
    <mergeCell ref="B1:D1"/>
    <mergeCell ref="B3:D3"/>
    <mergeCell ref="B4:D4"/>
    <mergeCell ref="B5:D5"/>
  </mergeCells>
  <printOptions/>
  <pageMargins left="1.299212598425197" right="0.5118110236220472" top="1.5748031496062993" bottom="1.141732283464567" header="0.5118110236220472" footer="0.5118110236220472"/>
  <pageSetup horizontalDpi="600" verticalDpi="600" orientation="portrait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60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2" width="1.57421875" style="0" customWidth="1"/>
    <col min="3" max="3" width="58.7109375" style="0" customWidth="1"/>
    <col min="4" max="4" width="15.7109375" style="104" customWidth="1"/>
    <col min="5" max="5" width="15.7109375" style="101" customWidth="1"/>
    <col min="6" max="6" width="3.7109375" style="0" customWidth="1"/>
    <col min="7" max="7" width="16.57421875" style="87" customWidth="1"/>
    <col min="8" max="8" width="13.7109375" style="0" customWidth="1"/>
  </cols>
  <sheetData>
    <row r="1" spans="1:6" ht="15">
      <c r="A1" s="82"/>
      <c r="B1" s="82"/>
      <c r="C1" s="82"/>
      <c r="D1" s="34"/>
      <c r="E1" s="579"/>
      <c r="F1" s="105"/>
    </row>
    <row r="2" spans="1:6" ht="15">
      <c r="A2" s="106"/>
      <c r="B2" s="106"/>
      <c r="C2" s="755" t="s">
        <v>30</v>
      </c>
      <c r="D2" s="756"/>
      <c r="E2" s="757"/>
      <c r="F2" s="758"/>
    </row>
    <row r="3" spans="1:6" ht="15">
      <c r="A3" s="106"/>
      <c r="B3" s="106"/>
      <c r="C3" s="704"/>
      <c r="D3" s="580"/>
      <c r="E3" s="581"/>
      <c r="F3" s="759"/>
    </row>
    <row r="4" spans="1:6" ht="15">
      <c r="A4" s="107"/>
      <c r="B4" s="107"/>
      <c r="C4" s="1012" t="s">
        <v>37</v>
      </c>
      <c r="D4" s="1013"/>
      <c r="E4" s="1013"/>
      <c r="F4" s="1014"/>
    </row>
    <row r="5" spans="1:6" ht="15">
      <c r="A5" s="107"/>
      <c r="B5" s="107"/>
      <c r="C5" s="1015" t="s">
        <v>24</v>
      </c>
      <c r="D5" s="1016"/>
      <c r="E5" s="1016"/>
      <c r="F5" s="1017"/>
    </row>
    <row r="6" spans="1:6" ht="15">
      <c r="A6" s="107"/>
      <c r="B6" s="107"/>
      <c r="C6" s="1015" t="s">
        <v>605</v>
      </c>
      <c r="D6" s="1016"/>
      <c r="E6" s="1016"/>
      <c r="F6" s="1017"/>
    </row>
    <row r="7" spans="1:6" ht="15">
      <c r="A7" s="107"/>
      <c r="B7" s="107"/>
      <c r="C7" s="1015" t="s">
        <v>25</v>
      </c>
      <c r="D7" s="1016"/>
      <c r="E7" s="1016"/>
      <c r="F7" s="1017"/>
    </row>
    <row r="8" spans="1:6" ht="15">
      <c r="A8" s="107"/>
      <c r="B8" s="107"/>
      <c r="C8" s="760"/>
      <c r="D8" s="582"/>
      <c r="E8" s="583"/>
      <c r="F8" s="761"/>
    </row>
    <row r="9" spans="1:6" ht="15">
      <c r="A9" s="108"/>
      <c r="B9" s="108"/>
      <c r="C9" s="700"/>
      <c r="D9" s="1018" t="s">
        <v>38</v>
      </c>
      <c r="E9" s="1018"/>
      <c r="F9" s="762"/>
    </row>
    <row r="10" spans="1:6" ht="15">
      <c r="A10" s="108"/>
      <c r="B10" s="108"/>
      <c r="C10" s="701"/>
      <c r="D10" s="110">
        <v>43830</v>
      </c>
      <c r="E10" s="110">
        <v>43465</v>
      </c>
      <c r="F10" s="763"/>
    </row>
    <row r="11" spans="1:7" ht="13.5">
      <c r="A11" s="108"/>
      <c r="B11" s="108"/>
      <c r="C11" s="701"/>
      <c r="D11" s="111"/>
      <c r="E11" s="111"/>
      <c r="F11" s="764"/>
      <c r="G11" s="112"/>
    </row>
    <row r="12" spans="1:6" ht="15">
      <c r="A12" s="106"/>
      <c r="B12" s="106"/>
      <c r="C12" s="702" t="s">
        <v>39</v>
      </c>
      <c r="D12" s="113"/>
      <c r="E12" s="113"/>
      <c r="F12" s="759"/>
    </row>
    <row r="13" spans="1:6" ht="13.5">
      <c r="A13" s="108"/>
      <c r="B13" s="108"/>
      <c r="C13" s="703" t="s">
        <v>40</v>
      </c>
      <c r="D13" s="584">
        <v>615044341126</v>
      </c>
      <c r="E13" s="627">
        <v>608594469672</v>
      </c>
      <c r="F13" s="764"/>
    </row>
    <row r="14" spans="1:6" ht="13.5">
      <c r="A14" s="108"/>
      <c r="B14" s="108"/>
      <c r="C14" s="703" t="s">
        <v>41</v>
      </c>
      <c r="D14" s="114">
        <v>-388858771424</v>
      </c>
      <c r="E14" s="114">
        <v>-390611866147</v>
      </c>
      <c r="F14" s="764"/>
    </row>
    <row r="15" spans="1:7" ht="13.5">
      <c r="A15" s="108"/>
      <c r="B15" s="108"/>
      <c r="C15" s="703" t="s">
        <v>42</v>
      </c>
      <c r="D15" s="114">
        <v>-33666396318</v>
      </c>
      <c r="E15" s="114">
        <v>-31388189063</v>
      </c>
      <c r="F15" s="764"/>
      <c r="G15" s="44"/>
    </row>
    <row r="16" spans="1:9" ht="13.5">
      <c r="A16" s="108"/>
      <c r="B16" s="108"/>
      <c r="C16" s="703" t="s">
        <v>43</v>
      </c>
      <c r="D16" s="116">
        <v>-70206509673</v>
      </c>
      <c r="E16" s="116">
        <v>-55009906246</v>
      </c>
      <c r="F16" s="764"/>
      <c r="H16" s="118"/>
      <c r="I16" s="87"/>
    </row>
    <row r="17" spans="1:6" ht="13.5">
      <c r="A17" s="108"/>
      <c r="B17" s="108"/>
      <c r="C17" s="701"/>
      <c r="D17" s="111"/>
      <c r="E17" s="115"/>
      <c r="F17" s="764"/>
    </row>
    <row r="18" spans="1:6" ht="13.5">
      <c r="A18" s="108"/>
      <c r="B18" s="108"/>
      <c r="C18" s="704" t="s">
        <v>44</v>
      </c>
      <c r="D18" s="111"/>
      <c r="E18" s="115"/>
      <c r="F18" s="764"/>
    </row>
    <row r="19" spans="1:6" ht="15">
      <c r="A19" s="108"/>
      <c r="B19" s="108"/>
      <c r="C19" s="704" t="s">
        <v>45</v>
      </c>
      <c r="D19" s="119">
        <f>SUM(D13:D16)</f>
        <v>122312663711</v>
      </c>
      <c r="E19" s="119">
        <f>SUM(E13:E16)</f>
        <v>131584508216</v>
      </c>
      <c r="F19" s="764"/>
    </row>
    <row r="20" spans="1:6" ht="15">
      <c r="A20" s="108"/>
      <c r="B20" s="108"/>
      <c r="C20" s="702"/>
      <c r="D20" s="113"/>
      <c r="E20" s="121"/>
      <c r="F20" s="764"/>
    </row>
    <row r="21" spans="1:6" ht="15">
      <c r="A21" s="108"/>
      <c r="B21" s="108"/>
      <c r="C21" s="702" t="s">
        <v>46</v>
      </c>
      <c r="D21" s="113"/>
      <c r="E21" s="121"/>
      <c r="F21" s="764"/>
    </row>
    <row r="22" spans="1:9" ht="15">
      <c r="A22" s="108"/>
      <c r="B22" s="108"/>
      <c r="C22" s="702"/>
      <c r="D22" s="113"/>
      <c r="E22" s="121"/>
      <c r="F22" s="764"/>
      <c r="H22" s="122"/>
      <c r="I22" s="122"/>
    </row>
    <row r="23" spans="1:9" ht="13.5">
      <c r="A23" s="108"/>
      <c r="B23" s="108"/>
      <c r="C23" s="703" t="s">
        <v>47</v>
      </c>
      <c r="D23" s="587">
        <v>-12372724795</v>
      </c>
      <c r="E23" s="587">
        <v>-8878570350</v>
      </c>
      <c r="F23" s="764"/>
      <c r="H23" s="122"/>
      <c r="I23" s="122"/>
    </row>
    <row r="24" spans="1:9" ht="15">
      <c r="A24" s="108"/>
      <c r="B24" s="108"/>
      <c r="C24" s="702" t="s">
        <v>48</v>
      </c>
      <c r="D24" s="120">
        <f>+D19+D23</f>
        <v>109939938916</v>
      </c>
      <c r="E24" s="120">
        <f>+E19+E23</f>
        <v>122705937866</v>
      </c>
      <c r="F24" s="764"/>
      <c r="I24" s="122"/>
    </row>
    <row r="25" spans="1:9" ht="13.5">
      <c r="A25" s="108"/>
      <c r="B25" s="108"/>
      <c r="C25" s="701"/>
      <c r="D25" s="115"/>
      <c r="E25" s="115"/>
      <c r="F25" s="764"/>
      <c r="H25" s="122"/>
      <c r="I25" s="122"/>
    </row>
    <row r="26" spans="1:6" ht="15">
      <c r="A26" s="124"/>
      <c r="B26" s="124"/>
      <c r="C26" s="702" t="s">
        <v>49</v>
      </c>
      <c r="D26" s="121"/>
      <c r="E26" s="125"/>
      <c r="F26" s="759"/>
    </row>
    <row r="27" spans="1:8" ht="13.5">
      <c r="A27" s="108"/>
      <c r="B27" s="108"/>
      <c r="C27" s="703" t="s">
        <v>50</v>
      </c>
      <c r="D27" s="126">
        <v>13695457373</v>
      </c>
      <c r="E27" s="126">
        <v>-50075279020</v>
      </c>
      <c r="F27" s="764"/>
      <c r="H27" s="122"/>
    </row>
    <row r="28" spans="1:8" ht="13.5">
      <c r="A28" s="108"/>
      <c r="B28" s="108"/>
      <c r="C28" s="703" t="s">
        <v>51</v>
      </c>
      <c r="D28" s="584">
        <v>-11751950024</v>
      </c>
      <c r="E28" s="628">
        <v>-6654357394</v>
      </c>
      <c r="F28" s="764"/>
      <c r="H28" s="122"/>
    </row>
    <row r="29" spans="1:8" ht="13.5">
      <c r="A29" s="108"/>
      <c r="B29" s="108"/>
      <c r="C29" s="703" t="s">
        <v>52</v>
      </c>
      <c r="D29" s="117">
        <v>-17796703599</v>
      </c>
      <c r="E29" s="117">
        <v>-35811585361</v>
      </c>
      <c r="F29" s="764"/>
      <c r="H29" s="122"/>
    </row>
    <row r="30" spans="1:8" ht="13.5">
      <c r="A30" s="108"/>
      <c r="B30" s="108"/>
      <c r="C30" s="701"/>
      <c r="D30" s="115"/>
      <c r="E30" s="115"/>
      <c r="F30" s="764"/>
      <c r="H30" s="122"/>
    </row>
    <row r="31" spans="1:8" ht="15">
      <c r="A31" s="108"/>
      <c r="B31" s="108"/>
      <c r="C31" s="702" t="s">
        <v>53</v>
      </c>
      <c r="D31" s="123">
        <f>SUM(D27:D30)</f>
        <v>-15853196250</v>
      </c>
      <c r="E31" s="123">
        <f>SUM(E27:E30)</f>
        <v>-92541221775</v>
      </c>
      <c r="F31" s="764"/>
      <c r="H31" s="122"/>
    </row>
    <row r="32" spans="1:6" ht="13.5">
      <c r="A32" s="108"/>
      <c r="B32" s="108"/>
      <c r="C32" s="704"/>
      <c r="D32" s="127"/>
      <c r="E32" s="127"/>
      <c r="F32" s="764"/>
    </row>
    <row r="33" spans="1:8" ht="13.5">
      <c r="A33" s="108"/>
      <c r="B33" s="108"/>
      <c r="C33" s="704" t="s">
        <v>54</v>
      </c>
      <c r="D33" s="115"/>
      <c r="E33" s="115"/>
      <c r="F33" s="764"/>
      <c r="H33" s="87"/>
    </row>
    <row r="34" spans="1:8" ht="13.5">
      <c r="A34" s="108"/>
      <c r="B34" s="108"/>
      <c r="C34" s="704"/>
      <c r="D34" s="115"/>
      <c r="E34" s="115"/>
      <c r="F34" s="764"/>
      <c r="H34" s="87"/>
    </row>
    <row r="35" spans="1:6" ht="13.5" hidden="1">
      <c r="A35" s="108"/>
      <c r="B35" s="108"/>
      <c r="C35" s="703" t="s">
        <v>55</v>
      </c>
      <c r="D35" s="115">
        <v>0</v>
      </c>
      <c r="E35" s="126">
        <v>0</v>
      </c>
      <c r="F35" s="764"/>
    </row>
    <row r="36" spans="1:6" ht="13.5">
      <c r="A36" s="108"/>
      <c r="B36" s="108"/>
      <c r="C36" s="703" t="s">
        <v>56</v>
      </c>
      <c r="D36" s="584">
        <v>-28058509804</v>
      </c>
      <c r="E36" s="584">
        <v>8271620722</v>
      </c>
      <c r="F36" s="764"/>
    </row>
    <row r="37" spans="1:6" ht="13.5">
      <c r="A37" s="108"/>
      <c r="B37" s="108"/>
      <c r="C37" s="703" t="s">
        <v>57</v>
      </c>
      <c r="D37" s="115">
        <v>-19422176144</v>
      </c>
      <c r="E37" s="115">
        <v>-22945377606</v>
      </c>
      <c r="F37" s="764"/>
    </row>
    <row r="38" spans="1:6" ht="13.5" hidden="1">
      <c r="A38" s="108"/>
      <c r="B38" s="108"/>
      <c r="C38" s="703" t="s">
        <v>58</v>
      </c>
      <c r="D38" s="115">
        <v>0</v>
      </c>
      <c r="E38" s="115">
        <v>0</v>
      </c>
      <c r="F38" s="764"/>
    </row>
    <row r="39" spans="1:6" ht="13.5">
      <c r="A39" s="108"/>
      <c r="B39" s="108"/>
      <c r="C39" s="703" t="s">
        <v>59</v>
      </c>
      <c r="D39" s="115">
        <v>-2951249591</v>
      </c>
      <c r="E39" s="115">
        <v>-1243870278</v>
      </c>
      <c r="F39" s="764"/>
    </row>
    <row r="40" spans="1:6" ht="15">
      <c r="A40" s="108"/>
      <c r="B40" s="108"/>
      <c r="C40" s="702" t="s">
        <v>60</v>
      </c>
      <c r="D40" s="123">
        <f>SUM(D35:D39)</f>
        <v>-50431935539</v>
      </c>
      <c r="E40" s="123">
        <f>SUM(E35:E39)</f>
        <v>-15917627162</v>
      </c>
      <c r="F40" s="764"/>
    </row>
    <row r="41" spans="1:6" ht="13.5">
      <c r="A41" s="108"/>
      <c r="B41" s="108"/>
      <c r="C41" s="702"/>
      <c r="D41" s="115"/>
      <c r="E41" s="115"/>
      <c r="F41" s="764"/>
    </row>
    <row r="42" spans="1:6" ht="13.5">
      <c r="A42" s="108"/>
      <c r="B42" s="108"/>
      <c r="C42" s="702" t="s">
        <v>61</v>
      </c>
      <c r="D42" s="115"/>
      <c r="E42" s="115"/>
      <c r="F42" s="764"/>
    </row>
    <row r="43" spans="1:7" ht="13.5">
      <c r="A43" s="108"/>
      <c r="B43" s="108"/>
      <c r="C43" s="702" t="s">
        <v>62</v>
      </c>
      <c r="D43" s="663">
        <v>6083291909</v>
      </c>
      <c r="E43" s="662">
        <v>3834590352</v>
      </c>
      <c r="F43" s="764"/>
      <c r="G43" s="118"/>
    </row>
    <row r="44" spans="1:6" ht="13.5">
      <c r="A44" s="108"/>
      <c r="B44" s="108"/>
      <c r="C44" s="702"/>
      <c r="D44" s="605"/>
      <c r="E44" s="605"/>
      <c r="F44" s="764"/>
    </row>
    <row r="45" spans="1:6" ht="15">
      <c r="A45" s="108"/>
      <c r="B45" s="108"/>
      <c r="C45" s="705" t="s">
        <v>624</v>
      </c>
      <c r="D45" s="121">
        <f>D19+D23+D31+D40+D43</f>
        <v>49738099036</v>
      </c>
      <c r="E45" s="121">
        <f>E19+E23+E31+E40+E43</f>
        <v>18081679281</v>
      </c>
      <c r="F45" s="764"/>
    </row>
    <row r="46" spans="1:6" ht="15">
      <c r="A46" s="108"/>
      <c r="B46" s="108"/>
      <c r="C46" s="705" t="s">
        <v>63</v>
      </c>
      <c r="D46" s="119">
        <v>48023427196</v>
      </c>
      <c r="E46" s="119">
        <f>'[1]CALC.AUXIL.FLUJO EFECTIVO 2017'!$C$1111</f>
        <v>29941747914</v>
      </c>
      <c r="F46" s="764"/>
    </row>
    <row r="47" spans="1:6" ht="15">
      <c r="A47" s="108"/>
      <c r="B47" s="108"/>
      <c r="C47" s="703" t="s">
        <v>64</v>
      </c>
      <c r="D47" s="128">
        <f>+D46+D45</f>
        <v>97761526232</v>
      </c>
      <c r="E47" s="128">
        <f>+E46+E45+1</f>
        <v>48023427196</v>
      </c>
      <c r="F47" s="764"/>
    </row>
    <row r="48" spans="1:6" ht="15">
      <c r="A48" s="108"/>
      <c r="B48" s="108"/>
      <c r="C48" s="765"/>
      <c r="D48" s="766"/>
      <c r="E48" s="767"/>
      <c r="F48" s="768"/>
    </row>
    <row r="49" spans="1:6" ht="13.5">
      <c r="A49" s="108"/>
      <c r="B49" s="109"/>
      <c r="C49" s="129" t="s">
        <v>22</v>
      </c>
      <c r="D49" s="130"/>
      <c r="E49" s="131"/>
      <c r="F49" s="132"/>
    </row>
    <row r="51" spans="4:5" ht="13.5">
      <c r="D51" s="133"/>
      <c r="E51" s="134"/>
    </row>
    <row r="52" spans="4:5" ht="13.5">
      <c r="D52" s="698"/>
      <c r="E52" s="134"/>
    </row>
    <row r="53" spans="4:5" ht="13.5">
      <c r="D53" s="102"/>
      <c r="E53" s="134"/>
    </row>
    <row r="54" spans="4:5" ht="13.5">
      <c r="D54" s="133"/>
      <c r="E54" s="134"/>
    </row>
    <row r="55" spans="4:5" ht="13.5">
      <c r="D55" s="133"/>
      <c r="E55" s="134"/>
    </row>
    <row r="56" spans="4:5" ht="13.5">
      <c r="D56" s="133"/>
      <c r="E56" s="134"/>
    </row>
    <row r="57" spans="4:5" ht="13.5">
      <c r="D57" s="133"/>
      <c r="E57" s="134"/>
    </row>
    <row r="58" spans="4:5" ht="13.5">
      <c r="D58" s="133"/>
      <c r="E58" s="134"/>
    </row>
    <row r="59" spans="4:5" ht="13.5">
      <c r="D59" s="133"/>
      <c r="E59" s="134"/>
    </row>
    <row r="60" ht="13.5">
      <c r="E60" s="134"/>
    </row>
  </sheetData>
  <sheetProtection selectLockedCells="1" selectUnlockedCells="1"/>
  <mergeCells count="5">
    <mergeCell ref="C4:F4"/>
    <mergeCell ref="C5:F5"/>
    <mergeCell ref="C6:F6"/>
    <mergeCell ref="C7:F7"/>
    <mergeCell ref="D9:E9"/>
  </mergeCells>
  <printOptions/>
  <pageMargins left="1.2598425196850394" right="1.2598425196850394" top="2.362204724409449" bottom="0.984251968503937" header="0.5118110236220472" footer="0.5118110236220472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W68"/>
  <sheetViews>
    <sheetView zoomScalePageLayoutView="0" workbookViewId="0" topLeftCell="A13">
      <selection activeCell="L38" sqref="L38"/>
    </sheetView>
  </sheetViews>
  <sheetFormatPr defaultColWidth="11.57421875" defaultRowHeight="12.75"/>
  <cols>
    <col min="1" max="1" width="32.7109375" style="0" customWidth="1"/>
    <col min="2" max="2" width="12.57421875" style="0" customWidth="1"/>
    <col min="3" max="3" width="10.28125" style="0" customWidth="1"/>
    <col min="4" max="4" width="13.140625" style="0" bestFit="1" customWidth="1"/>
    <col min="5" max="5" width="12.140625" style="0" customWidth="1"/>
    <col min="6" max="6" width="11.7109375" style="0" customWidth="1"/>
    <col min="7" max="7" width="11.140625" style="0" customWidth="1"/>
    <col min="8" max="8" width="13.57421875" style="0" customWidth="1"/>
    <col min="9" max="9" width="9.7109375" style="0" customWidth="1"/>
    <col min="10" max="10" width="12.28125" style="0" customWidth="1"/>
    <col min="11" max="11" width="13.57421875" style="0" customWidth="1"/>
    <col min="12" max="12" width="14.28125" style="69" customWidth="1"/>
    <col min="13" max="13" width="1.421875" style="0" customWidth="1"/>
    <col min="14" max="14" width="19.421875" style="0" customWidth="1"/>
    <col min="15" max="15" width="17.00390625" style="0" customWidth="1"/>
    <col min="16" max="16" width="15.140625" style="0" customWidth="1"/>
    <col min="17" max="17" width="12.7109375" style="0" customWidth="1"/>
    <col min="18" max="255" width="11.421875" style="0" customWidth="1"/>
  </cols>
  <sheetData>
    <row r="1" spans="1:13" ht="12.75">
      <c r="A1" s="453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141"/>
      <c r="M1" s="137"/>
    </row>
    <row r="2" spans="1:13" ht="15" customHeight="1">
      <c r="A2" s="724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71"/>
    </row>
    <row r="3" spans="1:13" ht="15" customHeight="1">
      <c r="A3" s="1019" t="s">
        <v>65</v>
      </c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1"/>
      <c r="M3" s="75"/>
    </row>
    <row r="4" spans="1:13" ht="12.75">
      <c r="A4" s="727"/>
      <c r="B4" s="74"/>
      <c r="C4" s="74"/>
      <c r="D4" s="74"/>
      <c r="E4" s="74"/>
      <c r="F4" s="74"/>
      <c r="G4" s="74"/>
      <c r="H4" s="74"/>
      <c r="I4" s="74"/>
      <c r="J4" s="74"/>
      <c r="K4" s="74"/>
      <c r="L4" s="728"/>
      <c r="M4" s="75"/>
    </row>
    <row r="5" spans="1:13" ht="12.75">
      <c r="A5" s="1022" t="s">
        <v>606</v>
      </c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23"/>
      <c r="M5" s="75"/>
    </row>
    <row r="6" spans="1:22" ht="12.75">
      <c r="A6" s="1022" t="s">
        <v>25</v>
      </c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23"/>
      <c r="M6" s="75"/>
      <c r="V6" s="87"/>
    </row>
    <row r="7" spans="1:22" ht="12.75">
      <c r="A7" s="729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730"/>
      <c r="M7" s="75"/>
      <c r="V7" s="87"/>
    </row>
    <row r="8" spans="1:22" ht="12.75">
      <c r="A8" s="719"/>
      <c r="B8" s="144"/>
      <c r="C8" s="710"/>
      <c r="D8" s="596"/>
      <c r="E8" s="145"/>
      <c r="F8" s="145"/>
      <c r="G8" s="145"/>
      <c r="H8" s="145" t="s">
        <v>66</v>
      </c>
      <c r="I8" s="145"/>
      <c r="J8" s="146"/>
      <c r="K8" s="147">
        <v>43830</v>
      </c>
      <c r="L8" s="731">
        <v>43465</v>
      </c>
      <c r="M8" s="75"/>
      <c r="U8" s="87"/>
      <c r="V8" s="87"/>
    </row>
    <row r="9" spans="1:23" ht="12.75">
      <c r="A9" s="720"/>
      <c r="B9" s="149" t="s">
        <v>67</v>
      </c>
      <c r="C9" s="711"/>
      <c r="D9" s="99"/>
      <c r="E9" s="1024" t="s">
        <v>68</v>
      </c>
      <c r="F9" s="1024"/>
      <c r="G9" s="1024"/>
      <c r="H9" s="1024"/>
      <c r="I9" s="1024"/>
      <c r="J9" s="152"/>
      <c r="K9" s="153"/>
      <c r="L9" s="732"/>
      <c r="M9" s="1"/>
      <c r="U9" s="155"/>
      <c r="V9" s="156"/>
      <c r="W9" s="157"/>
    </row>
    <row r="10" spans="1:23" ht="12.75">
      <c r="A10" s="720"/>
      <c r="B10" s="706"/>
      <c r="C10" s="712" t="s">
        <v>69</v>
      </c>
      <c r="D10" s="160" t="s">
        <v>70</v>
      </c>
      <c r="E10" s="153" t="s">
        <v>71</v>
      </c>
      <c r="F10" s="153" t="s">
        <v>72</v>
      </c>
      <c r="G10" s="153" t="s">
        <v>73</v>
      </c>
      <c r="H10" s="348"/>
      <c r="I10" s="153" t="s">
        <v>74</v>
      </c>
      <c r="J10" s="153" t="s">
        <v>75</v>
      </c>
      <c r="K10" s="153" t="s">
        <v>76</v>
      </c>
      <c r="L10" s="732" t="s">
        <v>76</v>
      </c>
      <c r="M10" s="1"/>
      <c r="U10" s="87"/>
      <c r="V10" s="87"/>
      <c r="W10" s="157"/>
    </row>
    <row r="11" spans="1:22" ht="12.75">
      <c r="A11" s="720"/>
      <c r="B11" s="140" t="s">
        <v>77</v>
      </c>
      <c r="C11" s="713" t="s">
        <v>78</v>
      </c>
      <c r="D11" s="162" t="s">
        <v>79</v>
      </c>
      <c r="E11" s="153" t="s">
        <v>80</v>
      </c>
      <c r="F11" s="153" t="s">
        <v>81</v>
      </c>
      <c r="G11" s="153" t="s">
        <v>82</v>
      </c>
      <c r="H11" s="153" t="s">
        <v>83</v>
      </c>
      <c r="I11" s="153" t="s">
        <v>84</v>
      </c>
      <c r="J11" s="153" t="s">
        <v>85</v>
      </c>
      <c r="K11" s="153" t="s">
        <v>86</v>
      </c>
      <c r="L11" s="732" t="s">
        <v>86</v>
      </c>
      <c r="M11" s="1"/>
      <c r="U11" s="87"/>
      <c r="V11" s="87"/>
    </row>
    <row r="12" spans="1:22" ht="12.75">
      <c r="A12" s="721"/>
      <c r="B12" s="707"/>
      <c r="C12" s="714" t="s">
        <v>87</v>
      </c>
      <c r="D12" s="165" t="s">
        <v>88</v>
      </c>
      <c r="E12" s="166"/>
      <c r="F12" s="164" t="s">
        <v>89</v>
      </c>
      <c r="G12" s="164" t="s">
        <v>90</v>
      </c>
      <c r="H12" s="163"/>
      <c r="I12" s="164" t="s">
        <v>91</v>
      </c>
      <c r="J12" s="166"/>
      <c r="K12" s="164" t="s">
        <v>92</v>
      </c>
      <c r="L12" s="733" t="s">
        <v>92</v>
      </c>
      <c r="M12" s="1"/>
      <c r="U12" s="87"/>
      <c r="V12" s="87"/>
    </row>
    <row r="13" spans="1:22" ht="12.75">
      <c r="A13" s="722"/>
      <c r="B13" s="230"/>
      <c r="C13" s="715"/>
      <c r="D13" s="74"/>
      <c r="E13" s="168"/>
      <c r="F13" s="168"/>
      <c r="G13" s="168"/>
      <c r="H13" s="168"/>
      <c r="I13" s="168"/>
      <c r="J13" s="168"/>
      <c r="K13" s="168"/>
      <c r="L13" s="734"/>
      <c r="M13" s="1"/>
      <c r="U13" s="87"/>
      <c r="V13" s="87"/>
    </row>
    <row r="14" spans="1:22" s="2" customFormat="1" ht="12.75">
      <c r="A14" s="722" t="s">
        <v>555</v>
      </c>
      <c r="B14" s="230">
        <v>270000000000</v>
      </c>
      <c r="C14" s="715">
        <v>-144200000</v>
      </c>
      <c r="D14" s="171">
        <v>365041931517</v>
      </c>
      <c r="E14" s="168">
        <v>43132145220</v>
      </c>
      <c r="F14" s="168">
        <v>8329302000</v>
      </c>
      <c r="G14" s="168">
        <v>-47385000</v>
      </c>
      <c r="H14" s="168">
        <v>170016595404</v>
      </c>
      <c r="I14" s="168">
        <v>0</v>
      </c>
      <c r="J14" s="168">
        <v>56789988725</v>
      </c>
      <c r="K14" s="168">
        <v>913118377866</v>
      </c>
      <c r="L14" s="735">
        <v>802087530535</v>
      </c>
      <c r="M14" s="1"/>
      <c r="U14" s="44"/>
      <c r="V14" s="44"/>
    </row>
    <row r="15" spans="1:22" s="2" customFormat="1" ht="12.75">
      <c r="A15" s="720" t="s">
        <v>93</v>
      </c>
      <c r="B15" s="230">
        <v>0</v>
      </c>
      <c r="C15" s="715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734">
        <v>0</v>
      </c>
      <c r="M15" s="1"/>
      <c r="O15" s="122"/>
      <c r="V15" s="44"/>
    </row>
    <row r="16" spans="1:15" s="2" customFormat="1" ht="12.75">
      <c r="A16" s="722" t="s">
        <v>556</v>
      </c>
      <c r="B16" s="242">
        <f aca="true" t="shared" si="0" ref="B16:I16">SUM(B14:B15)</f>
        <v>270000000000</v>
      </c>
      <c r="C16" s="716">
        <f t="shared" si="0"/>
        <v>-144200000</v>
      </c>
      <c r="D16" s="172">
        <f t="shared" si="0"/>
        <v>365041931517</v>
      </c>
      <c r="E16" s="172">
        <f t="shared" si="0"/>
        <v>43132145220</v>
      </c>
      <c r="F16" s="172">
        <f t="shared" si="0"/>
        <v>8329302000</v>
      </c>
      <c r="G16" s="172">
        <f t="shared" si="0"/>
        <v>-47385000</v>
      </c>
      <c r="H16" s="172">
        <f>SUM(H14:H15)</f>
        <v>170016595404</v>
      </c>
      <c r="I16" s="172">
        <f t="shared" si="0"/>
        <v>0</v>
      </c>
      <c r="J16" s="172">
        <f>SUM(J14:J15)</f>
        <v>56789988725</v>
      </c>
      <c r="K16" s="172">
        <f>SUM(K14:K15)</f>
        <v>913118377866</v>
      </c>
      <c r="L16" s="736">
        <f>+L14</f>
        <v>802087530535</v>
      </c>
      <c r="M16" s="1"/>
      <c r="N16" s="44"/>
      <c r="O16" s="122"/>
    </row>
    <row r="17" spans="1:15" ht="12.75">
      <c r="A17" s="720"/>
      <c r="B17" s="230"/>
      <c r="C17" s="715"/>
      <c r="D17" s="171"/>
      <c r="E17" s="168"/>
      <c r="F17" s="168"/>
      <c r="G17" s="168"/>
      <c r="H17" s="168"/>
      <c r="I17" s="168"/>
      <c r="J17" s="168"/>
      <c r="K17" s="168"/>
      <c r="L17" s="734"/>
      <c r="M17" s="1"/>
      <c r="N17" s="87"/>
      <c r="O17" s="122"/>
    </row>
    <row r="18" spans="1:15" ht="12.75">
      <c r="A18" s="720" t="s">
        <v>94</v>
      </c>
      <c r="B18" s="230">
        <v>0</v>
      </c>
      <c r="C18" s="715">
        <v>0</v>
      </c>
      <c r="D18" s="171">
        <v>34528313145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f>+-D18</f>
        <v>-34528313145</v>
      </c>
      <c r="K18" s="168">
        <v>0</v>
      </c>
      <c r="L18" s="735">
        <v>0</v>
      </c>
      <c r="M18" s="1"/>
      <c r="N18" s="87"/>
      <c r="O18" s="122"/>
    </row>
    <row r="19" spans="1:17" ht="12.75">
      <c r="A19" s="720" t="s">
        <v>95</v>
      </c>
      <c r="B19" s="230">
        <v>0</v>
      </c>
      <c r="C19" s="715">
        <v>0</v>
      </c>
      <c r="D19" s="171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f>-F19</f>
        <v>0</v>
      </c>
      <c r="K19" s="168">
        <v>0</v>
      </c>
      <c r="L19" s="735">
        <v>0</v>
      </c>
      <c r="M19" s="1"/>
      <c r="O19" s="122"/>
      <c r="Q19" s="87"/>
    </row>
    <row r="20" spans="1:17" ht="12.75">
      <c r="A20" s="720" t="s">
        <v>96</v>
      </c>
      <c r="B20" s="230">
        <f>335041900000+30000000000</f>
        <v>365041900000</v>
      </c>
      <c r="C20" s="715">
        <v>0</v>
      </c>
      <c r="D20" s="171">
        <f>-335041900000-30000000000</f>
        <v>-365041900000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735">
        <v>0</v>
      </c>
      <c r="M20" s="1"/>
      <c r="N20" s="87"/>
      <c r="O20" s="122"/>
      <c r="Q20" s="87"/>
    </row>
    <row r="21" spans="1:17" ht="12.75" hidden="1">
      <c r="A21" s="720" t="s">
        <v>97</v>
      </c>
      <c r="B21" s="230">
        <v>0</v>
      </c>
      <c r="C21" s="715">
        <v>0</v>
      </c>
      <c r="D21" s="171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f>-F21-B21</f>
        <v>0</v>
      </c>
      <c r="K21" s="168">
        <v>0</v>
      </c>
      <c r="L21" s="735">
        <v>0</v>
      </c>
      <c r="M21" s="1"/>
      <c r="O21" s="173"/>
      <c r="Q21" s="87"/>
    </row>
    <row r="22" spans="1:15" ht="12.75" hidden="1">
      <c r="A22" s="720" t="s">
        <v>98</v>
      </c>
      <c r="B22" s="230">
        <v>0</v>
      </c>
      <c r="C22" s="715">
        <v>0</v>
      </c>
      <c r="D22" s="171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f>+J22</f>
        <v>0</v>
      </c>
      <c r="L22" s="735">
        <v>0</v>
      </c>
      <c r="M22" s="1"/>
      <c r="O22" s="122"/>
    </row>
    <row r="23" spans="1:15" ht="12.75">
      <c r="A23" s="720" t="s">
        <v>99</v>
      </c>
      <c r="B23" s="230">
        <v>0</v>
      </c>
      <c r="C23" s="715">
        <v>0</v>
      </c>
      <c r="D23" s="171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735">
        <v>0</v>
      </c>
      <c r="M23" s="1"/>
      <c r="O23" s="122"/>
    </row>
    <row r="24" spans="1:15" ht="12.75" hidden="1">
      <c r="A24" s="720" t="s">
        <v>100</v>
      </c>
      <c r="B24" s="230">
        <v>0</v>
      </c>
      <c r="C24" s="715">
        <v>0</v>
      </c>
      <c r="D24" s="171">
        <v>0</v>
      </c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735">
        <v>0</v>
      </c>
      <c r="M24" s="1"/>
      <c r="O24" s="122"/>
    </row>
    <row r="25" spans="1:15" ht="12.75">
      <c r="A25" s="720" t="s">
        <v>101</v>
      </c>
      <c r="B25" s="230">
        <v>0</v>
      </c>
      <c r="C25" s="715">
        <v>0</v>
      </c>
      <c r="D25" s="171">
        <v>0</v>
      </c>
      <c r="E25" s="168">
        <f>2839499436</f>
        <v>2839499436</v>
      </c>
      <c r="F25" s="168">
        <v>0</v>
      </c>
      <c r="G25" s="168">
        <v>0</v>
      </c>
      <c r="H25" s="168">
        <v>0</v>
      </c>
      <c r="I25" s="168">
        <v>0</v>
      </c>
      <c r="J25" s="168">
        <v>-2839499436</v>
      </c>
      <c r="K25" s="168"/>
      <c r="L25" s="735">
        <v>0</v>
      </c>
      <c r="M25" s="1"/>
      <c r="O25" s="174"/>
    </row>
    <row r="26" spans="1:15" ht="12.75">
      <c r="A26" s="720" t="s">
        <v>633</v>
      </c>
      <c r="B26" s="230"/>
      <c r="C26" s="715"/>
      <c r="D26" s="171"/>
      <c r="E26" s="168">
        <v>506745718</v>
      </c>
      <c r="F26" s="168"/>
      <c r="G26" s="168"/>
      <c r="H26" s="168"/>
      <c r="I26" s="168"/>
      <c r="J26" s="168"/>
      <c r="K26" s="168">
        <f>E26</f>
        <v>506745718</v>
      </c>
      <c r="L26" s="735"/>
      <c r="M26" s="1"/>
      <c r="O26" s="174"/>
    </row>
    <row r="27" spans="1:15" ht="12.75">
      <c r="A27" s="720" t="s">
        <v>102</v>
      </c>
      <c r="B27" s="230">
        <v>0</v>
      </c>
      <c r="C27" s="715">
        <v>0</v>
      </c>
      <c r="D27" s="171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735">
        <v>0</v>
      </c>
      <c r="M27" s="1"/>
      <c r="O27" s="122"/>
    </row>
    <row r="28" spans="1:15" ht="12.75">
      <c r="A28" s="720" t="s">
        <v>103</v>
      </c>
      <c r="B28" s="230">
        <v>0</v>
      </c>
      <c r="C28" s="715">
        <v>0</v>
      </c>
      <c r="D28" s="171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-19422176144</v>
      </c>
      <c r="K28" s="168">
        <f>+J28</f>
        <v>-19422176144</v>
      </c>
      <c r="L28" s="735">
        <v>-22945377606</v>
      </c>
      <c r="M28" s="1"/>
      <c r="N28" s="87"/>
      <c r="O28" s="122"/>
    </row>
    <row r="29" spans="1:15" ht="12.75" hidden="1">
      <c r="A29" s="720" t="s">
        <v>104</v>
      </c>
      <c r="B29" s="230">
        <v>0</v>
      </c>
      <c r="C29" s="715">
        <v>0</v>
      </c>
      <c r="D29" s="171">
        <v>0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f>+J29</f>
        <v>0</v>
      </c>
      <c r="L29" s="735">
        <v>0</v>
      </c>
      <c r="M29" s="1"/>
      <c r="N29" s="87"/>
      <c r="O29" s="122"/>
    </row>
    <row r="30" spans="1:15" ht="12.75" hidden="1">
      <c r="A30" s="720" t="s">
        <v>105</v>
      </c>
      <c r="B30" s="230">
        <v>0</v>
      </c>
      <c r="C30" s="715">
        <v>0</v>
      </c>
      <c r="D30" s="171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735">
        <v>0</v>
      </c>
      <c r="M30" s="1"/>
      <c r="N30" s="87"/>
      <c r="O30" s="122"/>
    </row>
    <row r="31" spans="1:15" ht="12.75" hidden="1">
      <c r="A31" s="720" t="s">
        <v>106</v>
      </c>
      <c r="B31" s="230">
        <v>0</v>
      </c>
      <c r="C31" s="715">
        <v>0</v>
      </c>
      <c r="D31" s="171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f>+J31</f>
        <v>0</v>
      </c>
      <c r="L31" s="735">
        <v>0</v>
      </c>
      <c r="M31" s="1"/>
      <c r="N31" s="87"/>
      <c r="O31" s="122"/>
    </row>
    <row r="32" spans="1:15" s="175" customFormat="1" ht="15" customHeight="1">
      <c r="A32" s="720" t="s">
        <v>107</v>
      </c>
      <c r="B32" s="230">
        <v>0</v>
      </c>
      <c r="C32" s="715">
        <v>0</v>
      </c>
      <c r="D32" s="171">
        <v>0</v>
      </c>
      <c r="E32" s="168">
        <v>0</v>
      </c>
      <c r="F32" s="168">
        <v>0</v>
      </c>
      <c r="G32" s="168">
        <v>0</v>
      </c>
      <c r="H32" s="168">
        <f>4058882224+4847114329</f>
        <v>8905996553</v>
      </c>
      <c r="I32" s="168">
        <v>0</v>
      </c>
      <c r="J32" s="168">
        <v>0</v>
      </c>
      <c r="K32" s="168">
        <f>SUM(B32:J32)</f>
        <v>8905996553</v>
      </c>
      <c r="L32" s="735">
        <v>77186236212</v>
      </c>
      <c r="M32" s="1"/>
      <c r="N32" s="181"/>
      <c r="O32" s="176"/>
    </row>
    <row r="33" spans="1:15" s="175" customFormat="1" ht="15" customHeight="1" hidden="1">
      <c r="A33" s="720" t="s">
        <v>108</v>
      </c>
      <c r="B33" s="230">
        <v>0</v>
      </c>
      <c r="C33" s="715">
        <v>0</v>
      </c>
      <c r="D33" s="171">
        <v>0</v>
      </c>
      <c r="E33" s="168">
        <v>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735">
        <v>0</v>
      </c>
      <c r="M33" s="1"/>
      <c r="N33" s="181"/>
      <c r="O33" s="176"/>
    </row>
    <row r="34" spans="1:15" s="175" customFormat="1" ht="15" customHeight="1">
      <c r="A34" s="720" t="s">
        <v>634</v>
      </c>
      <c r="B34" s="230">
        <v>0</v>
      </c>
      <c r="C34" s="715">
        <v>0</v>
      </c>
      <c r="D34" s="171">
        <v>0</v>
      </c>
      <c r="E34" s="168">
        <v>0</v>
      </c>
      <c r="F34" s="168">
        <v>0</v>
      </c>
      <c r="G34" s="168">
        <v>0</v>
      </c>
      <c r="H34" s="168">
        <f>93525854-43575830</f>
        <v>49950024</v>
      </c>
      <c r="I34" s="168">
        <v>0</v>
      </c>
      <c r="J34" s="168">
        <v>0</v>
      </c>
      <c r="K34" s="168">
        <f>H34</f>
        <v>49950024</v>
      </c>
      <c r="L34" s="735">
        <v>0</v>
      </c>
      <c r="M34" s="1"/>
      <c r="N34" s="181"/>
      <c r="O34" s="176"/>
    </row>
    <row r="35" spans="1:15" ht="12.75">
      <c r="A35" s="720" t="s">
        <v>109</v>
      </c>
      <c r="B35" s="230">
        <v>0</v>
      </c>
      <c r="C35" s="715">
        <v>0</v>
      </c>
      <c r="D35" s="171">
        <v>0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68">
        <v>74406096363</v>
      </c>
      <c r="K35" s="168">
        <f>+J35</f>
        <v>74406096363</v>
      </c>
      <c r="L35" s="735">
        <v>56789988725</v>
      </c>
      <c r="M35" s="1"/>
      <c r="N35" s="87"/>
      <c r="O35" s="122"/>
    </row>
    <row r="36" spans="1:16" ht="12.75">
      <c r="A36" s="720"/>
      <c r="B36" s="230"/>
      <c r="C36" s="715"/>
      <c r="D36" s="171"/>
      <c r="E36" s="168"/>
      <c r="F36" s="168"/>
      <c r="G36" s="168"/>
      <c r="H36" s="168"/>
      <c r="I36" s="168">
        <v>0</v>
      </c>
      <c r="J36" s="73"/>
      <c r="K36" s="73"/>
      <c r="L36" s="734"/>
      <c r="M36" s="1"/>
      <c r="N36" s="122"/>
      <c r="O36" s="122"/>
      <c r="P36" s="87"/>
    </row>
    <row r="37" spans="1:16" ht="16.5" customHeight="1">
      <c r="A37" s="723" t="s">
        <v>593</v>
      </c>
      <c r="B37" s="708">
        <f aca="true" t="shared" si="1" ref="B37:H37">SUM(B16:B36)</f>
        <v>635041900000</v>
      </c>
      <c r="C37" s="717">
        <f t="shared" si="1"/>
        <v>-144200000</v>
      </c>
      <c r="D37" s="618">
        <f t="shared" si="1"/>
        <v>34528344662</v>
      </c>
      <c r="E37" s="618">
        <f t="shared" si="1"/>
        <v>46478390374</v>
      </c>
      <c r="F37" s="618">
        <f t="shared" si="1"/>
        <v>8329302000</v>
      </c>
      <c r="G37" s="618">
        <f t="shared" si="1"/>
        <v>-47385000</v>
      </c>
      <c r="H37" s="618">
        <f t="shared" si="1"/>
        <v>178972541981</v>
      </c>
      <c r="I37" s="177">
        <f>SUM(I18:I36)</f>
        <v>0</v>
      </c>
      <c r="J37" s="177">
        <f>SUM(J16:J36)</f>
        <v>74406096363</v>
      </c>
      <c r="K37" s="177">
        <f>SUM(K16:K35)-1</f>
        <v>977564990379</v>
      </c>
      <c r="L37" s="737"/>
      <c r="M37" s="1"/>
      <c r="N37" s="178"/>
      <c r="O37" s="178"/>
      <c r="P37" s="87"/>
    </row>
    <row r="38" spans="1:16" s="69" customFormat="1" ht="12.75">
      <c r="A38" s="723" t="s">
        <v>611</v>
      </c>
      <c r="B38" s="709">
        <v>270000000000</v>
      </c>
      <c r="C38" s="718">
        <v>-144200000</v>
      </c>
      <c r="D38" s="177">
        <v>365041931517</v>
      </c>
      <c r="E38" s="177">
        <v>43132145220</v>
      </c>
      <c r="F38" s="177">
        <v>8329302000</v>
      </c>
      <c r="G38" s="177">
        <v>-47385000</v>
      </c>
      <c r="H38" s="177">
        <v>170016595404</v>
      </c>
      <c r="I38" s="177">
        <v>0</v>
      </c>
      <c r="J38" s="177">
        <v>56789988725</v>
      </c>
      <c r="K38" s="177"/>
      <c r="L38" s="737">
        <f>SUM(B38:K38)</f>
        <v>913118377866</v>
      </c>
      <c r="M38" s="75"/>
      <c r="N38" s="179"/>
      <c r="O38" s="179"/>
      <c r="P38" s="136"/>
    </row>
    <row r="39" spans="1:15" ht="12.75">
      <c r="A39" s="738"/>
      <c r="B39" s="176"/>
      <c r="C39" s="56"/>
      <c r="D39" s="56"/>
      <c r="E39" s="56"/>
      <c r="F39" s="176"/>
      <c r="G39" s="176"/>
      <c r="H39" s="56"/>
      <c r="I39" s="56"/>
      <c r="J39" s="176"/>
      <c r="K39" s="57"/>
      <c r="L39" s="739"/>
      <c r="M39" s="1"/>
      <c r="N39" s="999"/>
      <c r="O39" s="182"/>
    </row>
    <row r="40" spans="1:13" ht="12.75">
      <c r="A40" s="740"/>
      <c r="B40" s="56"/>
      <c r="C40" s="56"/>
      <c r="D40" s="56"/>
      <c r="E40" s="56"/>
      <c r="F40" s="57"/>
      <c r="G40" s="57"/>
      <c r="H40" s="176"/>
      <c r="I40" s="183"/>
      <c r="J40" s="176"/>
      <c r="K40" s="176"/>
      <c r="L40" s="741"/>
      <c r="M40" s="1"/>
    </row>
    <row r="41" spans="1:13" ht="12.75">
      <c r="A41" s="750"/>
      <c r="B41" s="744"/>
      <c r="C41" s="744"/>
      <c r="D41" s="744"/>
      <c r="E41" s="744"/>
      <c r="F41" s="751"/>
      <c r="G41" s="751"/>
      <c r="H41" s="746"/>
      <c r="I41" s="752"/>
      <c r="J41" s="751"/>
      <c r="K41" s="753"/>
      <c r="L41" s="754"/>
      <c r="M41" s="1"/>
    </row>
    <row r="42" spans="1:13" ht="12.75">
      <c r="A42" s="742"/>
      <c r="B42" s="743"/>
      <c r="C42" s="744"/>
      <c r="D42" s="744"/>
      <c r="E42" s="745"/>
      <c r="F42" s="745"/>
      <c r="G42" s="745"/>
      <c r="H42" s="746"/>
      <c r="I42" s="745"/>
      <c r="J42" s="747"/>
      <c r="K42" s="748"/>
      <c r="L42" s="749"/>
      <c r="M42" s="61"/>
    </row>
    <row r="43" spans="1:13" ht="12.75">
      <c r="A43" s="186"/>
      <c r="B43" s="187"/>
      <c r="C43" s="175"/>
      <c r="D43" s="175"/>
      <c r="E43" s="188"/>
      <c r="F43" s="189"/>
      <c r="G43" s="188"/>
      <c r="H43" s="189"/>
      <c r="I43" s="188"/>
      <c r="J43" s="190"/>
      <c r="K43" s="189"/>
      <c r="L43" s="191"/>
      <c r="M43" s="175"/>
    </row>
    <row r="44" spans="1:12" ht="12.75">
      <c r="A44" s="186"/>
      <c r="B44" s="192"/>
      <c r="C44" s="191"/>
      <c r="D44" s="193"/>
      <c r="E44" s="191"/>
      <c r="F44" s="699"/>
      <c r="G44" s="191"/>
      <c r="H44" s="193"/>
      <c r="I44" s="74"/>
      <c r="J44" s="194"/>
      <c r="K44" s="194"/>
      <c r="L44" s="191"/>
    </row>
    <row r="45" spans="1:12" ht="12.75">
      <c r="A45" s="186"/>
      <c r="B45" s="195"/>
      <c r="C45" s="196"/>
      <c r="D45" s="191"/>
      <c r="E45" s="191"/>
      <c r="F45" s="191"/>
      <c r="G45" s="191"/>
      <c r="H45" s="197"/>
      <c r="I45" s="197"/>
      <c r="J45" s="194"/>
      <c r="K45" s="194"/>
      <c r="L45" s="191"/>
    </row>
    <row r="46" spans="1:12" ht="12.75">
      <c r="A46" s="186"/>
      <c r="B46" s="198"/>
      <c r="C46" s="191"/>
      <c r="D46" s="74"/>
      <c r="E46" s="199"/>
      <c r="F46" s="199"/>
      <c r="G46" s="199"/>
      <c r="H46" s="171"/>
      <c r="I46" s="171"/>
      <c r="J46" s="200"/>
      <c r="K46" s="194"/>
      <c r="L46" s="191"/>
    </row>
    <row r="47" spans="1:12" ht="12.75">
      <c r="A47" s="201"/>
      <c r="B47" s="176"/>
      <c r="C47" s="171"/>
      <c r="D47" s="171"/>
      <c r="E47" s="171"/>
      <c r="F47" s="171"/>
      <c r="G47" s="171"/>
      <c r="H47" s="171"/>
      <c r="I47" s="171"/>
      <c r="J47" s="3"/>
      <c r="K47" s="3"/>
      <c r="L47" s="3"/>
    </row>
    <row r="48" spans="1:12" ht="12.75">
      <c r="A48" s="201"/>
      <c r="B48" s="176"/>
      <c r="C48" s="171"/>
      <c r="D48" s="171"/>
      <c r="E48" s="200"/>
      <c r="F48" s="200"/>
      <c r="G48" s="171"/>
      <c r="H48" s="171"/>
      <c r="I48" s="171"/>
      <c r="J48" s="3"/>
      <c r="K48" s="3"/>
      <c r="L48" s="3"/>
    </row>
    <row r="49" spans="1:12" ht="12.75">
      <c r="A49" s="183"/>
      <c r="B49" s="176"/>
      <c r="C49" s="171"/>
      <c r="D49" s="171"/>
      <c r="E49" s="171"/>
      <c r="F49" s="171"/>
      <c r="G49" s="171"/>
      <c r="H49" s="171"/>
      <c r="I49" s="171"/>
      <c r="J49" s="3"/>
      <c r="K49" s="3"/>
      <c r="L49" s="3"/>
    </row>
    <row r="50" spans="1:12" ht="12.75">
      <c r="A50" s="201"/>
      <c r="B50" s="176"/>
      <c r="C50" s="171"/>
      <c r="D50" s="171"/>
      <c r="E50" s="171"/>
      <c r="F50" s="171"/>
      <c r="G50" s="171"/>
      <c r="H50" s="171"/>
      <c r="I50" s="171"/>
      <c r="J50" s="3"/>
      <c r="K50" s="3"/>
      <c r="L50" s="3"/>
    </row>
    <row r="51" spans="1:12" ht="12.75">
      <c r="A51" s="183"/>
      <c r="B51" s="176"/>
      <c r="C51" s="171"/>
      <c r="D51" s="171"/>
      <c r="E51" s="171"/>
      <c r="F51" s="171"/>
      <c r="G51" s="171"/>
      <c r="H51" s="171"/>
      <c r="I51" s="171"/>
      <c r="J51" s="3"/>
      <c r="K51" s="3"/>
      <c r="L51" s="3"/>
    </row>
    <row r="52" spans="1:12" ht="12.75">
      <c r="A52" s="183"/>
      <c r="B52" s="176"/>
      <c r="C52" s="176"/>
      <c r="D52" s="176"/>
      <c r="E52" s="176"/>
      <c r="F52" s="176"/>
      <c r="G52" s="176"/>
      <c r="H52" s="176"/>
      <c r="I52" s="171"/>
      <c r="L52"/>
    </row>
    <row r="53" spans="1:12" ht="12.75">
      <c r="A53" s="183"/>
      <c r="B53" s="176"/>
      <c r="C53" s="176"/>
      <c r="D53" s="176"/>
      <c r="E53" s="176"/>
      <c r="F53" s="176"/>
      <c r="G53" s="176"/>
      <c r="H53" s="176"/>
      <c r="I53" s="171"/>
      <c r="L53"/>
    </row>
    <row r="54" spans="1:12" ht="12.75">
      <c r="A54" s="183"/>
      <c r="B54" s="176"/>
      <c r="C54" s="176"/>
      <c r="D54" s="176"/>
      <c r="E54" s="176"/>
      <c r="F54" s="176"/>
      <c r="G54" s="176"/>
      <c r="H54" s="176"/>
      <c r="I54" s="171"/>
      <c r="L54"/>
    </row>
    <row r="55" spans="1:12" ht="12.75">
      <c r="A55" s="183"/>
      <c r="B55" s="176"/>
      <c r="C55" s="176"/>
      <c r="D55" s="176"/>
      <c r="E55" s="176"/>
      <c r="F55" s="176"/>
      <c r="G55" s="176"/>
      <c r="H55" s="176"/>
      <c r="I55" s="171"/>
      <c r="L55"/>
    </row>
    <row r="56" spans="1:12" ht="12.75">
      <c r="A56" s="183"/>
      <c r="B56" s="176"/>
      <c r="C56" s="176"/>
      <c r="D56" s="176"/>
      <c r="E56" s="176"/>
      <c r="F56" s="176"/>
      <c r="G56" s="176"/>
      <c r="H56" s="176"/>
      <c r="I56" s="171"/>
      <c r="L56"/>
    </row>
    <row r="57" spans="1:12" ht="12.75">
      <c r="A57" s="183"/>
      <c r="B57" s="176"/>
      <c r="C57" s="176"/>
      <c r="D57" s="176"/>
      <c r="E57" s="176"/>
      <c r="F57" s="176"/>
      <c r="G57" s="176"/>
      <c r="H57" s="176"/>
      <c r="I57" s="171"/>
      <c r="L57"/>
    </row>
    <row r="58" spans="1:12" ht="12.75">
      <c r="A58" s="183"/>
      <c r="B58" s="176"/>
      <c r="C58" s="176"/>
      <c r="D58" s="176"/>
      <c r="E58" s="176"/>
      <c r="F58" s="176"/>
      <c r="G58" s="176"/>
      <c r="H58" s="176"/>
      <c r="I58" s="171"/>
      <c r="L58"/>
    </row>
    <row r="59" spans="1:12" ht="12.75">
      <c r="A59" s="183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1"/>
    </row>
    <row r="60" spans="1:12" ht="12.75">
      <c r="A60" s="183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1"/>
    </row>
    <row r="61" spans="1:12" ht="12.75">
      <c r="A61" s="183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1"/>
    </row>
    <row r="62" spans="1:12" ht="12.75">
      <c r="A62" s="183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1"/>
    </row>
    <row r="63" spans="1:12" ht="12.75">
      <c r="A63" s="183"/>
      <c r="B63" s="176"/>
      <c r="C63" s="176"/>
      <c r="D63" s="171"/>
      <c r="E63" s="176"/>
      <c r="F63" s="176"/>
      <c r="G63" s="176"/>
      <c r="H63" s="171"/>
      <c r="I63" s="171"/>
      <c r="J63" s="176"/>
      <c r="K63" s="176"/>
      <c r="L63" s="171"/>
    </row>
    <row r="64" spans="1:12" ht="12.75">
      <c r="A64" s="183"/>
      <c r="B64" s="176"/>
      <c r="C64" s="176"/>
      <c r="D64" s="171"/>
      <c r="E64" s="176"/>
      <c r="F64" s="176"/>
      <c r="G64" s="176"/>
      <c r="H64" s="171"/>
      <c r="I64" s="171"/>
      <c r="J64" s="176"/>
      <c r="K64" s="176"/>
      <c r="L64" s="171"/>
    </row>
    <row r="65" spans="1:12" ht="12.75">
      <c r="A65" s="183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1"/>
    </row>
    <row r="66" spans="1:12" ht="12.75">
      <c r="A66" s="183"/>
      <c r="B66" s="176"/>
      <c r="C66" s="176"/>
      <c r="D66" s="175"/>
      <c r="E66" s="176"/>
      <c r="F66" s="176"/>
      <c r="G66" s="176"/>
      <c r="H66" s="175"/>
      <c r="I66" s="175"/>
      <c r="J66" s="176"/>
      <c r="K66" s="176"/>
      <c r="L66" s="171"/>
    </row>
    <row r="67" spans="1:12" ht="12.75">
      <c r="A67" s="202"/>
      <c r="B67" s="203"/>
      <c r="C67" s="203"/>
      <c r="D67" s="200"/>
      <c r="E67" s="203"/>
      <c r="F67" s="203"/>
      <c r="G67" s="203"/>
      <c r="H67" s="200"/>
      <c r="I67" s="200"/>
      <c r="J67" s="203"/>
      <c r="K67" s="200"/>
      <c r="L67" s="200"/>
    </row>
    <row r="68" spans="1:12" ht="12.75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5"/>
      <c r="L68" s="206"/>
    </row>
  </sheetData>
  <sheetProtection selectLockedCells="1" selectUnlockedCells="1"/>
  <mergeCells count="4">
    <mergeCell ref="A3:L3"/>
    <mergeCell ref="A5:L5"/>
    <mergeCell ref="A6:L6"/>
    <mergeCell ref="E9:I9"/>
  </mergeCells>
  <printOptions/>
  <pageMargins left="0.5905511811023623" right="1.7716535433070868" top="1.3779527559055118" bottom="1.3779527559055118" header="0.5118110236220472" footer="0.5118110236220472"/>
  <pageSetup horizontalDpi="600" verticalDpi="600" orientation="landscape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U201"/>
  <sheetViews>
    <sheetView zoomScalePageLayoutView="0" workbookViewId="0" topLeftCell="B4">
      <pane ySplit="10" topLeftCell="A77" activePane="bottomLeft" state="frozen"/>
      <selection pane="topLeft" activeCell="B4" sqref="B4"/>
      <selection pane="bottomLeft" activeCell="O86" sqref="O86"/>
    </sheetView>
  </sheetViews>
  <sheetFormatPr defaultColWidth="11.421875" defaultRowHeight="12.75"/>
  <cols>
    <col min="1" max="1" width="0" style="69" hidden="1" customWidth="1"/>
    <col min="2" max="2" width="1.7109375" style="69" customWidth="1"/>
    <col min="3" max="3" width="18.140625" style="69" customWidth="1"/>
    <col min="4" max="4" width="14.7109375" style="3" customWidth="1"/>
    <col min="5" max="5" width="14.140625" style="69" customWidth="1"/>
    <col min="6" max="6" width="13.140625" style="69" customWidth="1"/>
    <col min="7" max="7" width="13.57421875" style="69" customWidth="1"/>
    <col min="8" max="8" width="14.00390625" style="69" customWidth="1"/>
    <col min="9" max="9" width="11.7109375" style="69" customWidth="1"/>
    <col min="10" max="10" width="3.00390625" style="69" customWidth="1"/>
    <col min="11" max="11" width="11.8515625" style="69" customWidth="1"/>
    <col min="12" max="12" width="10.8515625" style="69" customWidth="1"/>
    <col min="13" max="13" width="7.57421875" style="69" customWidth="1"/>
    <col min="14" max="14" width="12.57421875" style="69" customWidth="1"/>
    <col min="15" max="15" width="13.57421875" style="69" customWidth="1"/>
    <col min="16" max="16" width="2.00390625" style="169" customWidth="1"/>
    <col min="17" max="17" width="13.8515625" style="69" customWidth="1"/>
    <col min="18" max="18" width="13.00390625" style="69" customWidth="1"/>
    <col min="19" max="19" width="14.28125" style="69" customWidth="1"/>
    <col min="20" max="16384" width="11.421875" style="69" customWidth="1"/>
  </cols>
  <sheetData>
    <row r="1" spans="1:19" ht="12.75">
      <c r="A1"/>
      <c r="B1"/>
      <c r="E1"/>
      <c r="F1"/>
      <c r="G1"/>
      <c r="I1"/>
      <c r="J1"/>
      <c r="K1"/>
      <c r="L1"/>
      <c r="M1"/>
      <c r="O1"/>
      <c r="P1"/>
      <c r="Q1"/>
      <c r="R1"/>
      <c r="S1"/>
    </row>
    <row r="2" spans="3:15" ht="12.75"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3:15" ht="12.75"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9" s="209" customFormat="1" ht="15">
      <c r="A4"/>
      <c r="B4" s="208"/>
      <c r="C4" s="769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1"/>
      <c r="P4" s="169"/>
      <c r="Q4" s="69"/>
      <c r="R4" s="69"/>
      <c r="S4" s="69"/>
    </row>
    <row r="5" spans="1:16" s="209" customFormat="1" ht="15">
      <c r="A5"/>
      <c r="B5" s="210"/>
      <c r="C5" s="1025" t="s">
        <v>580</v>
      </c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7"/>
      <c r="P5" s="211"/>
    </row>
    <row r="6" spans="1:21" s="209" customFormat="1" ht="15">
      <c r="A6"/>
      <c r="B6" s="210"/>
      <c r="C6" s="1025" t="s">
        <v>25</v>
      </c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7"/>
      <c r="P6" s="211"/>
      <c r="T6" s="212"/>
      <c r="U6" s="212"/>
    </row>
    <row r="7" spans="1:21" s="211" customFormat="1" ht="15">
      <c r="A7"/>
      <c r="B7" s="210"/>
      <c r="C7" s="729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772" t="s">
        <v>110</v>
      </c>
      <c r="T7" s="213"/>
      <c r="U7" s="213"/>
    </row>
    <row r="8" spans="1:21" s="169" customFormat="1" ht="13.5" customHeight="1">
      <c r="A8"/>
      <c r="B8" s="210"/>
      <c r="C8" s="1025" t="s">
        <v>111</v>
      </c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7"/>
      <c r="P8" s="211"/>
      <c r="Q8" s="209"/>
      <c r="R8" s="209"/>
      <c r="S8" s="212"/>
      <c r="T8" s="184"/>
      <c r="U8" s="184"/>
    </row>
    <row r="9" spans="1:21" s="169" customFormat="1" ht="13.5" customHeight="1" thickBot="1">
      <c r="A9"/>
      <c r="B9" s="210"/>
      <c r="C9" s="773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774"/>
      <c r="P9" s="211"/>
      <c r="Q9" s="209"/>
      <c r="R9" s="209"/>
      <c r="S9" s="212"/>
      <c r="T9" s="184"/>
      <c r="U9" s="184"/>
    </row>
    <row r="10" spans="1:21" s="216" customFormat="1" ht="10.5" customHeight="1">
      <c r="A10"/>
      <c r="B10" s="210"/>
      <c r="C10" s="775"/>
      <c r="D10" s="1028" t="s">
        <v>112</v>
      </c>
      <c r="E10" s="1028"/>
      <c r="F10" s="1028"/>
      <c r="G10" s="1028"/>
      <c r="H10" s="1028"/>
      <c r="I10" s="1028" t="s">
        <v>113</v>
      </c>
      <c r="J10" s="1028"/>
      <c r="K10" s="1028"/>
      <c r="L10" s="1028"/>
      <c r="M10" s="1028"/>
      <c r="N10" s="1028"/>
      <c r="O10" s="776"/>
      <c r="P10" s="171"/>
      <c r="Q10" s="214"/>
      <c r="R10" s="214"/>
      <c r="S10" s="184"/>
      <c r="T10" s="215"/>
      <c r="U10" s="215"/>
    </row>
    <row r="11" spans="1:21" s="216" customFormat="1" ht="10.5" customHeight="1">
      <c r="A11"/>
      <c r="B11" s="210"/>
      <c r="C11" s="777"/>
      <c r="D11" s="219" t="s">
        <v>114</v>
      </c>
      <c r="E11" s="217" t="s">
        <v>115</v>
      </c>
      <c r="F11" s="217" t="s">
        <v>116</v>
      </c>
      <c r="G11" s="217" t="s">
        <v>117</v>
      </c>
      <c r="H11" s="218" t="s">
        <v>118</v>
      </c>
      <c r="I11" s="219" t="s">
        <v>119</v>
      </c>
      <c r="J11" s="217"/>
      <c r="K11" s="217" t="s">
        <v>115</v>
      </c>
      <c r="L11" s="217" t="s">
        <v>116</v>
      </c>
      <c r="M11" s="217" t="s">
        <v>83</v>
      </c>
      <c r="N11" s="218" t="s">
        <v>119</v>
      </c>
      <c r="O11" s="778" t="s">
        <v>92</v>
      </c>
      <c r="P11" s="194"/>
      <c r="Q11" s="191"/>
      <c r="R11" s="191"/>
      <c r="S11" s="215"/>
      <c r="T11" s="215"/>
      <c r="U11" s="215"/>
    </row>
    <row r="12" spans="1:21" s="191" customFormat="1" ht="10.5" customHeight="1">
      <c r="A12"/>
      <c r="B12" s="210"/>
      <c r="C12" s="777"/>
      <c r="D12" s="219" t="s">
        <v>120</v>
      </c>
      <c r="E12" s="217" t="s">
        <v>121</v>
      </c>
      <c r="F12" s="217" t="s">
        <v>122</v>
      </c>
      <c r="G12" s="217" t="s">
        <v>120</v>
      </c>
      <c r="H12" s="218" t="s">
        <v>120</v>
      </c>
      <c r="I12" s="219" t="s">
        <v>114</v>
      </c>
      <c r="J12" s="217" t="s">
        <v>123</v>
      </c>
      <c r="K12" s="217" t="s">
        <v>121</v>
      </c>
      <c r="L12" s="217" t="s">
        <v>120</v>
      </c>
      <c r="M12" s="217" t="s">
        <v>120</v>
      </c>
      <c r="N12" s="218" t="s">
        <v>118</v>
      </c>
      <c r="O12" s="778" t="s">
        <v>124</v>
      </c>
      <c r="P12" s="194"/>
      <c r="S12" s="215"/>
      <c r="T12" s="194"/>
      <c r="U12" s="194"/>
    </row>
    <row r="13" spans="1:21" s="191" customFormat="1" ht="10.5" customHeight="1" thickBot="1">
      <c r="A13" s="140"/>
      <c r="B13" s="220"/>
      <c r="C13" s="779" t="s">
        <v>26</v>
      </c>
      <c r="D13" s="223" t="s">
        <v>125</v>
      </c>
      <c r="E13" s="221" t="s">
        <v>125</v>
      </c>
      <c r="F13" s="221" t="s">
        <v>125</v>
      </c>
      <c r="G13" s="221" t="s">
        <v>125</v>
      </c>
      <c r="H13" s="222" t="s">
        <v>125</v>
      </c>
      <c r="I13" s="223" t="s">
        <v>126</v>
      </c>
      <c r="J13" s="221"/>
      <c r="K13" s="221" t="s">
        <v>125</v>
      </c>
      <c r="L13" s="221" t="s">
        <v>125</v>
      </c>
      <c r="M13" s="221" t="s">
        <v>125</v>
      </c>
      <c r="N13" s="222" t="s">
        <v>126</v>
      </c>
      <c r="O13" s="780"/>
      <c r="P13" s="194"/>
      <c r="S13" s="194"/>
      <c r="T13" s="194"/>
      <c r="U13" s="194"/>
    </row>
    <row r="14" spans="1:21" s="191" customFormat="1" ht="10.5" customHeight="1">
      <c r="A14" s="140"/>
      <c r="B14" s="220"/>
      <c r="C14" s="781"/>
      <c r="D14" s="219"/>
      <c r="E14" s="217"/>
      <c r="F14" s="217"/>
      <c r="G14" s="217"/>
      <c r="H14" s="218"/>
      <c r="I14" s="219"/>
      <c r="J14" s="217"/>
      <c r="K14" s="217"/>
      <c r="L14" s="217"/>
      <c r="M14" s="217"/>
      <c r="N14" s="218"/>
      <c r="O14" s="778"/>
      <c r="P14" s="194"/>
      <c r="S14" s="194"/>
      <c r="T14" s="194"/>
      <c r="U14" s="194"/>
    </row>
    <row r="15" spans="1:21" s="169" customFormat="1" ht="9.75" customHeight="1">
      <c r="A15" s="140"/>
      <c r="B15" s="140"/>
      <c r="C15" s="782" t="s">
        <v>127</v>
      </c>
      <c r="D15" s="219"/>
      <c r="E15" s="217"/>
      <c r="F15" s="217"/>
      <c r="G15" s="217"/>
      <c r="H15" s="218"/>
      <c r="I15" s="219"/>
      <c r="J15" s="217"/>
      <c r="K15" s="217"/>
      <c r="L15" s="217"/>
      <c r="M15" s="217"/>
      <c r="N15" s="218"/>
      <c r="O15" s="778"/>
      <c r="P15" s="194"/>
      <c r="Q15" s="191"/>
      <c r="R15" s="191"/>
      <c r="S15" s="194"/>
      <c r="T15" s="184"/>
      <c r="U15" s="184"/>
    </row>
    <row r="16" spans="1:21" s="169" customFormat="1" ht="9.75" customHeight="1">
      <c r="A16" s="72"/>
      <c r="B16" s="72"/>
      <c r="C16" s="783"/>
      <c r="D16" s="226"/>
      <c r="E16" s="224"/>
      <c r="F16" s="224"/>
      <c r="G16" s="224"/>
      <c r="H16" s="225"/>
      <c r="I16" s="226"/>
      <c r="J16" s="224"/>
      <c r="K16" s="224"/>
      <c r="L16" s="224"/>
      <c r="M16" s="224"/>
      <c r="N16" s="225"/>
      <c r="O16" s="784"/>
      <c r="P16" s="171"/>
      <c r="Q16" s="214"/>
      <c r="R16" s="214"/>
      <c r="S16" s="184"/>
      <c r="T16" s="184"/>
      <c r="U16" s="184"/>
    </row>
    <row r="17" spans="1:21" s="169" customFormat="1" ht="9.75" customHeight="1">
      <c r="A17" s="72"/>
      <c r="B17" s="72"/>
      <c r="C17" s="785" t="s">
        <v>128</v>
      </c>
      <c r="D17" s="228"/>
      <c r="E17" s="168"/>
      <c r="F17" s="168"/>
      <c r="G17" s="168"/>
      <c r="H17" s="227"/>
      <c r="I17" s="228"/>
      <c r="J17" s="168"/>
      <c r="K17" s="168"/>
      <c r="L17" s="168"/>
      <c r="M17" s="168"/>
      <c r="N17" s="227"/>
      <c r="O17" s="786"/>
      <c r="P17" s="171"/>
      <c r="Q17" s="214"/>
      <c r="R17" s="214"/>
      <c r="S17" s="184"/>
      <c r="T17" s="184"/>
      <c r="U17" s="184"/>
    </row>
    <row r="18" spans="1:21" s="169" customFormat="1" ht="9.75" customHeight="1">
      <c r="A18" s="72"/>
      <c r="B18" s="72"/>
      <c r="C18" s="785" t="s">
        <v>129</v>
      </c>
      <c r="D18" s="228"/>
      <c r="E18" s="168"/>
      <c r="F18" s="168"/>
      <c r="G18" s="168"/>
      <c r="H18" s="229"/>
      <c r="I18" s="228"/>
      <c r="J18" s="168"/>
      <c r="K18" s="168"/>
      <c r="L18" s="168"/>
      <c r="M18" s="168"/>
      <c r="N18" s="229"/>
      <c r="O18" s="786"/>
      <c r="P18" s="171"/>
      <c r="Q18" s="214"/>
      <c r="R18" s="214"/>
      <c r="S18" s="184"/>
      <c r="T18" s="184"/>
      <c r="U18" s="184"/>
    </row>
    <row r="19" spans="1:21" s="169" customFormat="1" ht="9.75" customHeight="1">
      <c r="A19" s="72"/>
      <c r="B19" s="72"/>
      <c r="C19" s="787"/>
      <c r="D19" s="228"/>
      <c r="E19" s="168"/>
      <c r="F19" s="168"/>
      <c r="G19" s="168"/>
      <c r="H19" s="229"/>
      <c r="I19" s="228"/>
      <c r="J19" s="168"/>
      <c r="K19" s="168"/>
      <c r="L19" s="168"/>
      <c r="M19" s="168"/>
      <c r="N19" s="229"/>
      <c r="O19" s="786"/>
      <c r="P19" s="171"/>
      <c r="Q19" s="214"/>
      <c r="R19" s="214"/>
      <c r="S19" s="184"/>
      <c r="T19" s="184"/>
      <c r="U19" s="184"/>
    </row>
    <row r="20" spans="1:21" s="169" customFormat="1" ht="9.75" customHeight="1">
      <c r="A20" s="72"/>
      <c r="B20" s="72"/>
      <c r="C20" s="788" t="s">
        <v>130</v>
      </c>
      <c r="D20" s="228"/>
      <c r="E20" s="168"/>
      <c r="F20" s="168"/>
      <c r="G20" s="168"/>
      <c r="H20" s="229"/>
      <c r="I20" s="228"/>
      <c r="J20" s="168"/>
      <c r="K20" s="168"/>
      <c r="L20" s="168"/>
      <c r="M20" s="168"/>
      <c r="N20" s="229"/>
      <c r="O20" s="786"/>
      <c r="P20" s="231"/>
      <c r="Q20" s="231"/>
      <c r="R20" s="214"/>
      <c r="S20" s="184"/>
      <c r="T20" s="184"/>
      <c r="U20" s="184"/>
    </row>
    <row r="21" spans="1:21" s="169" customFormat="1" ht="9.75" customHeight="1">
      <c r="A21" s="72"/>
      <c r="B21" s="72"/>
      <c r="C21" s="788" t="s">
        <v>131</v>
      </c>
      <c r="D21" s="228">
        <v>8992067989</v>
      </c>
      <c r="E21" s="603">
        <f>1900000+281818+56364+1909091+863636+1772727+1590909+1272727+772727+1954545+1677007+1427768+1168357+974380+2272727+2409091+1909091+2227273+318182+954545+8754985+16525449+606580+1427435+1418324+5181818+6607250+241461+1560126+691546+772727+772727+863636+1545455+1772727+5727273+1272727+1000000+1636364+1318182+909091+3039035+454545+3583636+13231364+2389091+1214756+1447969+2189217+2189217+1181818+1090909+4363636+2810000+681818+2400000+2000000+1909091+5772727+2090909+6250000+2787878+2787879+2787879+916426+916426+1832852+2090909+1818182+2400000+3636364+2000000+6040000+1651516+2795743+9090909+2545455+1054545+1818182+181818+627273+974380+974380+590909+2363636+527273+527273+527273+1750000+2590909+863636+8900431+612668+531116+1791796+523975+1220003+2109091+590909+1155682+80000+1214756+3276216+1092204+1418182+1909091+527273+872727+1454545+6000000+2181818+6485000+3545455+1000000+2272727+2654545+790909+409091+1181818+1436364+1075746</f>
        <v>268392629</v>
      </c>
      <c r="F21" s="604">
        <f>116565026+4047994+5772727+56364+3039035+80000</f>
        <v>129561146</v>
      </c>
      <c r="G21" s="604">
        <v>131669665</v>
      </c>
      <c r="H21" s="673">
        <f>D21+E21-F21+G21</f>
        <v>9262569137</v>
      </c>
      <c r="I21" s="604">
        <v>4442299215</v>
      </c>
      <c r="J21" s="604"/>
      <c r="K21" s="604">
        <v>902621510</v>
      </c>
      <c r="L21" s="168">
        <f>116565026+192762</f>
        <v>116757788</v>
      </c>
      <c r="M21" s="604">
        <v>0</v>
      </c>
      <c r="N21" s="673">
        <f>I21+K21-L21+M21</f>
        <v>5228162937</v>
      </c>
      <c r="O21" s="786">
        <f>H21-N21</f>
        <v>4034406200</v>
      </c>
      <c r="P21" s="231"/>
      <c r="Q21" s="171"/>
      <c r="R21" s="171"/>
      <c r="S21" s="184"/>
      <c r="T21" s="184"/>
      <c r="U21" s="184"/>
    </row>
    <row r="22" spans="1:21" s="169" customFormat="1" ht="9.75" customHeight="1">
      <c r="A22" s="72"/>
      <c r="B22" s="72"/>
      <c r="C22" s="788"/>
      <c r="D22" s="228"/>
      <c r="E22" s="168"/>
      <c r="F22" s="168"/>
      <c r="G22" s="168"/>
      <c r="H22" s="229"/>
      <c r="I22" s="168"/>
      <c r="J22" s="168"/>
      <c r="K22" s="168"/>
      <c r="L22" s="168"/>
      <c r="M22" s="168"/>
      <c r="N22" s="229"/>
      <c r="O22" s="786"/>
      <c r="P22" s="231"/>
      <c r="Q22" s="231"/>
      <c r="R22" s="214"/>
      <c r="S22" s="184"/>
      <c r="T22" s="184"/>
      <c r="U22" s="184"/>
    </row>
    <row r="23" spans="1:21" s="169" customFormat="1" ht="9.75" customHeight="1">
      <c r="A23" s="72"/>
      <c r="B23" s="72"/>
      <c r="C23" s="788" t="s">
        <v>132</v>
      </c>
      <c r="D23" s="228"/>
      <c r="E23" s="168"/>
      <c r="F23" s="168"/>
      <c r="G23" s="168"/>
      <c r="H23" s="229"/>
      <c r="I23" s="168"/>
      <c r="J23" s="168"/>
      <c r="K23" s="168"/>
      <c r="L23" s="168"/>
      <c r="M23" s="168"/>
      <c r="N23" s="229"/>
      <c r="O23" s="786"/>
      <c r="P23" s="231"/>
      <c r="Q23" s="231"/>
      <c r="R23" s="214"/>
      <c r="S23" s="184"/>
      <c r="T23" s="184"/>
      <c r="U23" s="184"/>
    </row>
    <row r="24" spans="1:21" s="169" customFormat="1" ht="9.75" customHeight="1">
      <c r="A24" s="72"/>
      <c r="B24" s="72"/>
      <c r="C24" s="788" t="s">
        <v>133</v>
      </c>
      <c r="D24" s="228">
        <v>3377340355</v>
      </c>
      <c r="E24" s="604">
        <f>940075+5429548+6476600+1042947+890984+1823760+5541910+5439788+5439788+3125408+7915239+7224750+2875600+3024609+3029418+5830516+3075534+9525000+10761000+5380500+3417947+59675374+76362484+29242776+3888352+3024924+3024924+3024924+3024924+23470092+635460+11535932+2529885+369521+5389069+211037+3142068+1983256+606000+968000+4114000+4935103+2585135+36051436+2708891+3494307+2953085+3062707+3267799+5691066+5548055+3885481+2995091+21527296+3822194+2865220+2913198+380540+2865220+2865220+2228949+3204802+3293738+2981769+3700102+4423700+3700102+5660760+6855702+5772727+3487330+3487330+3687318+3698852+2012176+31366417+6311851+6668915+2315145+3358646+14244120+3039035+3540837+5686274+2849000+3351719+138889+1897758+5397236</f>
        <v>597212166</v>
      </c>
      <c r="F24" s="168">
        <f>3946867+6476600</f>
        <v>10423467</v>
      </c>
      <c r="G24" s="168">
        <v>57939723</v>
      </c>
      <c r="H24" s="673">
        <f>D24+E24-F24+G24</f>
        <v>4022068777</v>
      </c>
      <c r="I24" s="168">
        <v>1567855581</v>
      </c>
      <c r="J24" s="168"/>
      <c r="K24" s="168">
        <v>804209507</v>
      </c>
      <c r="L24" s="168">
        <v>3946868</v>
      </c>
      <c r="M24" s="168">
        <v>0</v>
      </c>
      <c r="N24" s="673">
        <f>I24+K24-L24+M24</f>
        <v>2368118220</v>
      </c>
      <c r="O24" s="786">
        <f>H24-N24</f>
        <v>1653950557</v>
      </c>
      <c r="P24" s="231"/>
      <c r="Q24" s="231"/>
      <c r="R24" s="171"/>
      <c r="S24" s="184"/>
      <c r="T24" s="184"/>
      <c r="U24" s="184"/>
    </row>
    <row r="25" spans="1:21" s="169" customFormat="1" ht="9.75" customHeight="1">
      <c r="A25" s="72"/>
      <c r="B25" s="72"/>
      <c r="C25" s="789"/>
      <c r="D25" s="228"/>
      <c r="E25" s="168"/>
      <c r="F25" s="168"/>
      <c r="G25" s="168"/>
      <c r="H25" s="229"/>
      <c r="I25" s="168"/>
      <c r="J25" s="168"/>
      <c r="K25" s="168"/>
      <c r="L25" s="168"/>
      <c r="M25" s="168"/>
      <c r="N25" s="229"/>
      <c r="O25" s="786"/>
      <c r="P25" s="231"/>
      <c r="Q25" s="231"/>
      <c r="R25" s="214"/>
      <c r="S25" s="184"/>
      <c r="T25" s="184"/>
      <c r="U25" s="184"/>
    </row>
    <row r="26" spans="1:21" s="169" customFormat="1" ht="9.75" customHeight="1">
      <c r="A26" s="72"/>
      <c r="B26" s="72"/>
      <c r="C26" s="788" t="s">
        <v>134</v>
      </c>
      <c r="D26" s="228"/>
      <c r="E26" s="168"/>
      <c r="F26" s="168"/>
      <c r="G26" s="168"/>
      <c r="H26" s="229"/>
      <c r="I26" s="168"/>
      <c r="J26" s="168"/>
      <c r="K26" s="168"/>
      <c r="L26" s="168"/>
      <c r="M26" s="168"/>
      <c r="N26" s="229"/>
      <c r="O26" s="786"/>
      <c r="P26" s="231"/>
      <c r="Q26" s="231"/>
      <c r="R26" s="171"/>
      <c r="S26" s="184"/>
      <c r="T26" s="184"/>
      <c r="U26" s="184"/>
    </row>
    <row r="27" spans="1:21" s="169" customFormat="1" ht="9.75" customHeight="1">
      <c r="A27" s="72"/>
      <c r="B27" s="72"/>
      <c r="C27" s="788" t="s">
        <v>135</v>
      </c>
      <c r="D27" s="228">
        <v>2619509505</v>
      </c>
      <c r="E27" s="168">
        <f>638182+638182+8018145+913636+1618182+1507273+199225000+827273+810909+908239+515538+590909+1155682+873273+196757284+11740903+1163636+1163636+4727273+1155682+2068979+2068979+675636+481818+47263393+954545+2534455+3757636+1363636+500000+1145455+4272727+911244+201965000</f>
        <v>704912340</v>
      </c>
      <c r="F27" s="168">
        <v>2371184</v>
      </c>
      <c r="G27" s="168">
        <v>50194586</v>
      </c>
      <c r="H27" s="673">
        <f>D27+E27-F27+G27</f>
        <v>3372245247</v>
      </c>
      <c r="I27" s="168">
        <v>1126120548</v>
      </c>
      <c r="J27" s="168"/>
      <c r="K27" s="168">
        <v>523464667</v>
      </c>
      <c r="L27" s="168">
        <v>2371184</v>
      </c>
      <c r="M27" s="168">
        <v>0</v>
      </c>
      <c r="N27" s="673">
        <f>I27+K27-L27+M27</f>
        <v>1647214031</v>
      </c>
      <c r="O27" s="786">
        <f>H27-N27</f>
        <v>1725031216</v>
      </c>
      <c r="P27" s="231"/>
      <c r="Q27" s="231"/>
      <c r="R27" s="171"/>
      <c r="S27" s="184"/>
      <c r="T27" s="184"/>
      <c r="U27" s="184"/>
    </row>
    <row r="28" spans="1:21" s="169" customFormat="1" ht="9.75" customHeight="1">
      <c r="A28" s="72"/>
      <c r="B28" s="72"/>
      <c r="C28" s="788"/>
      <c r="D28" s="228"/>
      <c r="E28" s="168"/>
      <c r="F28" s="168"/>
      <c r="G28" s="168"/>
      <c r="H28" s="229"/>
      <c r="I28" s="168"/>
      <c r="J28" s="168"/>
      <c r="K28" s="168"/>
      <c r="L28" s="168"/>
      <c r="M28" s="168"/>
      <c r="N28" s="229"/>
      <c r="O28" s="786"/>
      <c r="P28" s="231"/>
      <c r="Q28" s="231"/>
      <c r="R28" s="214"/>
      <c r="S28" s="184"/>
      <c r="T28" s="184"/>
      <c r="U28" s="184"/>
    </row>
    <row r="29" spans="1:21" s="169" customFormat="1" ht="9.75" customHeight="1">
      <c r="A29" s="72"/>
      <c r="B29" s="72"/>
      <c r="C29" s="788" t="s">
        <v>136</v>
      </c>
      <c r="D29" s="228"/>
      <c r="E29" s="168"/>
      <c r="F29" s="168"/>
      <c r="G29" s="168"/>
      <c r="H29" s="229"/>
      <c r="I29" s="168"/>
      <c r="J29" s="168"/>
      <c r="K29" s="168"/>
      <c r="L29" s="168"/>
      <c r="M29" s="168"/>
      <c r="N29" s="229"/>
      <c r="O29" s="786"/>
      <c r="P29" s="231"/>
      <c r="Q29" s="231"/>
      <c r="R29" s="214"/>
      <c r="S29" s="184"/>
      <c r="T29" s="184"/>
      <c r="U29" s="184"/>
    </row>
    <row r="30" spans="1:21" s="169" customFormat="1" ht="9.75" customHeight="1">
      <c r="A30" s="72"/>
      <c r="B30" s="72"/>
      <c r="C30" s="788" t="s">
        <v>137</v>
      </c>
      <c r="D30" s="228">
        <v>72523107396</v>
      </c>
      <c r="E30" s="168">
        <f>149381818+27656436733+65454546+90236800+81728000+85379091+32409091+113979300</f>
        <v>28275005379</v>
      </c>
      <c r="F30" s="168">
        <f>149381818+85379091</f>
        <v>234760909</v>
      </c>
      <c r="G30" s="168">
        <v>1851819022</v>
      </c>
      <c r="H30" s="673">
        <f>D30+E30-F30+G30</f>
        <v>102415170888</v>
      </c>
      <c r="I30" s="168">
        <v>17968928153</v>
      </c>
      <c r="J30" s="168"/>
      <c r="K30" s="168">
        <v>2170438657</v>
      </c>
      <c r="L30" s="168">
        <v>0</v>
      </c>
      <c r="M30" s="168">
        <v>0</v>
      </c>
      <c r="N30" s="673">
        <f>I30+K30-L30+M30</f>
        <v>20139366810</v>
      </c>
      <c r="O30" s="786">
        <f>H30-N30</f>
        <v>82275804078</v>
      </c>
      <c r="P30" s="231"/>
      <c r="Q30" s="231"/>
      <c r="R30" s="214"/>
      <c r="S30" s="184"/>
      <c r="T30" s="184"/>
      <c r="U30" s="184"/>
    </row>
    <row r="31" spans="1:21" s="169" customFormat="1" ht="9.75" customHeight="1">
      <c r="A31" s="72"/>
      <c r="B31" s="72"/>
      <c r="C31" s="788"/>
      <c r="D31" s="228"/>
      <c r="E31" s="168"/>
      <c r="F31" s="168"/>
      <c r="G31" s="168"/>
      <c r="H31" s="229"/>
      <c r="I31" s="168"/>
      <c r="J31" s="168"/>
      <c r="K31" s="168"/>
      <c r="L31" s="168"/>
      <c r="M31" s="168"/>
      <c r="N31" s="229"/>
      <c r="O31" s="786"/>
      <c r="P31" s="231"/>
      <c r="Q31" s="231"/>
      <c r="R31" s="214"/>
      <c r="S31" s="184"/>
      <c r="T31" s="184"/>
      <c r="U31" s="184"/>
    </row>
    <row r="32" spans="1:21" s="169" customFormat="1" ht="9.75" customHeight="1">
      <c r="A32" s="72"/>
      <c r="B32" s="72"/>
      <c r="C32" s="788" t="s">
        <v>138</v>
      </c>
      <c r="D32" s="228"/>
      <c r="E32" s="168"/>
      <c r="F32" s="168"/>
      <c r="G32" s="168"/>
      <c r="H32" s="229"/>
      <c r="I32" s="168"/>
      <c r="J32" s="168"/>
      <c r="K32" s="168"/>
      <c r="L32" s="168"/>
      <c r="M32" s="168"/>
      <c r="N32" s="229"/>
      <c r="O32" s="786"/>
      <c r="P32" s="231"/>
      <c r="Q32" s="231"/>
      <c r="R32" s="214"/>
      <c r="S32" s="184"/>
      <c r="T32" s="184"/>
      <c r="U32" s="184"/>
    </row>
    <row r="33" spans="1:21" s="169" customFormat="1" ht="9.75" customHeight="1">
      <c r="A33" s="72"/>
      <c r="B33" s="72"/>
      <c r="C33" s="788" t="s">
        <v>139</v>
      </c>
      <c r="D33" s="228">
        <v>5414834618</v>
      </c>
      <c r="E33" s="168">
        <f>37981818+47000000+13526500+400397722+1818279+4499893+112580062+95895483+1567141+995000+731818+1629872+7245000+94500000+1443513+1612136+11363636</f>
        <v>834787873</v>
      </c>
      <c r="F33" s="168">
        <f>289358029+71335663</f>
        <v>360693692</v>
      </c>
      <c r="G33" s="168">
        <v>67894058</v>
      </c>
      <c r="H33" s="674">
        <f>D33+E33-F33+G33</f>
        <v>5956822857</v>
      </c>
      <c r="I33" s="168">
        <v>3454995427</v>
      </c>
      <c r="J33" s="168"/>
      <c r="K33" s="168">
        <v>738024177</v>
      </c>
      <c r="L33" s="168">
        <f>110697315+18978822+43199712+28267174</f>
        <v>201143023</v>
      </c>
      <c r="M33" s="168">
        <v>0</v>
      </c>
      <c r="N33" s="229">
        <f>I33+K33-L33+M33</f>
        <v>3991876581</v>
      </c>
      <c r="O33" s="786">
        <f>H33-N33</f>
        <v>1964946276</v>
      </c>
      <c r="P33" s="231"/>
      <c r="Q33" s="231"/>
      <c r="R33" s="171"/>
      <c r="S33" s="184"/>
      <c r="T33" s="184"/>
      <c r="U33" s="184"/>
    </row>
    <row r="34" spans="1:21" s="169" customFormat="1" ht="9.75" customHeight="1">
      <c r="A34" s="72"/>
      <c r="B34" s="72"/>
      <c r="C34" s="788"/>
      <c r="D34" s="228"/>
      <c r="E34" s="168"/>
      <c r="F34" s="168"/>
      <c r="G34" s="168"/>
      <c r="H34" s="229"/>
      <c r="I34" s="168"/>
      <c r="J34" s="168"/>
      <c r="K34" s="168"/>
      <c r="L34" s="168"/>
      <c r="M34" s="168"/>
      <c r="N34" s="229"/>
      <c r="O34" s="786"/>
      <c r="P34" s="231"/>
      <c r="Q34" s="231"/>
      <c r="R34" s="214"/>
      <c r="S34" s="184"/>
      <c r="T34" s="184"/>
      <c r="U34" s="184"/>
    </row>
    <row r="35" spans="1:21" s="169" customFormat="1" ht="9.75" customHeight="1">
      <c r="A35" s="72"/>
      <c r="B35" s="72"/>
      <c r="C35" s="788" t="s">
        <v>140</v>
      </c>
      <c r="D35" s="228">
        <v>14920459276</v>
      </c>
      <c r="E35" s="168">
        <f>3145455+5000000+163410500+1656364+52047846+3845165+3867120+2272727+1262273+5513636+6681818+216598500+34909091+1818182+605000+1636364+7109091+9045455+18759000+38497721+64735385+4282114+7918636+9512358+2923636+1366225+51466711+32401395+9090909+5495250+1590909+4090909+33156364</f>
        <v>805712109</v>
      </c>
      <c r="F35" s="168">
        <f>133174190+179456877</f>
        <v>312631067</v>
      </c>
      <c r="G35" s="168">
        <v>172092513</v>
      </c>
      <c r="H35" s="229">
        <f>D35+E35-F35+G35</f>
        <v>15585632831</v>
      </c>
      <c r="I35" s="168">
        <v>9185882471</v>
      </c>
      <c r="J35" s="168"/>
      <c r="K35" s="168">
        <v>2197752229</v>
      </c>
      <c r="L35" s="168">
        <f>133174190+179456877</f>
        <v>312631067</v>
      </c>
      <c r="M35" s="168">
        <v>0</v>
      </c>
      <c r="N35" s="229">
        <f>I35+K35-L35+M35</f>
        <v>11071003633</v>
      </c>
      <c r="O35" s="786">
        <f>H35-N35</f>
        <v>4514629198</v>
      </c>
      <c r="P35" s="231"/>
      <c r="Q35" s="231"/>
      <c r="R35" s="171"/>
      <c r="S35" s="184"/>
      <c r="T35" s="184"/>
      <c r="U35" s="184"/>
    </row>
    <row r="36" spans="1:21" s="169" customFormat="1" ht="9.75" customHeight="1">
      <c r="A36" s="72"/>
      <c r="B36" s="72"/>
      <c r="C36" s="788"/>
      <c r="D36" s="228"/>
      <c r="E36" s="168"/>
      <c r="F36" s="168"/>
      <c r="G36" s="168"/>
      <c r="H36" s="229"/>
      <c r="I36" s="232"/>
      <c r="J36" s="168"/>
      <c r="K36" s="168"/>
      <c r="L36" s="168"/>
      <c r="M36" s="168"/>
      <c r="N36" s="229"/>
      <c r="O36" s="786"/>
      <c r="P36" s="231"/>
      <c r="Q36" s="231"/>
      <c r="R36" s="171"/>
      <c r="S36" s="184"/>
      <c r="T36" s="184"/>
      <c r="U36" s="184"/>
    </row>
    <row r="37" spans="1:21" s="169" customFormat="1" ht="9.75" customHeight="1">
      <c r="A37" s="72"/>
      <c r="B37" s="72"/>
      <c r="C37" s="788" t="s">
        <v>137</v>
      </c>
      <c r="D37" s="228">
        <v>26371660094</v>
      </c>
      <c r="E37" s="168">
        <f>15000000+68207476+435333430+15000000+23100000+15000000+15000000+15000000+15000000+10000000+22727273+28636364+15000000+32727273+55290636+245454545+3154900+9379500+3154900+32409091+9379500+125002056+1500000+643135733+10000000+386217631+22727273+30909091+60342936+20000000+101184916+20690814+20598495</f>
        <v>2526263833</v>
      </c>
      <c r="F37" s="168">
        <f>18759000+65454546+27656436733+90236800+32409091+113979300</f>
        <v>27977275470</v>
      </c>
      <c r="G37" s="168">
        <v>0</v>
      </c>
      <c r="H37" s="229">
        <f>D37+E37-F37+G37</f>
        <v>920648457</v>
      </c>
      <c r="I37" s="232">
        <v>0</v>
      </c>
      <c r="J37" s="168"/>
      <c r="K37" s="168">
        <v>0</v>
      </c>
      <c r="L37" s="168">
        <v>0</v>
      </c>
      <c r="M37" s="168">
        <v>0</v>
      </c>
      <c r="N37" s="229">
        <f>I37+K37-L37+M37</f>
        <v>0</v>
      </c>
      <c r="O37" s="786">
        <f>H37-N37</f>
        <v>920648457</v>
      </c>
      <c r="P37" s="231"/>
      <c r="Q37" s="231"/>
      <c r="R37" s="171"/>
      <c r="S37" s="184"/>
      <c r="T37" s="184"/>
      <c r="U37" s="184"/>
    </row>
    <row r="38" spans="1:21" s="169" customFormat="1" ht="9.75" customHeight="1">
      <c r="A38" s="72"/>
      <c r="B38" s="72"/>
      <c r="C38" s="788"/>
      <c r="D38" s="228"/>
      <c r="E38" s="168"/>
      <c r="F38" s="168"/>
      <c r="G38" s="168"/>
      <c r="H38" s="229"/>
      <c r="I38" s="232"/>
      <c r="J38" s="168"/>
      <c r="K38" s="168"/>
      <c r="L38" s="168"/>
      <c r="M38" s="168"/>
      <c r="N38" s="229"/>
      <c r="O38" s="786"/>
      <c r="P38" s="231"/>
      <c r="Q38" s="231"/>
      <c r="R38" s="171"/>
      <c r="S38" s="184"/>
      <c r="T38" s="184"/>
      <c r="U38" s="184"/>
    </row>
    <row r="39" spans="1:21" s="169" customFormat="1" ht="9.75" customHeight="1">
      <c r="A39" s="72"/>
      <c r="B39" s="72"/>
      <c r="C39" s="788" t="s">
        <v>141</v>
      </c>
      <c r="D39" s="228">
        <v>1810259540</v>
      </c>
      <c r="E39" s="168">
        <v>0</v>
      </c>
      <c r="F39" s="168">
        <v>0</v>
      </c>
      <c r="G39" s="168">
        <v>16112016</v>
      </c>
      <c r="H39" s="229">
        <f>D39+E39-F39+G39</f>
        <v>1826371556</v>
      </c>
      <c r="I39" s="232">
        <v>1236898609</v>
      </c>
      <c r="J39" s="168"/>
      <c r="K39" s="168">
        <v>341139646</v>
      </c>
      <c r="L39" s="168">
        <v>0</v>
      </c>
      <c r="M39" s="168">
        <v>0</v>
      </c>
      <c r="N39" s="229">
        <f>+I39+K39-L39+M39</f>
        <v>1578038255</v>
      </c>
      <c r="O39" s="786">
        <f>H39-N39</f>
        <v>248333301</v>
      </c>
      <c r="P39" s="231"/>
      <c r="Q39" s="231"/>
      <c r="R39" s="171"/>
      <c r="S39" s="184"/>
      <c r="T39" s="184"/>
      <c r="U39" s="184"/>
    </row>
    <row r="40" spans="1:21" s="169" customFormat="1" ht="9.75" customHeight="1">
      <c r="A40" s="72"/>
      <c r="B40" s="72"/>
      <c r="C40" s="787"/>
      <c r="D40" s="228"/>
      <c r="E40" s="168"/>
      <c r="F40" s="168"/>
      <c r="G40" s="168"/>
      <c r="H40" s="229"/>
      <c r="I40" s="228"/>
      <c r="J40" s="168"/>
      <c r="K40" s="168"/>
      <c r="L40" s="168"/>
      <c r="M40" s="168"/>
      <c r="N40" s="229"/>
      <c r="O40" s="786"/>
      <c r="P40" s="231"/>
      <c r="Q40" s="231"/>
      <c r="R40" s="214"/>
      <c r="S40" s="184"/>
      <c r="T40" s="184"/>
      <c r="U40" s="184"/>
    </row>
    <row r="41" spans="1:21" s="169" customFormat="1" ht="9.75" customHeight="1">
      <c r="A41" s="72"/>
      <c r="B41" s="72"/>
      <c r="C41" s="787" t="s">
        <v>142</v>
      </c>
      <c r="D41" s="228">
        <v>3671882017</v>
      </c>
      <c r="E41" s="168">
        <v>0</v>
      </c>
      <c r="F41" s="232"/>
      <c r="G41" s="232">
        <v>74834067</v>
      </c>
      <c r="H41" s="229">
        <f>D41+E41-F41+G41</f>
        <v>3746716084</v>
      </c>
      <c r="I41" s="228">
        <v>1008842715</v>
      </c>
      <c r="J41" s="171"/>
      <c r="K41" s="168">
        <v>763945458</v>
      </c>
      <c r="L41" s="232">
        <v>0</v>
      </c>
      <c r="M41" s="232">
        <v>0</v>
      </c>
      <c r="N41" s="229">
        <f>I41+K41-L41+M41</f>
        <v>1772788173</v>
      </c>
      <c r="O41" s="786">
        <f>H41-N41</f>
        <v>1973927911</v>
      </c>
      <c r="P41" s="231"/>
      <c r="Q41" s="231"/>
      <c r="R41" s="214"/>
      <c r="S41" s="171"/>
      <c r="T41" s="184"/>
      <c r="U41" s="184"/>
    </row>
    <row r="42" spans="1:21" s="169" customFormat="1" ht="9.75" customHeight="1">
      <c r="A42" s="72"/>
      <c r="B42" s="72"/>
      <c r="C42" s="787"/>
      <c r="D42" s="228"/>
      <c r="E42" s="168"/>
      <c r="F42" s="168"/>
      <c r="G42" s="168"/>
      <c r="H42" s="229"/>
      <c r="I42" s="228"/>
      <c r="J42" s="168"/>
      <c r="K42" s="168"/>
      <c r="L42" s="168"/>
      <c r="M42" s="168"/>
      <c r="N42" s="229"/>
      <c r="O42" s="786"/>
      <c r="P42" s="231"/>
      <c r="Q42" s="231"/>
      <c r="R42" s="214"/>
      <c r="S42" s="184"/>
      <c r="T42" s="184"/>
      <c r="U42" s="184"/>
    </row>
    <row r="43" spans="1:21" s="169" customFormat="1" ht="12" customHeight="1">
      <c r="A43" s="72"/>
      <c r="B43" s="72"/>
      <c r="C43" s="790" t="s">
        <v>143</v>
      </c>
      <c r="D43" s="251">
        <f aca="true" t="shared" si="0" ref="D43:I43">SUM(D20:D41)</f>
        <v>139701120790</v>
      </c>
      <c r="E43" s="233">
        <f t="shared" si="0"/>
        <v>34012286329</v>
      </c>
      <c r="F43" s="233">
        <f t="shared" si="0"/>
        <v>29027716935</v>
      </c>
      <c r="G43" s="233">
        <f t="shared" si="0"/>
        <v>2422555650</v>
      </c>
      <c r="H43" s="233">
        <f t="shared" si="0"/>
        <v>147108245834</v>
      </c>
      <c r="I43" s="233">
        <f t="shared" si="0"/>
        <v>39991822719</v>
      </c>
      <c r="J43" s="233">
        <v>0</v>
      </c>
      <c r="K43" s="233">
        <f>SUM(K20:K41)</f>
        <v>8441595851</v>
      </c>
      <c r="L43" s="233">
        <f>SUM(L20:L41)</f>
        <v>636849930</v>
      </c>
      <c r="M43" s="233">
        <f>SUM(M20:M41)</f>
        <v>0</v>
      </c>
      <c r="N43" s="233">
        <f>SUM(N20:N41)</f>
        <v>47796568640</v>
      </c>
      <c r="O43" s="791">
        <f>SUM(O20:O41)</f>
        <v>99311677194</v>
      </c>
      <c r="P43" s="231"/>
      <c r="Q43" s="171"/>
      <c r="R43" s="234"/>
      <c r="S43" s="695"/>
      <c r="T43" s="184"/>
      <c r="U43" s="184"/>
    </row>
    <row r="44" spans="1:21" s="169" customFormat="1" ht="9.75" customHeight="1">
      <c r="A44" s="72"/>
      <c r="B44" s="72"/>
      <c r="C44" s="790"/>
      <c r="D44" s="236"/>
      <c r="E44" s="235"/>
      <c r="F44" s="235"/>
      <c r="G44" s="235"/>
      <c r="H44" s="227"/>
      <c r="I44" s="236"/>
      <c r="J44" s="170"/>
      <c r="K44" s="170"/>
      <c r="L44" s="170"/>
      <c r="M44" s="170"/>
      <c r="N44" s="227"/>
      <c r="O44" s="792"/>
      <c r="P44" s="231"/>
      <c r="Q44" s="231"/>
      <c r="R44" s="214"/>
      <c r="S44" s="184"/>
      <c r="T44" s="184"/>
      <c r="U44" s="184"/>
    </row>
    <row r="45" spans="1:21" s="169" customFormat="1" ht="9.75" customHeight="1">
      <c r="A45" s="72"/>
      <c r="B45" s="72"/>
      <c r="C45" s="793" t="s">
        <v>144</v>
      </c>
      <c r="D45" s="236"/>
      <c r="E45" s="235"/>
      <c r="F45" s="235"/>
      <c r="G45" s="235"/>
      <c r="H45" s="227"/>
      <c r="I45" s="236"/>
      <c r="J45" s="170"/>
      <c r="K45" s="170"/>
      <c r="L45" s="170"/>
      <c r="M45" s="170"/>
      <c r="N45" s="227"/>
      <c r="O45" s="792"/>
      <c r="P45" s="231"/>
      <c r="Q45" s="231"/>
      <c r="R45" s="214"/>
      <c r="S45" s="184"/>
      <c r="T45" s="184"/>
      <c r="U45" s="184"/>
    </row>
    <row r="46" spans="1:21" s="169" customFormat="1" ht="9.75" customHeight="1">
      <c r="A46" s="72"/>
      <c r="B46" s="72"/>
      <c r="C46" s="787"/>
      <c r="D46" s="236"/>
      <c r="E46" s="235"/>
      <c r="F46" s="235"/>
      <c r="G46" s="235"/>
      <c r="H46" s="227"/>
      <c r="I46" s="236"/>
      <c r="J46" s="170"/>
      <c r="K46" s="170"/>
      <c r="L46" s="170"/>
      <c r="M46" s="170"/>
      <c r="N46" s="227"/>
      <c r="O46" s="792"/>
      <c r="P46" s="231"/>
      <c r="Q46" s="231"/>
      <c r="R46" s="214"/>
      <c r="S46" s="184"/>
      <c r="T46" s="184"/>
      <c r="U46" s="184"/>
    </row>
    <row r="47" spans="1:21" s="169" customFormat="1" ht="9.75" customHeight="1">
      <c r="A47" s="72"/>
      <c r="B47" s="72"/>
      <c r="C47" s="788" t="s">
        <v>137</v>
      </c>
      <c r="D47" s="228">
        <v>3009060508</v>
      </c>
      <c r="E47" s="232"/>
      <c r="F47" s="232">
        <v>0</v>
      </c>
      <c r="G47" s="228">
        <v>47443236</v>
      </c>
      <c r="H47" s="229">
        <f>D47+E47-F47+G47</f>
        <v>3056503744</v>
      </c>
      <c r="I47" s="228">
        <v>385459074</v>
      </c>
      <c r="J47" s="168"/>
      <c r="K47" s="229">
        <v>54906086</v>
      </c>
      <c r="L47" s="168">
        <v>0</v>
      </c>
      <c r="M47" s="168">
        <v>0</v>
      </c>
      <c r="N47" s="229">
        <f>I47+K47-L47+M47</f>
        <v>440365160</v>
      </c>
      <c r="O47" s="786">
        <f>H47-N47</f>
        <v>2616138584</v>
      </c>
      <c r="P47" s="231"/>
      <c r="Q47" s="231"/>
      <c r="R47" s="171"/>
      <c r="S47" s="184"/>
      <c r="T47" s="184"/>
      <c r="U47" s="184"/>
    </row>
    <row r="48" spans="1:21" s="169" customFormat="1" ht="9.75" customHeight="1">
      <c r="A48" s="72"/>
      <c r="B48" s="72"/>
      <c r="C48" s="788"/>
      <c r="D48" s="228"/>
      <c r="E48" s="232"/>
      <c r="F48" s="232"/>
      <c r="G48" s="232"/>
      <c r="H48" s="229"/>
      <c r="I48" s="228"/>
      <c r="J48" s="168"/>
      <c r="K48" s="168"/>
      <c r="L48" s="168"/>
      <c r="M48" s="168"/>
      <c r="N48" s="229"/>
      <c r="O48" s="786"/>
      <c r="P48" s="231"/>
      <c r="Q48" s="231"/>
      <c r="R48" s="214"/>
      <c r="S48" s="184"/>
      <c r="T48" s="184"/>
      <c r="U48" s="184"/>
    </row>
    <row r="49" spans="1:21" s="169" customFormat="1" ht="9.75" customHeight="1">
      <c r="A49" s="72"/>
      <c r="B49" s="72"/>
      <c r="C49" s="788" t="s">
        <v>140</v>
      </c>
      <c r="D49" s="228">
        <v>739271600</v>
      </c>
      <c r="E49" s="232">
        <f>4545455+772727+4818182+12956721+2189217</f>
        <v>25282302</v>
      </c>
      <c r="F49" s="232">
        <v>0</v>
      </c>
      <c r="G49" s="232">
        <v>4843796</v>
      </c>
      <c r="H49" s="229">
        <f>D49+E49-F49+G49</f>
        <v>769397698</v>
      </c>
      <c r="I49" s="228">
        <v>579887402</v>
      </c>
      <c r="J49" s="168"/>
      <c r="K49" s="171">
        <v>45460360</v>
      </c>
      <c r="L49" s="168">
        <v>0</v>
      </c>
      <c r="M49" s="168">
        <v>0</v>
      </c>
      <c r="N49" s="229">
        <f>I49+K49-L49+M49</f>
        <v>625347762</v>
      </c>
      <c r="O49" s="786">
        <f>H49-N49</f>
        <v>144049936</v>
      </c>
      <c r="P49" s="231"/>
      <c r="Q49" s="231"/>
      <c r="R49" s="214"/>
      <c r="S49" s="184"/>
      <c r="T49" s="184"/>
      <c r="U49" s="184"/>
    </row>
    <row r="50" spans="1:21" s="169" customFormat="1" ht="9.75" customHeight="1">
      <c r="A50" s="72"/>
      <c r="B50" s="72"/>
      <c r="C50" s="788"/>
      <c r="D50" s="228"/>
      <c r="E50" s="232"/>
      <c r="F50" s="232"/>
      <c r="G50" s="232"/>
      <c r="H50" s="229"/>
      <c r="I50" s="228"/>
      <c r="J50" s="168"/>
      <c r="K50" s="168"/>
      <c r="L50" s="168"/>
      <c r="M50" s="168"/>
      <c r="N50" s="229"/>
      <c r="O50" s="786"/>
      <c r="P50" s="231"/>
      <c r="Q50" s="231"/>
      <c r="R50" s="214"/>
      <c r="S50" s="184"/>
      <c r="T50" s="184"/>
      <c r="U50" s="184"/>
    </row>
    <row r="51" spans="1:21" s="169" customFormat="1" ht="9.75" customHeight="1">
      <c r="A51" s="72"/>
      <c r="B51" s="72"/>
      <c r="C51" s="788" t="s">
        <v>145</v>
      </c>
      <c r="D51" s="228">
        <v>17078945569</v>
      </c>
      <c r="E51" s="232">
        <f>64697930+59341091+93162928+11872631+50360378+44828284+78389091+15833073+47547273+78498000+14068727+3992727+115134000+57241636+75454545+8072727+1245600+16192800+3736800+85434000+55053455+293672727+1097781818+7727273+72200000+95682500+35065500+41579318+3695082+88958300+46585000+80068620+119097545+78332727+22171873+112421000+61000000+39818182+25996651+338267091+48200000+141455182+967236364+29961818+56338972+66062703+22430000+10677273+52315200+21654500+16363636+39818182+61000000+38800855</f>
        <v>5212593588</v>
      </c>
      <c r="F51" s="232">
        <f>39818182+61000000</f>
        <v>100818182</v>
      </c>
      <c r="G51" s="232">
        <f>50497460+25185493+12474779+155488313+23280+762319+17100691+396992+624950+9856890+12394899</f>
        <v>284806066</v>
      </c>
      <c r="H51" s="229">
        <f>D51+E51-F51+G51</f>
        <v>22475527041</v>
      </c>
      <c r="I51" s="228">
        <v>8636776781</v>
      </c>
      <c r="J51" s="168"/>
      <c r="K51" s="168">
        <v>1416206615</v>
      </c>
      <c r="L51" s="168">
        <v>0</v>
      </c>
      <c r="M51" s="168">
        <v>0</v>
      </c>
      <c r="N51" s="229">
        <f>I51+K51-L51+M51</f>
        <v>10052983396</v>
      </c>
      <c r="O51" s="786">
        <f>H51-N51</f>
        <v>12422543645</v>
      </c>
      <c r="P51" s="231"/>
      <c r="Q51" s="231"/>
      <c r="R51" s="214"/>
      <c r="S51" s="184"/>
      <c r="T51" s="184"/>
      <c r="U51" s="184"/>
    </row>
    <row r="52" spans="1:21" s="169" customFormat="1" ht="9.75" customHeight="1">
      <c r="A52" s="72"/>
      <c r="B52" s="72"/>
      <c r="C52" s="788"/>
      <c r="D52" s="228"/>
      <c r="E52" s="232"/>
      <c r="F52" s="232"/>
      <c r="G52" s="232"/>
      <c r="H52" s="673"/>
      <c r="I52" s="228"/>
      <c r="J52" s="168"/>
      <c r="K52" s="168"/>
      <c r="L52" s="168"/>
      <c r="M52" s="168"/>
      <c r="N52" s="229"/>
      <c r="O52" s="786"/>
      <c r="P52" s="231"/>
      <c r="Q52" s="231"/>
      <c r="R52" s="214"/>
      <c r="S52" s="184"/>
      <c r="T52" s="184"/>
      <c r="U52" s="184"/>
    </row>
    <row r="53" spans="1:21" s="169" customFormat="1" ht="9.75" customHeight="1">
      <c r="A53" s="72"/>
      <c r="B53" s="72"/>
      <c r="C53" s="788" t="s">
        <v>146</v>
      </c>
      <c r="D53" s="228">
        <v>169250185</v>
      </c>
      <c r="E53" s="232">
        <f>6490909+4581818+420442+5399260+268286+1363636+5399260</f>
        <v>23923611</v>
      </c>
      <c r="F53" s="232">
        <f>5399260+268286</f>
        <v>5667546</v>
      </c>
      <c r="G53" s="232">
        <f>970079+152288+151725</f>
        <v>1274092</v>
      </c>
      <c r="H53" s="673">
        <f>D53+E53-F53+G53</f>
        <v>188780342</v>
      </c>
      <c r="I53" s="228">
        <v>137930555</v>
      </c>
      <c r="J53" s="168"/>
      <c r="K53" s="168">
        <v>15462697</v>
      </c>
      <c r="L53" s="168">
        <v>0</v>
      </c>
      <c r="M53" s="168">
        <v>0</v>
      </c>
      <c r="N53" s="229">
        <f>I53+K53-L53+M53</f>
        <v>153393252</v>
      </c>
      <c r="O53" s="786">
        <f>H53-N53</f>
        <v>35387090</v>
      </c>
      <c r="P53" s="231"/>
      <c r="Q53" s="231"/>
      <c r="R53" s="214"/>
      <c r="S53" s="184"/>
      <c r="T53" s="184"/>
      <c r="U53" s="184"/>
    </row>
    <row r="54" spans="1:21" s="169" customFormat="1" ht="9.75" customHeight="1">
      <c r="A54" s="72"/>
      <c r="B54" s="72"/>
      <c r="C54" s="788"/>
      <c r="D54" s="228"/>
      <c r="E54" s="232"/>
      <c r="F54" s="232"/>
      <c r="G54" s="232"/>
      <c r="H54" s="229"/>
      <c r="I54" s="228"/>
      <c r="J54" s="168"/>
      <c r="K54" s="168"/>
      <c r="L54" s="168"/>
      <c r="M54" s="168"/>
      <c r="N54" s="229"/>
      <c r="O54" s="786"/>
      <c r="P54" s="231"/>
      <c r="Q54" s="231"/>
      <c r="R54" s="214"/>
      <c r="S54" s="184"/>
      <c r="T54" s="184"/>
      <c r="U54" s="184"/>
    </row>
    <row r="55" spans="1:21" s="169" customFormat="1" ht="9.75" customHeight="1">
      <c r="A55" s="72"/>
      <c r="B55" s="72"/>
      <c r="C55" s="788" t="s">
        <v>147</v>
      </c>
      <c r="D55" s="228">
        <v>2678251058</v>
      </c>
      <c r="E55" s="232">
        <f>1818182+3805516+4006425</f>
        <v>9630123</v>
      </c>
      <c r="F55" s="232">
        <f>1818182</f>
        <v>1818182</v>
      </c>
      <c r="G55" s="232">
        <v>41090014</v>
      </c>
      <c r="H55" s="229">
        <f>D55+E55-F55+G55</f>
        <v>2727153013</v>
      </c>
      <c r="I55" s="168">
        <v>1218919020</v>
      </c>
      <c r="J55" s="168"/>
      <c r="K55" s="168">
        <v>366785218</v>
      </c>
      <c r="L55" s="168">
        <v>0</v>
      </c>
      <c r="M55" s="168">
        <v>0</v>
      </c>
      <c r="N55" s="229">
        <f>I55+K55-L55+M55</f>
        <v>1585704238</v>
      </c>
      <c r="O55" s="786">
        <f>H55-N55</f>
        <v>1141448775</v>
      </c>
      <c r="P55" s="231"/>
      <c r="Q55" s="231"/>
      <c r="R55" s="214"/>
      <c r="S55" s="184"/>
      <c r="T55" s="184"/>
      <c r="U55" s="184"/>
    </row>
    <row r="56" spans="1:21" s="169" customFormat="1" ht="9.75" customHeight="1">
      <c r="A56" s="72"/>
      <c r="B56" s="72"/>
      <c r="C56" s="788"/>
      <c r="D56" s="228"/>
      <c r="E56" s="232"/>
      <c r="F56" s="232"/>
      <c r="G56" s="232"/>
      <c r="H56" s="229"/>
      <c r="I56" s="228"/>
      <c r="J56" s="168"/>
      <c r="K56" s="168"/>
      <c r="L56" s="168"/>
      <c r="M56" s="168"/>
      <c r="N56" s="229"/>
      <c r="O56" s="786"/>
      <c r="P56" s="231"/>
      <c r="Q56" s="231"/>
      <c r="R56" s="214"/>
      <c r="S56" s="184"/>
      <c r="T56" s="184"/>
      <c r="U56" s="184"/>
    </row>
    <row r="57" spans="1:21" s="169" customFormat="1" ht="9.75" customHeight="1">
      <c r="A57" s="72"/>
      <c r="B57" s="72"/>
      <c r="C57" s="788" t="s">
        <v>148</v>
      </c>
      <c r="D57" s="228">
        <v>984298201</v>
      </c>
      <c r="E57" s="232">
        <f>5127409+7770017+8727273+1090909+4006425+4618182</f>
        <v>31340215</v>
      </c>
      <c r="F57" s="232">
        <f>4006425</f>
        <v>4006425</v>
      </c>
      <c r="G57" s="232">
        <f>13200765+201489</f>
        <v>13402254</v>
      </c>
      <c r="H57" s="229">
        <f>D57+E57-F57+G57</f>
        <v>1025034245</v>
      </c>
      <c r="I57" s="228">
        <v>525910776</v>
      </c>
      <c r="J57" s="168"/>
      <c r="K57" s="168">
        <v>169869740</v>
      </c>
      <c r="L57" s="168">
        <v>0</v>
      </c>
      <c r="M57" s="168">
        <v>0</v>
      </c>
      <c r="N57" s="229">
        <f>I57+K57-L57+M57</f>
        <v>695780516</v>
      </c>
      <c r="O57" s="786">
        <f>H57-N57</f>
        <v>329253729</v>
      </c>
      <c r="P57" s="231"/>
      <c r="Q57" s="231"/>
      <c r="R57" s="171"/>
      <c r="S57" s="184"/>
      <c r="T57" s="184"/>
      <c r="U57" s="184"/>
    </row>
    <row r="58" spans="1:21" s="169" customFormat="1" ht="9.75" customHeight="1">
      <c r="A58" s="72"/>
      <c r="B58" s="72"/>
      <c r="C58" s="788"/>
      <c r="D58" s="228"/>
      <c r="E58" s="232"/>
      <c r="F58" s="232"/>
      <c r="G58" s="232"/>
      <c r="H58" s="229"/>
      <c r="I58" s="228"/>
      <c r="J58" s="168"/>
      <c r="K58" s="168"/>
      <c r="L58" s="168"/>
      <c r="M58" s="168"/>
      <c r="N58" s="229"/>
      <c r="O58" s="786"/>
      <c r="P58" s="231"/>
      <c r="Q58" s="231"/>
      <c r="R58" s="214"/>
      <c r="S58" s="184"/>
      <c r="T58" s="184"/>
      <c r="U58" s="184"/>
    </row>
    <row r="59" spans="1:21" s="169" customFormat="1" ht="9.75" customHeight="1">
      <c r="A59" s="72"/>
      <c r="B59" s="72"/>
      <c r="C59" s="788" t="s">
        <v>149</v>
      </c>
      <c r="D59" s="228">
        <v>836540336</v>
      </c>
      <c r="E59" s="232">
        <f>12727273+10468182+224623200</f>
        <v>247818655</v>
      </c>
      <c r="F59" s="232">
        <f>182823535+5584782+213230859</f>
        <v>401639176</v>
      </c>
      <c r="G59" s="232">
        <f>5594055+572854+2161376</f>
        <v>8328285</v>
      </c>
      <c r="H59" s="229">
        <f>D59+E59-F59+G59</f>
        <v>691048100</v>
      </c>
      <c r="I59" s="168">
        <v>556381337</v>
      </c>
      <c r="J59" s="168"/>
      <c r="K59" s="168">
        <v>76844552</v>
      </c>
      <c r="L59" s="168">
        <f>182823535+5384537+212813528</f>
        <v>401021600</v>
      </c>
      <c r="M59" s="168">
        <v>0</v>
      </c>
      <c r="N59" s="229">
        <f>I59+K59-L59+M59</f>
        <v>232204289</v>
      </c>
      <c r="O59" s="786">
        <f>H59-N59</f>
        <v>458843811</v>
      </c>
      <c r="P59" s="231"/>
      <c r="Q59" s="231"/>
      <c r="R59" s="171"/>
      <c r="S59" s="184"/>
      <c r="T59" s="184"/>
      <c r="U59" s="184"/>
    </row>
    <row r="60" spans="1:21" s="169" customFormat="1" ht="9.75" customHeight="1">
      <c r="A60" s="72"/>
      <c r="B60" s="72"/>
      <c r="C60" s="788"/>
      <c r="D60" s="228"/>
      <c r="E60" s="232"/>
      <c r="F60" s="232"/>
      <c r="G60" s="232"/>
      <c r="H60" s="229"/>
      <c r="I60" s="228"/>
      <c r="J60" s="168"/>
      <c r="K60" s="168"/>
      <c r="L60" s="168"/>
      <c r="M60" s="168"/>
      <c r="N60" s="229"/>
      <c r="O60" s="786"/>
      <c r="P60" s="231"/>
      <c r="Q60" s="231"/>
      <c r="R60" s="214"/>
      <c r="S60" s="184"/>
      <c r="T60" s="184"/>
      <c r="U60" s="184"/>
    </row>
    <row r="61" spans="1:21" s="169" customFormat="1" ht="9.75" customHeight="1">
      <c r="A61" s="72"/>
      <c r="B61" s="72"/>
      <c r="C61" s="788" t="s">
        <v>150</v>
      </c>
      <c r="D61" s="228">
        <v>84436968</v>
      </c>
      <c r="E61" s="232">
        <v>0</v>
      </c>
      <c r="F61" s="232">
        <v>0</v>
      </c>
      <c r="G61" s="232">
        <v>550075</v>
      </c>
      <c r="H61" s="229">
        <f>D61+E61-F61+G61</f>
        <v>84987043</v>
      </c>
      <c r="I61" s="228">
        <v>64862021</v>
      </c>
      <c r="J61" s="168"/>
      <c r="K61" s="168">
        <v>8450448</v>
      </c>
      <c r="L61" s="168">
        <v>0</v>
      </c>
      <c r="M61" s="168">
        <v>0</v>
      </c>
      <c r="N61" s="229">
        <f>I61+K61-L61+M61</f>
        <v>73312469</v>
      </c>
      <c r="O61" s="786">
        <f>H61-N61</f>
        <v>11674574</v>
      </c>
      <c r="P61" s="231"/>
      <c r="Q61" s="231"/>
      <c r="R61" s="214"/>
      <c r="S61" s="184"/>
      <c r="T61" s="184"/>
      <c r="U61" s="184"/>
    </row>
    <row r="62" spans="1:21" s="169" customFormat="1" ht="7.5" customHeight="1">
      <c r="A62" s="72"/>
      <c r="B62" s="72"/>
      <c r="C62" s="787"/>
      <c r="D62" s="228"/>
      <c r="E62" s="232"/>
      <c r="F62" s="232"/>
      <c r="G62" s="232"/>
      <c r="H62" s="229"/>
      <c r="I62" s="228"/>
      <c r="J62" s="168"/>
      <c r="K62" s="168"/>
      <c r="L62" s="168"/>
      <c r="M62" s="168"/>
      <c r="N62" s="229"/>
      <c r="O62" s="786"/>
      <c r="P62" s="231"/>
      <c r="Q62" s="231"/>
      <c r="R62" s="214"/>
      <c r="S62" s="171"/>
      <c r="T62" s="184"/>
      <c r="U62" s="184"/>
    </row>
    <row r="63" spans="1:21" s="169" customFormat="1" ht="7.5" customHeight="1">
      <c r="A63" s="72"/>
      <c r="B63" s="72"/>
      <c r="C63" s="787"/>
      <c r="D63" s="250"/>
      <c r="E63" s="237"/>
      <c r="F63" s="232"/>
      <c r="G63" s="232"/>
      <c r="H63" s="171"/>
      <c r="I63" s="228"/>
      <c r="J63" s="171"/>
      <c r="K63" s="168"/>
      <c r="L63" s="232"/>
      <c r="M63" s="232"/>
      <c r="N63" s="171"/>
      <c r="O63" s="786"/>
      <c r="P63" s="231"/>
      <c r="Q63" s="231"/>
      <c r="R63" s="214"/>
      <c r="S63" s="171"/>
      <c r="T63" s="184"/>
      <c r="U63" s="184"/>
    </row>
    <row r="64" spans="1:21" s="169" customFormat="1" ht="12" customHeight="1">
      <c r="A64" s="72"/>
      <c r="B64" s="72"/>
      <c r="C64" s="790" t="s">
        <v>143</v>
      </c>
      <c r="D64" s="443">
        <f aca="true" t="shared" si="1" ref="D64:N64">SUM(D46:D63)</f>
        <v>25580054425</v>
      </c>
      <c r="E64" s="238">
        <f t="shared" si="1"/>
        <v>5550588494</v>
      </c>
      <c r="F64" s="238">
        <f t="shared" si="1"/>
        <v>513949511</v>
      </c>
      <c r="G64" s="238">
        <f t="shared" si="1"/>
        <v>401737818</v>
      </c>
      <c r="H64" s="238">
        <f t="shared" si="1"/>
        <v>31018431226</v>
      </c>
      <c r="I64" s="238">
        <f t="shared" si="1"/>
        <v>12106126966</v>
      </c>
      <c r="J64" s="238">
        <f t="shared" si="1"/>
        <v>0</v>
      </c>
      <c r="K64" s="238">
        <f t="shared" si="1"/>
        <v>2153985716</v>
      </c>
      <c r="L64" s="238">
        <f t="shared" si="1"/>
        <v>401021600</v>
      </c>
      <c r="M64" s="238">
        <f t="shared" si="1"/>
        <v>0</v>
      </c>
      <c r="N64" s="238">
        <f t="shared" si="1"/>
        <v>13859091082</v>
      </c>
      <c r="O64" s="791">
        <f>SUM(O46:O63)</f>
        <v>17159340144</v>
      </c>
      <c r="P64" s="231"/>
      <c r="Q64" s="171"/>
      <c r="R64" s="239"/>
      <c r="S64" s="686"/>
      <c r="T64" s="184"/>
      <c r="U64" s="184"/>
    </row>
    <row r="65" spans="1:21" s="169" customFormat="1" ht="9.75" customHeight="1">
      <c r="A65" s="72"/>
      <c r="B65" s="72"/>
      <c r="C65" s="787"/>
      <c r="D65" s="228"/>
      <c r="E65" s="168"/>
      <c r="F65" s="168"/>
      <c r="G65" s="168"/>
      <c r="H65" s="229"/>
      <c r="I65" s="228"/>
      <c r="J65" s="168"/>
      <c r="K65" s="168"/>
      <c r="L65" s="168"/>
      <c r="M65" s="168"/>
      <c r="N65" s="229"/>
      <c r="O65" s="786"/>
      <c r="P65" s="231"/>
      <c r="Q65" s="231"/>
      <c r="R65" s="214"/>
      <c r="S65" s="184"/>
      <c r="T65" s="184"/>
      <c r="U65" s="184"/>
    </row>
    <row r="66" spans="1:21" s="169" customFormat="1" ht="9.75" customHeight="1">
      <c r="A66" s="72"/>
      <c r="B66" s="72"/>
      <c r="C66" s="785" t="s">
        <v>151</v>
      </c>
      <c r="D66" s="228"/>
      <c r="E66" s="168"/>
      <c r="F66" s="168"/>
      <c r="G66" s="168"/>
      <c r="H66" s="229"/>
      <c r="I66" s="228"/>
      <c r="J66" s="168"/>
      <c r="K66" s="168"/>
      <c r="L66" s="168"/>
      <c r="M66" s="168"/>
      <c r="N66" s="229"/>
      <c r="O66" s="786"/>
      <c r="P66" s="231"/>
      <c r="Q66" s="231"/>
      <c r="R66" s="214"/>
      <c r="S66" s="184"/>
      <c r="T66" s="184"/>
      <c r="U66" s="184"/>
    </row>
    <row r="67" spans="1:21" s="169" customFormat="1" ht="9.75" customHeight="1">
      <c r="A67" s="72"/>
      <c r="B67" s="72"/>
      <c r="C67" s="785" t="s">
        <v>129</v>
      </c>
      <c r="D67" s="228"/>
      <c r="E67" s="168"/>
      <c r="F67" s="168"/>
      <c r="G67" s="168"/>
      <c r="H67" s="229"/>
      <c r="I67" s="228"/>
      <c r="J67" s="168"/>
      <c r="K67" s="168"/>
      <c r="L67" s="168"/>
      <c r="M67" s="168"/>
      <c r="N67" s="229"/>
      <c r="O67" s="786"/>
      <c r="P67" s="231"/>
      <c r="Q67" s="231"/>
      <c r="R67" s="214"/>
      <c r="S67" s="184"/>
      <c r="T67" s="184"/>
      <c r="U67" s="184"/>
    </row>
    <row r="68" spans="1:21" s="169" customFormat="1" ht="9.75" customHeight="1">
      <c r="A68" s="72"/>
      <c r="B68" s="72"/>
      <c r="C68" s="785"/>
      <c r="D68" s="228"/>
      <c r="E68" s="168"/>
      <c r="F68" s="168"/>
      <c r="G68" s="168"/>
      <c r="H68" s="229"/>
      <c r="I68" s="228"/>
      <c r="J68" s="168"/>
      <c r="K68" s="168"/>
      <c r="L68" s="168"/>
      <c r="M68" s="168"/>
      <c r="N68" s="229"/>
      <c r="O68" s="786"/>
      <c r="P68" s="231"/>
      <c r="Q68" s="231"/>
      <c r="R68" s="214"/>
      <c r="S68" s="184"/>
      <c r="T68" s="184"/>
      <c r="U68" s="184"/>
    </row>
    <row r="69" spans="1:21" s="169" customFormat="1" ht="9.75" customHeight="1">
      <c r="A69" s="72"/>
      <c r="B69" s="72"/>
      <c r="C69" s="785" t="s">
        <v>127</v>
      </c>
      <c r="D69" s="228"/>
      <c r="E69" s="168"/>
      <c r="F69" s="168"/>
      <c r="G69" s="168"/>
      <c r="H69" s="229"/>
      <c r="I69" s="228"/>
      <c r="J69" s="168"/>
      <c r="K69" s="168"/>
      <c r="L69" s="168"/>
      <c r="M69" s="168"/>
      <c r="N69" s="229"/>
      <c r="O69" s="786"/>
      <c r="P69" s="231"/>
      <c r="Q69" s="231"/>
      <c r="R69" s="214"/>
      <c r="S69" s="184"/>
      <c r="T69" s="184"/>
      <c r="U69" s="184"/>
    </row>
    <row r="70" spans="1:21" s="169" customFormat="1" ht="9.75" customHeight="1" hidden="1">
      <c r="A70" s="72"/>
      <c r="B70" s="72"/>
      <c r="C70" s="787"/>
      <c r="D70" s="228"/>
      <c r="E70" s="168"/>
      <c r="F70" s="168"/>
      <c r="G70" s="168"/>
      <c r="H70" s="229"/>
      <c r="I70" s="228"/>
      <c r="J70" s="168"/>
      <c r="K70" s="168"/>
      <c r="L70" s="168"/>
      <c r="M70" s="168"/>
      <c r="N70" s="229"/>
      <c r="O70" s="786"/>
      <c r="P70" s="231"/>
      <c r="Q70" s="231"/>
      <c r="R70" s="214"/>
      <c r="S70" s="184"/>
      <c r="T70" s="184"/>
      <c r="U70" s="184"/>
    </row>
    <row r="71" spans="1:21" s="169" customFormat="1" ht="9.75" customHeight="1">
      <c r="A71" s="72"/>
      <c r="B71" s="72"/>
      <c r="C71" s="787" t="s">
        <v>152</v>
      </c>
      <c r="D71" s="228"/>
      <c r="E71" s="168"/>
      <c r="F71" s="168"/>
      <c r="G71" s="168"/>
      <c r="H71" s="229"/>
      <c r="I71" s="228"/>
      <c r="J71" s="168"/>
      <c r="K71" s="168"/>
      <c r="L71" s="168"/>
      <c r="M71" s="168"/>
      <c r="N71" s="229"/>
      <c r="O71" s="786"/>
      <c r="P71" s="231"/>
      <c r="Q71" s="231"/>
      <c r="R71" s="214"/>
      <c r="S71" s="184"/>
      <c r="T71" s="184"/>
      <c r="U71" s="184"/>
    </row>
    <row r="72" spans="1:21" s="169" customFormat="1" ht="9.75" customHeight="1">
      <c r="A72" s="72"/>
      <c r="B72" s="72"/>
      <c r="C72" s="787" t="s">
        <v>153</v>
      </c>
      <c r="D72" s="228">
        <v>22490305901</v>
      </c>
      <c r="E72" s="168">
        <v>0</v>
      </c>
      <c r="F72" s="168">
        <v>0</v>
      </c>
      <c r="G72" s="168">
        <v>632000086</v>
      </c>
      <c r="H72" s="229">
        <f>D72+E72-F72+G72</f>
        <v>23122305987</v>
      </c>
      <c r="I72" s="228">
        <v>0</v>
      </c>
      <c r="J72" s="168"/>
      <c r="K72" s="168">
        <v>0</v>
      </c>
      <c r="L72" s="168">
        <v>0</v>
      </c>
      <c r="M72" s="168">
        <v>0</v>
      </c>
      <c r="N72" s="229">
        <v>0</v>
      </c>
      <c r="O72" s="786">
        <f>H72-N72</f>
        <v>23122305987</v>
      </c>
      <c r="P72" s="231"/>
      <c r="Q72" s="231"/>
      <c r="R72" s="214"/>
      <c r="S72" s="184"/>
      <c r="T72" s="184"/>
      <c r="U72" s="184"/>
    </row>
    <row r="73" spans="1:21" s="169" customFormat="1" ht="11.25" customHeight="1">
      <c r="A73" s="72"/>
      <c r="B73" s="72"/>
      <c r="C73" s="787"/>
      <c r="D73" s="597">
        <f>D72</f>
        <v>22490305901</v>
      </c>
      <c r="E73" s="172">
        <f>+E72</f>
        <v>0</v>
      </c>
      <c r="F73" s="172">
        <f>+F72</f>
        <v>0</v>
      </c>
      <c r="G73" s="172">
        <f>+G72</f>
        <v>632000086</v>
      </c>
      <c r="H73" s="240">
        <f>+H72</f>
        <v>23122305987</v>
      </c>
      <c r="I73" s="241">
        <v>0</v>
      </c>
      <c r="J73" s="172"/>
      <c r="K73" s="172">
        <v>0</v>
      </c>
      <c r="L73" s="172">
        <v>0</v>
      </c>
      <c r="M73" s="172">
        <v>0</v>
      </c>
      <c r="N73" s="242">
        <f>+N72</f>
        <v>0</v>
      </c>
      <c r="O73" s="794">
        <f>+O72</f>
        <v>23122305987</v>
      </c>
      <c r="P73" s="231"/>
      <c r="Q73" s="231"/>
      <c r="R73" s="214"/>
      <c r="S73" s="184"/>
      <c r="T73" s="184"/>
      <c r="U73" s="184"/>
    </row>
    <row r="74" spans="1:21" s="169" customFormat="1" ht="9.75" customHeight="1">
      <c r="A74" s="72"/>
      <c r="B74" s="72"/>
      <c r="C74" s="785" t="s">
        <v>144</v>
      </c>
      <c r="D74" s="228"/>
      <c r="E74" s="232"/>
      <c r="F74" s="232"/>
      <c r="G74" s="232"/>
      <c r="H74" s="171"/>
      <c r="I74" s="228"/>
      <c r="J74" s="168"/>
      <c r="K74" s="168"/>
      <c r="L74" s="168"/>
      <c r="M74" s="168"/>
      <c r="N74" s="230"/>
      <c r="O74" s="786"/>
      <c r="P74" s="231"/>
      <c r="Q74" s="231"/>
      <c r="R74" s="214"/>
      <c r="S74" s="184"/>
      <c r="T74" s="184"/>
      <c r="U74" s="184"/>
    </row>
    <row r="75" spans="1:21" s="169" customFormat="1" ht="9.75" customHeight="1">
      <c r="A75" s="72"/>
      <c r="B75" s="72"/>
      <c r="C75" s="787"/>
      <c r="D75" s="228"/>
      <c r="E75" s="168"/>
      <c r="F75" s="168"/>
      <c r="G75" s="168"/>
      <c r="H75" s="229"/>
      <c r="I75" s="228"/>
      <c r="J75" s="168"/>
      <c r="K75" s="168"/>
      <c r="L75" s="168"/>
      <c r="M75" s="168"/>
      <c r="N75" s="230"/>
      <c r="O75" s="786"/>
      <c r="P75" s="231"/>
      <c r="Q75" s="231"/>
      <c r="R75" s="214"/>
      <c r="S75" s="184"/>
      <c r="T75" s="184"/>
      <c r="U75" s="184"/>
    </row>
    <row r="76" spans="1:21" s="169" customFormat="1" ht="9.75" customHeight="1">
      <c r="A76" s="72"/>
      <c r="B76" s="72"/>
      <c r="C76" s="788" t="s">
        <v>154</v>
      </c>
      <c r="D76" s="168">
        <v>150990000000</v>
      </c>
      <c r="E76" s="168">
        <v>0</v>
      </c>
      <c r="F76" s="168">
        <v>0</v>
      </c>
      <c r="G76" s="168">
        <v>4242969990</v>
      </c>
      <c r="H76" s="229">
        <f>D76+E76-F76+G76</f>
        <v>155232969990</v>
      </c>
      <c r="I76" s="228">
        <v>0</v>
      </c>
      <c r="J76" s="168"/>
      <c r="K76" s="168">
        <v>0</v>
      </c>
      <c r="L76" s="168">
        <v>0</v>
      </c>
      <c r="M76" s="168">
        <v>0</v>
      </c>
      <c r="N76" s="230">
        <v>0</v>
      </c>
      <c r="O76" s="786">
        <f>H76-N76</f>
        <v>155232969990</v>
      </c>
      <c r="P76" s="231"/>
      <c r="Q76" s="171"/>
      <c r="R76" s="231"/>
      <c r="S76" s="184"/>
      <c r="T76" s="184"/>
      <c r="U76" s="184"/>
    </row>
    <row r="77" spans="1:21" s="169" customFormat="1" ht="9.75" customHeight="1">
      <c r="A77" s="72"/>
      <c r="B77" s="72"/>
      <c r="C77" s="795"/>
      <c r="D77" s="597">
        <f>D76</f>
        <v>150990000000</v>
      </c>
      <c r="E77" s="242">
        <f>+E76</f>
        <v>0</v>
      </c>
      <c r="F77" s="172">
        <v>0</v>
      </c>
      <c r="G77" s="243">
        <f>+G76</f>
        <v>4242969990</v>
      </c>
      <c r="H77" s="244">
        <f>+H76</f>
        <v>155232969990</v>
      </c>
      <c r="I77" s="241">
        <v>0</v>
      </c>
      <c r="J77" s="172"/>
      <c r="K77" s="172">
        <v>0</v>
      </c>
      <c r="L77" s="172">
        <v>0</v>
      </c>
      <c r="M77" s="172">
        <v>0</v>
      </c>
      <c r="N77" s="242">
        <f>+N76</f>
        <v>0</v>
      </c>
      <c r="O77" s="794">
        <f>+O76</f>
        <v>155232969990</v>
      </c>
      <c r="P77" s="231"/>
      <c r="Q77" s="231"/>
      <c r="R77" s="214"/>
      <c r="S77" s="184"/>
      <c r="T77" s="184"/>
      <c r="U77" s="184"/>
    </row>
    <row r="78" spans="1:21" s="169" customFormat="1" ht="9.75" customHeight="1">
      <c r="A78" s="72"/>
      <c r="B78" s="72"/>
      <c r="C78" s="795"/>
      <c r="D78" s="247"/>
      <c r="E78" s="245"/>
      <c r="F78" s="245"/>
      <c r="G78" s="245"/>
      <c r="H78" s="246"/>
      <c r="I78" s="247"/>
      <c r="J78" s="245"/>
      <c r="K78" s="245"/>
      <c r="L78" s="245"/>
      <c r="M78" s="245"/>
      <c r="N78" s="246"/>
      <c r="O78" s="796"/>
      <c r="P78" s="231"/>
      <c r="Q78" s="231"/>
      <c r="R78" s="214"/>
      <c r="S78" s="184"/>
      <c r="T78" s="184"/>
      <c r="U78" s="184"/>
    </row>
    <row r="79" spans="1:21" s="169" customFormat="1" ht="9.75" customHeight="1">
      <c r="A79" s="72"/>
      <c r="B79" s="72"/>
      <c r="C79" s="795" t="s">
        <v>155</v>
      </c>
      <c r="D79" s="228">
        <v>24639135000</v>
      </c>
      <c r="E79" s="168">
        <f>1579300000+27000000+20502000+32000000+36000000+1800000+2088000+41760000+1800000+36000000+1320000+26400000+1320000+26400000+690000+13800000+3000+2380000+560329000+1200000+24000000+1200000+24000000+24000000+1500000+30000000+2250000+45000000+1560000+31200000+1200000+27600000+1380000+1320000+72600000+3630000+75600000+3780000+2280000+45600000+5340000+106800000+121904762+3456000+390930000+57142857+79619048+2618000+45047619+4895273+880000+41904762+4090909+29301532+3702674+4770000+95400000+34560000+2760000+55200000+1728000+2520000+50400000+3350000+78000+1599360000</f>
        <v>5579551436</v>
      </c>
      <c r="F79" s="168">
        <f>144195762+1154142000+103289550+488203674+8000000+206000000</f>
        <v>2103830986</v>
      </c>
      <c r="G79" s="168">
        <v>0</v>
      </c>
      <c r="H79" s="229">
        <f>D79+E79-F79+G79</f>
        <v>28114855450</v>
      </c>
      <c r="I79" s="228">
        <v>0</v>
      </c>
      <c r="J79" s="168"/>
      <c r="K79" s="168">
        <v>928679029</v>
      </c>
      <c r="L79" s="168"/>
      <c r="M79" s="168">
        <v>0</v>
      </c>
      <c r="N79" s="229">
        <f>I79+K79</f>
        <v>928679029</v>
      </c>
      <c r="O79" s="786">
        <f>H79-N79</f>
        <v>27186176421</v>
      </c>
      <c r="P79" s="231"/>
      <c r="Q79" s="231"/>
      <c r="R79" s="214"/>
      <c r="S79" s="184"/>
      <c r="T79" s="184"/>
      <c r="U79" s="184"/>
    </row>
    <row r="80" spans="1:21" s="169" customFormat="1" ht="9.75" customHeight="1">
      <c r="A80" s="72"/>
      <c r="B80" s="72"/>
      <c r="C80" s="795" t="s">
        <v>614</v>
      </c>
      <c r="D80" s="228"/>
      <c r="E80" s="168"/>
      <c r="F80" s="168"/>
      <c r="G80" s="168"/>
      <c r="H80" s="229"/>
      <c r="I80" s="232"/>
      <c r="J80" s="168"/>
      <c r="K80" s="168"/>
      <c r="L80" s="168"/>
      <c r="M80" s="168"/>
      <c r="N80" s="229"/>
      <c r="O80" s="786"/>
      <c r="P80" s="231"/>
      <c r="Q80" s="231"/>
      <c r="R80" s="214"/>
      <c r="S80" s="184"/>
      <c r="T80" s="184"/>
      <c r="U80" s="184"/>
    </row>
    <row r="81" spans="1:21" s="169" customFormat="1" ht="9.75" customHeight="1">
      <c r="A81" s="72"/>
      <c r="B81" s="72"/>
      <c r="C81" s="795"/>
      <c r="D81" s="228"/>
      <c r="E81" s="168"/>
      <c r="F81" s="168"/>
      <c r="G81" s="168"/>
      <c r="H81" s="229"/>
      <c r="I81" s="232"/>
      <c r="J81" s="168"/>
      <c r="K81" s="168"/>
      <c r="L81" s="168"/>
      <c r="M81" s="168"/>
      <c r="N81" s="229"/>
      <c r="O81" s="786"/>
      <c r="P81" s="231"/>
      <c r="Q81" s="231"/>
      <c r="R81" s="214"/>
      <c r="S81" s="184"/>
      <c r="T81" s="184"/>
      <c r="U81" s="184"/>
    </row>
    <row r="82" spans="1:21" s="681" customFormat="1" ht="9.75" customHeight="1">
      <c r="A82" s="675"/>
      <c r="B82" s="675"/>
      <c r="C82" s="797" t="s">
        <v>156</v>
      </c>
      <c r="D82" s="676">
        <v>14610881725</v>
      </c>
      <c r="E82" s="677">
        <f>25714415+136920000+58036364+330255000+214030752+396820000+185585746+284093430+12848278</f>
        <v>1644303985</v>
      </c>
      <c r="F82" s="677">
        <v>0</v>
      </c>
      <c r="G82" s="677">
        <v>202406522</v>
      </c>
      <c r="H82" s="673">
        <f>D82+E82-F82+G82</f>
        <v>16457592232</v>
      </c>
      <c r="I82" s="604">
        <v>8194193818</v>
      </c>
      <c r="J82" s="604"/>
      <c r="K82" s="677">
        <v>899086814</v>
      </c>
      <c r="L82" s="604">
        <v>0</v>
      </c>
      <c r="M82" s="604">
        <v>0</v>
      </c>
      <c r="N82" s="673">
        <f>SUM(I82:M82)</f>
        <v>9093280632</v>
      </c>
      <c r="O82" s="798">
        <f>H82-N82</f>
        <v>7364311600</v>
      </c>
      <c r="P82" s="678"/>
      <c r="Q82" s="678"/>
      <c r="R82" s="679"/>
      <c r="S82" s="680"/>
      <c r="T82" s="680"/>
      <c r="U82" s="680"/>
    </row>
    <row r="83" spans="1:21" s="169" customFormat="1" ht="9.75" customHeight="1">
      <c r="A83" s="72"/>
      <c r="B83" s="72"/>
      <c r="C83" s="799"/>
      <c r="D83" s="241">
        <f>SUM(D79:D82)</f>
        <v>39250016725</v>
      </c>
      <c r="E83" s="241">
        <f>+E79+E82</f>
        <v>7223855421</v>
      </c>
      <c r="F83" s="172">
        <f>SUM(F79:F82)</f>
        <v>2103830986</v>
      </c>
      <c r="G83" s="172">
        <f>SUM(G79:G82)</f>
        <v>202406522</v>
      </c>
      <c r="H83" s="240">
        <f>SUM(H79:H82)</f>
        <v>44572447682</v>
      </c>
      <c r="I83" s="240">
        <f>SUM(I79:I82)</f>
        <v>8194193818</v>
      </c>
      <c r="J83" s="242"/>
      <c r="K83" s="242">
        <f>SUM(K79:K82)</f>
        <v>1827765843</v>
      </c>
      <c r="L83" s="242">
        <v>0</v>
      </c>
      <c r="M83" s="172">
        <v>0</v>
      </c>
      <c r="N83" s="240">
        <f>SUM(N79:N82)</f>
        <v>10021959661</v>
      </c>
      <c r="O83" s="794">
        <f>SUM(O79:O82)</f>
        <v>34550488021</v>
      </c>
      <c r="P83" s="231"/>
      <c r="Q83" s="231"/>
      <c r="R83" s="214"/>
      <c r="S83" s="184"/>
      <c r="T83" s="184"/>
      <c r="U83" s="184"/>
    </row>
    <row r="84" spans="1:21" s="169" customFormat="1" ht="11.25" customHeight="1">
      <c r="A84" s="72"/>
      <c r="B84" s="72"/>
      <c r="C84" s="800"/>
      <c r="D84" s="250"/>
      <c r="E84" s="237"/>
      <c r="F84" s="237"/>
      <c r="G84" s="237"/>
      <c r="H84" s="249"/>
      <c r="I84" s="250"/>
      <c r="J84" s="248"/>
      <c r="K84" s="237"/>
      <c r="L84" s="237"/>
      <c r="M84" s="237"/>
      <c r="N84" s="142"/>
      <c r="O84" s="801"/>
      <c r="P84" s="231"/>
      <c r="Q84" s="231"/>
      <c r="R84" s="214"/>
      <c r="S84" s="184"/>
      <c r="T84" s="184"/>
      <c r="U84" s="184"/>
    </row>
    <row r="85" spans="1:21" s="169" customFormat="1" ht="10.5" customHeight="1">
      <c r="A85" s="72"/>
      <c r="B85" s="72"/>
      <c r="C85" s="802" t="s">
        <v>143</v>
      </c>
      <c r="D85" s="251">
        <f>D83+D77+D73</f>
        <v>212730322626</v>
      </c>
      <c r="E85" s="251">
        <f>+E73+E77+E83</f>
        <v>7223855421</v>
      </c>
      <c r="F85" s="251">
        <f>+F73+F77+F83</f>
        <v>2103830986</v>
      </c>
      <c r="G85" s="251">
        <f>+G73+G77+G83</f>
        <v>5077376598</v>
      </c>
      <c r="H85" s="251">
        <f>+H73+H77+H83</f>
        <v>222927723659</v>
      </c>
      <c r="I85" s="252">
        <f>I83+I77+I73</f>
        <v>8194193818</v>
      </c>
      <c r="J85" s="252"/>
      <c r="K85" s="252">
        <f>+K73+K77+K83</f>
        <v>1827765843</v>
      </c>
      <c r="L85" s="252">
        <f>+L73+L77+L83</f>
        <v>0</v>
      </c>
      <c r="M85" s="252">
        <f>+M73+M77+M83</f>
        <v>0</v>
      </c>
      <c r="N85" s="252">
        <f>+N73+N77+N83</f>
        <v>10021959661</v>
      </c>
      <c r="O85" s="803">
        <f>+O73+O77+O83</f>
        <v>212905763998</v>
      </c>
      <c r="P85" s="231"/>
      <c r="Q85" s="200"/>
      <c r="R85" s="214"/>
      <c r="S85" s="184"/>
      <c r="T85" s="184"/>
      <c r="U85" s="184"/>
    </row>
    <row r="86" spans="1:21" s="169" customFormat="1" ht="19.5" customHeight="1" thickBot="1">
      <c r="A86" s="72"/>
      <c r="B86" s="72"/>
      <c r="C86" s="804" t="s">
        <v>582</v>
      </c>
      <c r="D86" s="253">
        <f>D85+D64+D43</f>
        <v>378011497841</v>
      </c>
      <c r="E86" s="253">
        <f>+E43+E64+E85</f>
        <v>46786730244</v>
      </c>
      <c r="F86" s="253">
        <f>+F43+F64+F85</f>
        <v>31645497432</v>
      </c>
      <c r="G86" s="253">
        <f>+G43+G64+G85</f>
        <v>7901670066</v>
      </c>
      <c r="H86" s="253">
        <f>+H43+H64+H85</f>
        <v>401054400719</v>
      </c>
      <c r="I86" s="253">
        <f>+I43+I64+I85</f>
        <v>60292143503</v>
      </c>
      <c r="J86" s="254"/>
      <c r="K86" s="253">
        <f>+K85+K64+K43</f>
        <v>12423347410</v>
      </c>
      <c r="L86" s="253">
        <f>+L85+L64+L43+L79</f>
        <v>1037871530</v>
      </c>
      <c r="M86" s="253">
        <f>+M85+M64+M43</f>
        <v>0</v>
      </c>
      <c r="N86" s="253">
        <f>+N85+N64+N43</f>
        <v>71677619383</v>
      </c>
      <c r="O86" s="805">
        <f>+O85+O64+O43</f>
        <v>329376781336</v>
      </c>
      <c r="P86" s="231"/>
      <c r="Q86" s="171"/>
      <c r="R86" s="685"/>
      <c r="S86" s="184"/>
      <c r="T86" s="184"/>
      <c r="U86" s="184"/>
    </row>
    <row r="87" spans="1:19" s="169" customFormat="1" ht="15.75" customHeight="1">
      <c r="A87" s="72"/>
      <c r="B87" s="255"/>
      <c r="C87" s="806" t="s">
        <v>547</v>
      </c>
      <c r="D87" s="807">
        <v>268427444044</v>
      </c>
      <c r="E87" s="807">
        <v>39296228256</v>
      </c>
      <c r="F87" s="807">
        <v>5603863666</v>
      </c>
      <c r="G87" s="807">
        <v>75891689207</v>
      </c>
      <c r="H87" s="807">
        <v>378011497841</v>
      </c>
      <c r="I87" s="807">
        <v>50243501334</v>
      </c>
      <c r="J87" s="808"/>
      <c r="K87" s="807">
        <v>10585663434</v>
      </c>
      <c r="L87" s="807">
        <v>537021265</v>
      </c>
      <c r="M87" s="807">
        <v>0</v>
      </c>
      <c r="N87" s="807">
        <v>60292143503</v>
      </c>
      <c r="O87" s="809">
        <v>317719354338</v>
      </c>
      <c r="P87" s="231"/>
      <c r="Q87" s="171"/>
      <c r="R87" s="171"/>
      <c r="S87" s="184"/>
    </row>
    <row r="88" spans="1:18" s="169" customFormat="1" ht="12" customHeight="1">
      <c r="A88" s="72"/>
      <c r="B88" s="256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231"/>
      <c r="Q88" s="231"/>
      <c r="R88" s="214"/>
    </row>
    <row r="89" spans="1:19" s="74" customFormat="1" ht="16.5" customHeight="1">
      <c r="A89" s="169"/>
      <c r="B89" s="169"/>
      <c r="C89" s="171"/>
      <c r="D89" s="171"/>
      <c r="E89" s="171"/>
      <c r="F89" s="1029"/>
      <c r="G89" s="171"/>
      <c r="H89" s="171"/>
      <c r="I89" s="171"/>
      <c r="J89" s="171"/>
      <c r="K89" s="171"/>
      <c r="L89" s="171"/>
      <c r="M89" s="171"/>
      <c r="N89" s="171"/>
      <c r="O89" s="171"/>
      <c r="P89" s="231"/>
      <c r="Q89" s="231"/>
      <c r="R89" s="171"/>
      <c r="S89" s="169"/>
    </row>
    <row r="90" spans="1:19" s="169" customFormat="1" ht="10.5" customHeight="1">
      <c r="A90" s="74"/>
      <c r="B90" s="74"/>
      <c r="D90" s="193"/>
      <c r="E90" s="193"/>
      <c r="F90" s="1029"/>
      <c r="G90" s="193"/>
      <c r="H90" s="193"/>
      <c r="I90" s="193"/>
      <c r="J90" s="193"/>
      <c r="K90" s="193"/>
      <c r="L90" s="193"/>
      <c r="M90" s="193"/>
      <c r="N90" s="193"/>
      <c r="O90" s="193"/>
      <c r="P90" s="257"/>
      <c r="Q90" s="257"/>
      <c r="R90" s="74"/>
      <c r="S90" s="74"/>
    </row>
    <row r="91" spans="3:18" s="169" customFormat="1" ht="12.75"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231"/>
      <c r="Q91" s="231"/>
      <c r="R91" s="214"/>
    </row>
    <row r="92" spans="3:18" s="169" customFormat="1" ht="12.75">
      <c r="C92" s="171"/>
      <c r="D92" s="231"/>
      <c r="E92" s="171"/>
      <c r="F92" s="171"/>
      <c r="G92" s="17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14"/>
    </row>
    <row r="93" spans="4:11" s="169" customFormat="1" ht="12.75">
      <c r="D93" s="193"/>
      <c r="E93" s="184"/>
      <c r="F93" s="184"/>
      <c r="G93" s="184"/>
      <c r="H93" s="184"/>
      <c r="K93" s="171"/>
    </row>
    <row r="94" spans="1:19" ht="12.75">
      <c r="A94" s="169"/>
      <c r="B94" s="169"/>
      <c r="C94" s="169"/>
      <c r="D94" s="193"/>
      <c r="E94" s="285"/>
      <c r="F94" s="184"/>
      <c r="G94" s="184"/>
      <c r="H94" s="169"/>
      <c r="I94" s="169"/>
      <c r="J94" s="169"/>
      <c r="K94" s="200"/>
      <c r="L94" s="169"/>
      <c r="M94" s="169"/>
      <c r="N94" s="169"/>
      <c r="O94" s="169"/>
      <c r="Q94" s="169"/>
      <c r="R94" s="169"/>
      <c r="S94" s="169"/>
    </row>
    <row r="95" spans="3:11" ht="12.75">
      <c r="C95" s="259"/>
      <c r="D95" s="859"/>
      <c r="E95" s="136"/>
      <c r="F95" s="858"/>
      <c r="G95" s="260"/>
      <c r="I95" s="261"/>
      <c r="K95" s="262"/>
    </row>
    <row r="96" spans="3:16" ht="12.75">
      <c r="C96" s="136"/>
      <c r="D96" s="64"/>
      <c r="E96" s="136"/>
      <c r="F96" s="136"/>
      <c r="G96" s="136"/>
      <c r="H96" s="136"/>
      <c r="I96" s="136"/>
      <c r="J96" s="136"/>
      <c r="K96" s="179"/>
      <c r="L96" s="136"/>
      <c r="M96" s="136"/>
      <c r="N96" s="136"/>
      <c r="O96" s="136"/>
      <c r="P96" s="184"/>
    </row>
    <row r="97" spans="3:13" ht="12.75">
      <c r="C97" s="136"/>
      <c r="D97" s="64"/>
      <c r="E97" s="136"/>
      <c r="F97" s="136"/>
      <c r="G97" s="179"/>
      <c r="H97" s="136"/>
      <c r="I97" s="136"/>
      <c r="J97" s="136"/>
      <c r="K97" s="136"/>
      <c r="L97" s="136"/>
      <c r="M97" s="136"/>
    </row>
    <row r="98" spans="3:13" ht="12.75">
      <c r="C98" s="136"/>
      <c r="D98" s="64"/>
      <c r="E98" s="136"/>
      <c r="F98" s="136"/>
      <c r="G98" s="136"/>
      <c r="H98" s="136"/>
      <c r="I98" s="136"/>
      <c r="J98" s="136"/>
      <c r="K98" s="136"/>
      <c r="L98" s="136"/>
      <c r="M98" s="136"/>
    </row>
    <row r="99" spans="3:13" ht="12.75">
      <c r="C99" s="136"/>
      <c r="D99" s="64"/>
      <c r="E99" s="136"/>
      <c r="F99" s="136"/>
      <c r="G99" s="179"/>
      <c r="H99" s="136"/>
      <c r="I99" s="136"/>
      <c r="J99" s="136"/>
      <c r="K99" s="136"/>
      <c r="L99" s="136"/>
      <c r="M99" s="136"/>
    </row>
    <row r="100" spans="3:13" ht="12.75">
      <c r="C100" s="136"/>
      <c r="D100" s="64"/>
      <c r="E100" s="136"/>
      <c r="F100" s="136"/>
      <c r="G100" s="136"/>
      <c r="H100" s="136"/>
      <c r="I100" s="136"/>
      <c r="J100" s="136"/>
      <c r="K100" s="136"/>
      <c r="L100" s="136"/>
      <c r="M100" s="136"/>
    </row>
    <row r="101" spans="3:13" ht="12.75">
      <c r="C101" s="136"/>
      <c r="D101" s="64"/>
      <c r="E101" s="179"/>
      <c r="F101" s="179"/>
      <c r="G101" s="136"/>
      <c r="H101" s="136"/>
      <c r="I101" s="263"/>
      <c r="J101" s="136"/>
      <c r="K101" s="136"/>
      <c r="L101" s="136"/>
      <c r="M101" s="136"/>
    </row>
    <row r="102" spans="3:13" ht="12.75">
      <c r="C102" s="136"/>
      <c r="D102" s="64"/>
      <c r="E102" s="179"/>
      <c r="F102" s="179"/>
      <c r="G102" s="136"/>
      <c r="H102" s="136"/>
      <c r="I102" s="136"/>
      <c r="J102" s="136"/>
      <c r="K102" s="136"/>
      <c r="L102" s="136"/>
      <c r="M102" s="136"/>
    </row>
    <row r="103" spans="3:13" ht="12.75">
      <c r="C103" s="262"/>
      <c r="D103" s="64"/>
      <c r="E103" s="179"/>
      <c r="F103" s="179"/>
      <c r="G103" s="136"/>
      <c r="H103" s="136"/>
      <c r="I103" s="136"/>
      <c r="J103" s="136"/>
      <c r="K103" s="136"/>
      <c r="L103" s="136"/>
      <c r="M103" s="136"/>
    </row>
    <row r="104" spans="3:13" ht="12.75">
      <c r="C104" s="264"/>
      <c r="D104" s="262"/>
      <c r="E104" s="265"/>
      <c r="F104" s="179"/>
      <c r="G104" s="264"/>
      <c r="H104" s="264"/>
      <c r="I104" s="136"/>
      <c r="J104" s="136"/>
      <c r="K104" s="136"/>
      <c r="L104" s="136"/>
      <c r="M104" s="136"/>
    </row>
    <row r="105" spans="3:13" ht="12.75">
      <c r="C105" s="136"/>
      <c r="D105" s="64"/>
      <c r="E105" s="266"/>
      <c r="F105" s="266"/>
      <c r="G105" s="262"/>
      <c r="H105" s="136"/>
      <c r="I105" s="136"/>
      <c r="J105" s="136"/>
      <c r="K105" s="136"/>
      <c r="L105" s="136"/>
      <c r="M105" s="136"/>
    </row>
    <row r="106" spans="3:13" ht="12.75">
      <c r="C106" s="136"/>
      <c r="D106" s="64"/>
      <c r="E106" s="179"/>
      <c r="F106" s="267"/>
      <c r="G106" s="136"/>
      <c r="H106" s="136"/>
      <c r="I106" s="136"/>
      <c r="J106" s="136"/>
      <c r="K106" s="136"/>
      <c r="L106" s="136"/>
      <c r="M106" s="136"/>
    </row>
    <row r="107" spans="3:13" ht="12.75">
      <c r="C107" s="136"/>
      <c r="D107" s="64"/>
      <c r="E107" s="179"/>
      <c r="F107" s="179"/>
      <c r="G107" s="136"/>
      <c r="H107" s="136"/>
      <c r="I107" s="136"/>
      <c r="J107" s="136"/>
      <c r="K107" s="136"/>
      <c r="L107" s="136"/>
      <c r="M107" s="136"/>
    </row>
    <row r="108" spans="3:13" ht="12.75">
      <c r="C108" s="136"/>
      <c r="D108" s="64"/>
      <c r="E108" s="179"/>
      <c r="F108" s="179"/>
      <c r="G108" s="136"/>
      <c r="H108" s="136"/>
      <c r="I108" s="136"/>
      <c r="J108" s="136"/>
      <c r="K108" s="136"/>
      <c r="L108" s="136"/>
      <c r="M108" s="136"/>
    </row>
    <row r="109" spans="3:13" ht="12.75">
      <c r="C109" s="136"/>
      <c r="D109" s="64"/>
      <c r="E109" s="179"/>
      <c r="F109" s="179"/>
      <c r="G109" s="136"/>
      <c r="H109" s="136"/>
      <c r="I109" s="136"/>
      <c r="J109" s="136"/>
      <c r="K109" s="136"/>
      <c r="L109" s="136"/>
      <c r="M109" s="136"/>
    </row>
    <row r="110" spans="3:13" ht="12.75">
      <c r="C110" s="136"/>
      <c r="D110" s="64"/>
      <c r="E110" s="268"/>
      <c r="F110" s="179"/>
      <c r="G110" s="136"/>
      <c r="H110" s="66"/>
      <c r="I110" s="136"/>
      <c r="J110" s="136"/>
      <c r="K110" s="136"/>
      <c r="L110" s="136"/>
      <c r="M110" s="136"/>
    </row>
    <row r="111" spans="3:13" ht="12.75">
      <c r="C111" s="136"/>
      <c r="D111" s="64"/>
      <c r="E111" s="179"/>
      <c r="F111" s="179"/>
      <c r="G111" s="136"/>
      <c r="H111" s="136"/>
      <c r="I111" s="136"/>
      <c r="J111" s="136"/>
      <c r="K111" s="136"/>
      <c r="L111" s="136"/>
      <c r="M111" s="136"/>
    </row>
    <row r="112" spans="3:13" ht="12.75">
      <c r="C112" s="136"/>
      <c r="D112" s="64"/>
      <c r="E112" s="179"/>
      <c r="F112" s="179"/>
      <c r="G112" s="136"/>
      <c r="H112" s="136"/>
      <c r="I112" s="136"/>
      <c r="J112" s="136"/>
      <c r="K112" s="136"/>
      <c r="L112" s="136"/>
      <c r="M112" s="136"/>
    </row>
    <row r="113" spans="3:13" ht="12.75">
      <c r="C113" s="136"/>
      <c r="D113" s="64"/>
      <c r="E113" s="179"/>
      <c r="F113" s="179"/>
      <c r="G113" s="136"/>
      <c r="H113" s="136"/>
      <c r="I113" s="136"/>
      <c r="J113" s="136"/>
      <c r="K113" s="136"/>
      <c r="L113" s="136"/>
      <c r="M113" s="136"/>
    </row>
    <row r="114" spans="3:13" ht="12.75">
      <c r="C114" s="136"/>
      <c r="D114" s="64"/>
      <c r="E114" s="179"/>
      <c r="F114" s="179"/>
      <c r="G114" s="136"/>
      <c r="H114" s="136"/>
      <c r="I114" s="136"/>
      <c r="J114" s="136"/>
      <c r="K114" s="136"/>
      <c r="L114" s="136"/>
      <c r="M114" s="136"/>
    </row>
    <row r="115" spans="3:13" ht="12.75">
      <c r="C115" s="136"/>
      <c r="D115" s="64"/>
      <c r="E115" s="179"/>
      <c r="F115" s="179"/>
      <c r="G115" s="136"/>
      <c r="H115" s="136"/>
      <c r="I115" s="136"/>
      <c r="J115" s="136"/>
      <c r="K115" s="136"/>
      <c r="L115" s="136"/>
      <c r="M115" s="136"/>
    </row>
    <row r="116" spans="3:13" ht="12.75">
      <c r="C116" s="136"/>
      <c r="D116" s="64"/>
      <c r="E116" s="179"/>
      <c r="F116" s="179"/>
      <c r="G116" s="136"/>
      <c r="H116" s="136"/>
      <c r="I116" s="136"/>
      <c r="J116" s="136"/>
      <c r="K116" s="136"/>
      <c r="L116" s="136"/>
      <c r="M116" s="136"/>
    </row>
    <row r="117" spans="3:13" ht="12.75">
      <c r="C117" s="136"/>
      <c r="D117" s="64"/>
      <c r="E117" s="179"/>
      <c r="F117" s="179"/>
      <c r="G117" s="136"/>
      <c r="H117" s="136"/>
      <c r="I117" s="136"/>
      <c r="J117" s="136"/>
      <c r="K117" s="136"/>
      <c r="L117" s="136"/>
      <c r="M117" s="136"/>
    </row>
    <row r="118" spans="3:13" ht="12.75">
      <c r="C118" s="136"/>
      <c r="D118" s="64"/>
      <c r="E118" s="179"/>
      <c r="F118" s="179"/>
      <c r="G118" s="136"/>
      <c r="H118" s="136"/>
      <c r="I118" s="136"/>
      <c r="J118" s="136"/>
      <c r="K118" s="136"/>
      <c r="L118" s="136"/>
      <c r="M118" s="136"/>
    </row>
    <row r="119" spans="3:13" ht="12.75">
      <c r="C119" s="136"/>
      <c r="D119" s="64"/>
      <c r="E119" s="179"/>
      <c r="F119" s="179"/>
      <c r="G119" s="136"/>
      <c r="H119" s="136"/>
      <c r="I119" s="136"/>
      <c r="J119" s="136"/>
      <c r="K119" s="136"/>
      <c r="L119" s="136"/>
      <c r="M119" s="136"/>
    </row>
    <row r="120" spans="3:13" ht="12.75">
      <c r="C120" s="136"/>
      <c r="D120" s="64"/>
      <c r="E120" s="179"/>
      <c r="F120" s="179"/>
      <c r="G120" s="136"/>
      <c r="H120" s="136"/>
      <c r="I120" s="136"/>
      <c r="J120" s="136"/>
      <c r="K120" s="136"/>
      <c r="L120" s="136"/>
      <c r="M120" s="136"/>
    </row>
    <row r="121" spans="3:13" ht="12.75">
      <c r="C121" s="136"/>
      <c r="D121" s="64"/>
      <c r="E121" s="179"/>
      <c r="F121" s="179"/>
      <c r="G121" s="136"/>
      <c r="H121" s="136"/>
      <c r="I121" s="136"/>
      <c r="J121" s="136"/>
      <c r="K121" s="136"/>
      <c r="L121" s="136"/>
      <c r="M121" s="136"/>
    </row>
    <row r="122" spans="3:13" ht="12.75">
      <c r="C122" s="136"/>
      <c r="D122" s="64"/>
      <c r="E122" s="179"/>
      <c r="F122" s="179"/>
      <c r="G122" s="136"/>
      <c r="H122" s="136"/>
      <c r="I122" s="136"/>
      <c r="J122" s="136"/>
      <c r="K122" s="136"/>
      <c r="L122" s="136"/>
      <c r="M122" s="136"/>
    </row>
    <row r="123" spans="3:13" ht="12.75">
      <c r="C123" s="136"/>
      <c r="D123" s="64"/>
      <c r="E123" s="179"/>
      <c r="F123" s="179"/>
      <c r="G123" s="136"/>
      <c r="H123" s="136"/>
      <c r="I123" s="136"/>
      <c r="J123" s="136"/>
      <c r="K123" s="136"/>
      <c r="L123" s="136"/>
      <c r="M123" s="136"/>
    </row>
    <row r="124" spans="3:13" ht="12.75">
      <c r="C124" s="136"/>
      <c r="D124" s="64"/>
      <c r="E124" s="179"/>
      <c r="F124" s="179"/>
      <c r="G124" s="136"/>
      <c r="H124" s="136"/>
      <c r="I124" s="136"/>
      <c r="J124" s="136"/>
      <c r="K124" s="136"/>
      <c r="L124" s="136"/>
      <c r="M124" s="136"/>
    </row>
    <row r="125" spans="3:13" ht="12.75">
      <c r="C125" s="136"/>
      <c r="D125" s="64"/>
      <c r="E125" s="179"/>
      <c r="F125" s="179"/>
      <c r="G125" s="136"/>
      <c r="H125" s="136"/>
      <c r="I125" s="136"/>
      <c r="J125" s="136"/>
      <c r="K125" s="136"/>
      <c r="L125" s="136"/>
      <c r="M125" s="136"/>
    </row>
    <row r="126" spans="3:13" ht="12.75">
      <c r="C126" s="136"/>
      <c r="D126" s="64"/>
      <c r="E126" s="179"/>
      <c r="F126" s="179"/>
      <c r="G126" s="136"/>
      <c r="H126" s="136"/>
      <c r="I126" s="136"/>
      <c r="J126" s="136"/>
      <c r="K126" s="136"/>
      <c r="L126" s="136"/>
      <c r="M126" s="136"/>
    </row>
    <row r="127" spans="3:13" ht="12.75">
      <c r="C127" s="136"/>
      <c r="D127" s="64"/>
      <c r="E127" s="179"/>
      <c r="F127" s="179"/>
      <c r="G127" s="136"/>
      <c r="H127" s="136"/>
      <c r="I127" s="136"/>
      <c r="J127" s="136"/>
      <c r="K127" s="136"/>
      <c r="L127" s="136"/>
      <c r="M127" s="136"/>
    </row>
    <row r="128" spans="3:13" ht="12.75">
      <c r="C128" s="136"/>
      <c r="D128" s="64"/>
      <c r="E128" s="136"/>
      <c r="F128" s="136"/>
      <c r="G128" s="136"/>
      <c r="H128" s="136"/>
      <c r="I128" s="136"/>
      <c r="J128" s="136"/>
      <c r="K128" s="136"/>
      <c r="L128" s="136"/>
      <c r="M128" s="136"/>
    </row>
    <row r="129" spans="3:13" ht="12.75">
      <c r="C129" s="136"/>
      <c r="D129" s="64"/>
      <c r="E129" s="136"/>
      <c r="F129" s="136"/>
      <c r="G129" s="136"/>
      <c r="H129" s="136"/>
      <c r="I129" s="136"/>
      <c r="J129" s="136"/>
      <c r="K129" s="136"/>
      <c r="L129" s="136"/>
      <c r="M129" s="136"/>
    </row>
    <row r="130" spans="3:13" ht="12.75">
      <c r="C130" s="136"/>
      <c r="D130" s="64"/>
      <c r="E130" s="136"/>
      <c r="F130" s="136"/>
      <c r="G130" s="136"/>
      <c r="H130" s="136"/>
      <c r="I130" s="136"/>
      <c r="J130" s="136"/>
      <c r="K130" s="136"/>
      <c r="L130" s="136"/>
      <c r="M130" s="136"/>
    </row>
    <row r="131" spans="3:13" ht="12.75">
      <c r="C131" s="136"/>
      <c r="D131" s="64"/>
      <c r="E131" s="136"/>
      <c r="F131" s="136"/>
      <c r="G131" s="136"/>
      <c r="H131" s="136"/>
      <c r="I131" s="136"/>
      <c r="J131" s="136"/>
      <c r="K131" s="136"/>
      <c r="L131" s="136"/>
      <c r="M131" s="136"/>
    </row>
    <row r="132" spans="3:13" ht="12.75">
      <c r="C132" s="136"/>
      <c r="D132" s="64"/>
      <c r="E132" s="136"/>
      <c r="F132" s="136"/>
      <c r="G132" s="136"/>
      <c r="H132" s="136"/>
      <c r="I132" s="136"/>
      <c r="J132" s="136"/>
      <c r="K132" s="136"/>
      <c r="L132" s="136"/>
      <c r="M132" s="136"/>
    </row>
    <row r="133" spans="3:13" ht="12.75">
      <c r="C133" s="136"/>
      <c r="D133" s="64"/>
      <c r="E133" s="136"/>
      <c r="F133" s="136"/>
      <c r="G133" s="136"/>
      <c r="H133" s="136"/>
      <c r="I133" s="136"/>
      <c r="J133" s="136"/>
      <c r="K133" s="136"/>
      <c r="L133" s="136"/>
      <c r="M133" s="136"/>
    </row>
    <row r="134" spans="3:13" ht="12.75">
      <c r="C134" s="136"/>
      <c r="D134" s="64"/>
      <c r="E134" s="136"/>
      <c r="F134" s="136"/>
      <c r="G134" s="136"/>
      <c r="H134" s="136"/>
      <c r="I134" s="136"/>
      <c r="J134" s="136"/>
      <c r="K134" s="136"/>
      <c r="L134" s="136"/>
      <c r="M134" s="136"/>
    </row>
    <row r="135" spans="3:13" ht="12.75">
      <c r="C135" s="136"/>
      <c r="D135" s="64"/>
      <c r="E135" s="136"/>
      <c r="F135" s="136"/>
      <c r="G135" s="136"/>
      <c r="H135" s="136"/>
      <c r="I135" s="136"/>
      <c r="J135" s="136"/>
      <c r="K135" s="136"/>
      <c r="L135" s="136"/>
      <c r="M135" s="136"/>
    </row>
    <row r="136" spans="3:13" ht="12.75">
      <c r="C136" s="136"/>
      <c r="D136" s="64"/>
      <c r="E136" s="136"/>
      <c r="F136" s="136"/>
      <c r="G136" s="136"/>
      <c r="H136" s="136"/>
      <c r="I136" s="136"/>
      <c r="J136" s="136"/>
      <c r="K136" s="136"/>
      <c r="L136" s="136"/>
      <c r="M136" s="136"/>
    </row>
    <row r="137" spans="3:13" ht="12.75">
      <c r="C137" s="136"/>
      <c r="D137" s="64"/>
      <c r="E137" s="136"/>
      <c r="F137" s="136"/>
      <c r="G137" s="136"/>
      <c r="H137" s="136"/>
      <c r="I137" s="136"/>
      <c r="J137" s="136"/>
      <c r="K137" s="136"/>
      <c r="L137" s="136"/>
      <c r="M137" s="136"/>
    </row>
    <row r="138" spans="3:13" ht="12.75">
      <c r="C138" s="136"/>
      <c r="D138" s="64"/>
      <c r="E138" s="136"/>
      <c r="F138" s="136"/>
      <c r="G138" s="136"/>
      <c r="H138" s="136"/>
      <c r="I138" s="136"/>
      <c r="J138" s="136"/>
      <c r="K138" s="136"/>
      <c r="L138" s="136"/>
      <c r="M138" s="136"/>
    </row>
    <row r="139" spans="3:13" ht="12.75">
      <c r="C139" s="136"/>
      <c r="D139" s="64"/>
      <c r="E139" s="136"/>
      <c r="F139" s="136"/>
      <c r="G139" s="136"/>
      <c r="H139" s="136"/>
      <c r="I139" s="136"/>
      <c r="J139" s="136"/>
      <c r="K139" s="136"/>
      <c r="L139" s="136"/>
      <c r="M139" s="136"/>
    </row>
    <row r="140" spans="3:6" ht="12.75">
      <c r="C140" s="136"/>
      <c r="F140" s="136"/>
    </row>
    <row r="141" spans="3:6" ht="12.75">
      <c r="C141" s="136"/>
      <c r="F141" s="136"/>
    </row>
    <row r="142" spans="3:6" ht="12.75">
      <c r="C142" s="136"/>
      <c r="F142" s="136"/>
    </row>
    <row r="143" spans="3:6" ht="12.75">
      <c r="C143" s="136"/>
      <c r="F143" s="136"/>
    </row>
    <row r="144" spans="3:6" ht="12.75">
      <c r="C144" s="136"/>
      <c r="F144" s="136"/>
    </row>
    <row r="145" spans="3:6" ht="12.75">
      <c r="C145" s="136"/>
      <c r="F145" s="136"/>
    </row>
    <row r="146" spans="3:6" ht="12.75">
      <c r="C146" s="136"/>
      <c r="F146" s="136"/>
    </row>
    <row r="147" spans="3:6" ht="12.75">
      <c r="C147" s="136"/>
      <c r="F147" s="136"/>
    </row>
    <row r="148" spans="3:6" ht="12.75">
      <c r="C148" s="136"/>
      <c r="F148" s="136"/>
    </row>
    <row r="149" spans="3:6" ht="12.75">
      <c r="C149" s="136"/>
      <c r="F149" s="136"/>
    </row>
    <row r="150" spans="3:6" ht="12.75">
      <c r="C150" s="136"/>
      <c r="F150" s="136"/>
    </row>
    <row r="151" spans="3:6" ht="12.75">
      <c r="C151" s="136"/>
      <c r="F151" s="136"/>
    </row>
    <row r="152" spans="3:6" ht="12.75">
      <c r="C152" s="136"/>
      <c r="F152" s="136"/>
    </row>
    <row r="153" spans="3:6" ht="12.75">
      <c r="C153" s="136"/>
      <c r="F153" s="136"/>
    </row>
    <row r="154" spans="3:6" ht="12.75">
      <c r="C154" s="136"/>
      <c r="F154" s="136"/>
    </row>
    <row r="155" spans="3:6" ht="12.75">
      <c r="C155" s="136"/>
      <c r="F155" s="136"/>
    </row>
    <row r="156" spans="3:6" ht="12.75">
      <c r="C156" s="136"/>
      <c r="F156" s="136"/>
    </row>
    <row r="157" spans="3:6" ht="12.75">
      <c r="C157" s="136"/>
      <c r="F157" s="136"/>
    </row>
    <row r="158" spans="3:6" ht="12.75">
      <c r="C158" s="136"/>
      <c r="F158" s="136"/>
    </row>
    <row r="159" spans="3:6" ht="12.75">
      <c r="C159" s="136"/>
      <c r="F159" s="136"/>
    </row>
    <row r="160" spans="3:6" ht="12.75">
      <c r="C160" s="136"/>
      <c r="F160" s="136"/>
    </row>
    <row r="161" spans="3:6" ht="12.75">
      <c r="C161" s="136"/>
      <c r="F161" s="136"/>
    </row>
    <row r="162" spans="3:6" ht="12.75">
      <c r="C162" s="136"/>
      <c r="F162" s="136"/>
    </row>
    <row r="163" spans="3:6" ht="12.75">
      <c r="C163" s="136"/>
      <c r="F163" s="136"/>
    </row>
    <row r="164" spans="3:6" ht="12.75">
      <c r="C164" s="136"/>
      <c r="F164" s="136"/>
    </row>
    <row r="165" spans="3:6" ht="12.75">
      <c r="C165" s="136"/>
      <c r="F165" s="136"/>
    </row>
    <row r="166" spans="3:6" ht="12.75">
      <c r="C166" s="136"/>
      <c r="F166" s="136"/>
    </row>
    <row r="167" spans="3:6" ht="12.75">
      <c r="C167" s="136"/>
      <c r="F167" s="136"/>
    </row>
    <row r="168" spans="3:6" ht="12.75">
      <c r="C168" s="136"/>
      <c r="F168" s="136"/>
    </row>
    <row r="169" spans="3:6" ht="12.75">
      <c r="C169" s="136"/>
      <c r="F169" s="136"/>
    </row>
    <row r="170" spans="3:6" ht="12.75">
      <c r="C170" s="136"/>
      <c r="F170" s="136"/>
    </row>
    <row r="171" spans="3:6" ht="12.75">
      <c r="C171" s="136"/>
      <c r="F171" s="136"/>
    </row>
    <row r="172" spans="3:6" ht="12.75">
      <c r="C172" s="136"/>
      <c r="F172" s="136"/>
    </row>
    <row r="173" spans="3:6" ht="12.75">
      <c r="C173" s="136"/>
      <c r="F173" s="136"/>
    </row>
    <row r="174" spans="3:6" ht="12.75">
      <c r="C174" s="136"/>
      <c r="F174" s="136"/>
    </row>
    <row r="175" spans="3:6" ht="12.75">
      <c r="C175" s="136"/>
      <c r="F175" s="136"/>
    </row>
    <row r="176" spans="3:6" ht="12.75">
      <c r="C176" s="136"/>
      <c r="F176" s="136"/>
    </row>
    <row r="177" spans="3:8" ht="12.75">
      <c r="C177" s="269"/>
      <c r="D177" s="262"/>
      <c r="E177" s="269"/>
      <c r="F177" s="269"/>
      <c r="G177" s="269"/>
      <c r="H177" s="269">
        <f>SUM(H97:H175)</f>
        <v>0</v>
      </c>
    </row>
    <row r="178" spans="3:6" ht="12.75">
      <c r="C178" s="136"/>
      <c r="F178" s="136"/>
    </row>
    <row r="179" spans="3:6" ht="12.75">
      <c r="C179" s="136"/>
      <c r="F179" s="136"/>
    </row>
    <row r="180" spans="3:6" ht="12.75">
      <c r="C180" s="136"/>
      <c r="F180" s="136"/>
    </row>
    <row r="181" spans="3:6" ht="12.75">
      <c r="C181" s="136"/>
      <c r="F181" s="136"/>
    </row>
    <row r="182" spans="3:6" ht="12.75">
      <c r="C182" s="136"/>
      <c r="F182" s="136"/>
    </row>
    <row r="183" spans="3:6" ht="12.75">
      <c r="C183" s="136"/>
      <c r="F183" s="136"/>
    </row>
    <row r="184" spans="3:6" ht="12.75">
      <c r="C184" s="136"/>
      <c r="F184" s="136"/>
    </row>
    <row r="185" spans="3:6" ht="12.75">
      <c r="C185" s="136"/>
      <c r="F185" s="136"/>
    </row>
    <row r="186" spans="3:6" ht="12.75">
      <c r="C186" s="136"/>
      <c r="F186" s="136"/>
    </row>
    <row r="187" spans="3:6" ht="12.75">
      <c r="C187" s="136"/>
      <c r="F187" s="136"/>
    </row>
    <row r="188" spans="3:6" ht="12.75">
      <c r="C188" s="136"/>
      <c r="F188" s="136"/>
    </row>
    <row r="189" spans="3:6" ht="12.75">
      <c r="C189" s="136"/>
      <c r="F189" s="136"/>
    </row>
    <row r="190" spans="3:6" ht="12.75">
      <c r="C190" s="136"/>
      <c r="F190" s="136"/>
    </row>
    <row r="191" spans="3:6" ht="12.75">
      <c r="C191" s="136"/>
      <c r="F191" s="136"/>
    </row>
    <row r="192" spans="3:6" ht="12.75">
      <c r="C192" s="136"/>
      <c r="F192" s="136"/>
    </row>
    <row r="193" spans="3:6" ht="12.75">
      <c r="C193" s="136"/>
      <c r="F193" s="136"/>
    </row>
    <row r="194" spans="3:6" ht="12.75">
      <c r="C194" s="136"/>
      <c r="F194" s="136"/>
    </row>
    <row r="195" spans="3:6" ht="12.75">
      <c r="C195" s="136"/>
      <c r="F195" s="136"/>
    </row>
    <row r="196" spans="3:6" ht="12.75">
      <c r="C196" s="136"/>
      <c r="F196" s="136"/>
    </row>
    <row r="197" spans="3:6" ht="12.75">
      <c r="C197" s="136"/>
      <c r="F197" s="136"/>
    </row>
    <row r="198" spans="3:6" ht="12.75">
      <c r="C198" s="136"/>
      <c r="F198" s="136"/>
    </row>
    <row r="199" spans="3:6" ht="12.75">
      <c r="C199" s="136"/>
      <c r="F199" s="136"/>
    </row>
    <row r="200" spans="3:6" ht="12.75">
      <c r="C200" s="136"/>
      <c r="F200" s="136"/>
    </row>
    <row r="201" spans="3:6" ht="12.75">
      <c r="C201" s="270"/>
      <c r="F201" s="66"/>
    </row>
  </sheetData>
  <sheetProtection selectLockedCells="1" selectUnlockedCells="1"/>
  <mergeCells count="6">
    <mergeCell ref="C5:O5"/>
    <mergeCell ref="C6:O6"/>
    <mergeCell ref="C8:O8"/>
    <mergeCell ref="D10:H10"/>
    <mergeCell ref="I10:N10"/>
    <mergeCell ref="F89:F90"/>
  </mergeCells>
  <printOptions/>
  <pageMargins left="0.3937007874015748" right="0.3937007874015748" top="0.03937007874015748" bottom="0.03937007874015748" header="0.03937007874015748" footer="0.03937007874015748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O59"/>
  <sheetViews>
    <sheetView zoomScalePageLayoutView="0" workbookViewId="0" topLeftCell="A10">
      <selection activeCell="K17" sqref="K17"/>
    </sheetView>
  </sheetViews>
  <sheetFormatPr defaultColWidth="11.421875" defaultRowHeight="12.75"/>
  <cols>
    <col min="1" max="1" width="2.28125" style="0" customWidth="1"/>
    <col min="2" max="2" width="29.140625" style="0" customWidth="1"/>
    <col min="3" max="3" width="12.7109375" style="0" customWidth="1"/>
    <col min="4" max="4" width="12.28125" style="0" customWidth="1"/>
    <col min="5" max="5" width="11.28125" style="0" customWidth="1"/>
    <col min="6" max="7" width="12.7109375" style="0" customWidth="1"/>
    <col min="8" max="8" width="12.28125" style="0" customWidth="1"/>
    <col min="9" max="9" width="7.28125" style="0" customWidth="1"/>
    <col min="10" max="10" width="13.140625" style="0" customWidth="1"/>
    <col min="11" max="11" width="12.7109375" style="0" customWidth="1"/>
    <col min="12" max="12" width="2.00390625" style="0" customWidth="1"/>
    <col min="13" max="13" width="15.28125" style="271" customWidth="1"/>
    <col min="14" max="14" width="15.140625" style="271" customWidth="1"/>
    <col min="15" max="15" width="11.421875" style="271" customWidth="1"/>
  </cols>
  <sheetData>
    <row r="1" spans="1:12" ht="12.75">
      <c r="A1" s="70"/>
      <c r="B1" s="810"/>
      <c r="C1" s="811"/>
      <c r="D1" s="811"/>
      <c r="E1" s="811"/>
      <c r="F1" s="811"/>
      <c r="G1" s="811"/>
      <c r="H1" s="811"/>
      <c r="I1" s="811"/>
      <c r="J1" s="811"/>
      <c r="K1" s="935"/>
      <c r="L1" s="812"/>
    </row>
    <row r="2" spans="1:12" ht="12.75">
      <c r="A2" s="72"/>
      <c r="B2" s="1022" t="s">
        <v>581</v>
      </c>
      <c r="C2" s="1030"/>
      <c r="D2" s="1030"/>
      <c r="E2" s="1030"/>
      <c r="F2" s="1030"/>
      <c r="G2" s="1030"/>
      <c r="H2" s="1030"/>
      <c r="I2" s="1030"/>
      <c r="J2" s="1030"/>
      <c r="K2" s="1031"/>
      <c r="L2" s="813"/>
    </row>
    <row r="3" spans="1:12" ht="12.75">
      <c r="A3" s="72"/>
      <c r="B3" s="1032" t="s">
        <v>25</v>
      </c>
      <c r="C3" s="1033"/>
      <c r="D3" s="1033"/>
      <c r="E3" s="1033"/>
      <c r="F3" s="1033"/>
      <c r="G3" s="1033"/>
      <c r="H3" s="1033"/>
      <c r="I3" s="1033"/>
      <c r="J3" s="1033"/>
      <c r="K3" s="1034"/>
      <c r="L3" s="813"/>
    </row>
    <row r="4" spans="1:12" ht="12.75">
      <c r="A4" s="72"/>
      <c r="B4" s="814"/>
      <c r="C4" s="272"/>
      <c r="D4" s="272"/>
      <c r="E4" s="272"/>
      <c r="F4" s="272"/>
      <c r="G4" s="272"/>
      <c r="H4" s="272"/>
      <c r="I4" s="272"/>
      <c r="J4" s="272"/>
      <c r="K4" s="937"/>
      <c r="L4" s="813"/>
    </row>
    <row r="5" spans="1:12" ht="12.75">
      <c r="A5" s="72"/>
      <c r="B5" s="815"/>
      <c r="C5" s="272"/>
      <c r="D5" s="272"/>
      <c r="E5" s="272"/>
      <c r="F5" s="272"/>
      <c r="G5" s="272"/>
      <c r="H5" s="272"/>
      <c r="I5" s="272"/>
      <c r="J5" s="272"/>
      <c r="K5" s="937" t="s">
        <v>157</v>
      </c>
      <c r="L5" s="813"/>
    </row>
    <row r="6" spans="1:12" ht="15">
      <c r="A6" s="72"/>
      <c r="B6" s="1019" t="s">
        <v>158</v>
      </c>
      <c r="C6" s="1035"/>
      <c r="D6" s="1035"/>
      <c r="E6" s="1035"/>
      <c r="F6" s="1035"/>
      <c r="G6" s="1035"/>
      <c r="H6" s="1035"/>
      <c r="I6" s="1035"/>
      <c r="J6" s="1035"/>
      <c r="K6" s="1036"/>
      <c r="L6" s="813"/>
    </row>
    <row r="7" spans="1:12" ht="12.75">
      <c r="A7" s="72"/>
      <c r="B7" s="815"/>
      <c r="C7" s="272"/>
      <c r="D7" s="272"/>
      <c r="E7" s="272"/>
      <c r="F7" s="272"/>
      <c r="G7" s="272"/>
      <c r="H7" s="272"/>
      <c r="I7" s="272"/>
      <c r="J7" s="272"/>
      <c r="K7" s="937"/>
      <c r="L7" s="813"/>
    </row>
    <row r="8" spans="1:12" ht="12.75">
      <c r="A8" s="72"/>
      <c r="B8" s="815"/>
      <c r="C8" s="272"/>
      <c r="D8" s="272"/>
      <c r="E8" s="272"/>
      <c r="F8" s="272"/>
      <c r="G8" s="272"/>
      <c r="H8" s="272"/>
      <c r="I8" s="272"/>
      <c r="J8" s="272"/>
      <c r="K8" s="937"/>
      <c r="L8" s="813"/>
    </row>
    <row r="9" spans="1:12" ht="12.75">
      <c r="A9" s="72"/>
      <c r="B9" s="816"/>
      <c r="C9" s="272"/>
      <c r="D9" s="272"/>
      <c r="E9" s="272"/>
      <c r="F9" s="272"/>
      <c r="G9" s="272"/>
      <c r="H9" s="272"/>
      <c r="I9" s="272"/>
      <c r="J9" s="272"/>
      <c r="K9" s="937"/>
      <c r="L9" s="813"/>
    </row>
    <row r="10" spans="1:12" ht="12.75">
      <c r="A10" s="72"/>
      <c r="B10" s="817"/>
      <c r="C10" s="1037" t="s">
        <v>159</v>
      </c>
      <c r="D10" s="1038"/>
      <c r="E10" s="1038"/>
      <c r="F10" s="1039"/>
      <c r="G10" s="1037" t="s">
        <v>160</v>
      </c>
      <c r="H10" s="1038"/>
      <c r="I10" s="1038"/>
      <c r="J10" s="1039"/>
      <c r="K10" s="938"/>
      <c r="L10" s="813"/>
    </row>
    <row r="11" spans="1:12" ht="12.75">
      <c r="A11" s="72"/>
      <c r="B11" s="818"/>
      <c r="C11" s="276" t="s">
        <v>161</v>
      </c>
      <c r="D11" s="273"/>
      <c r="E11" s="273"/>
      <c r="F11" s="276" t="s">
        <v>161</v>
      </c>
      <c r="G11" s="276" t="s">
        <v>119</v>
      </c>
      <c r="H11" s="276"/>
      <c r="I11" s="273"/>
      <c r="J11" s="276" t="s">
        <v>119</v>
      </c>
      <c r="K11" s="939"/>
      <c r="L11" s="813"/>
    </row>
    <row r="12" spans="1:12" ht="12.75">
      <c r="A12" s="72"/>
      <c r="B12" s="819" t="s">
        <v>162</v>
      </c>
      <c r="C12" s="277" t="s">
        <v>163</v>
      </c>
      <c r="D12" s="275"/>
      <c r="E12" s="275"/>
      <c r="F12" s="277" t="s">
        <v>164</v>
      </c>
      <c r="G12" s="277" t="s">
        <v>114</v>
      </c>
      <c r="H12" s="277" t="s">
        <v>120</v>
      </c>
      <c r="I12" s="275"/>
      <c r="J12" s="277" t="s">
        <v>118</v>
      </c>
      <c r="K12" s="940"/>
      <c r="L12" s="813"/>
    </row>
    <row r="13" spans="1:12" ht="12.75">
      <c r="A13" s="72"/>
      <c r="B13" s="818"/>
      <c r="C13" s="277" t="s">
        <v>122</v>
      </c>
      <c r="D13" s="277" t="s">
        <v>165</v>
      </c>
      <c r="E13" s="277" t="s">
        <v>166</v>
      </c>
      <c r="F13" s="277" t="s">
        <v>122</v>
      </c>
      <c r="G13" s="277" t="s">
        <v>120</v>
      </c>
      <c r="H13" s="277" t="s">
        <v>167</v>
      </c>
      <c r="I13" s="277" t="s">
        <v>116</v>
      </c>
      <c r="J13" s="277" t="s">
        <v>120</v>
      </c>
      <c r="K13" s="936" t="s">
        <v>92</v>
      </c>
      <c r="L13" s="813"/>
    </row>
    <row r="14" spans="1:12" ht="12.75">
      <c r="A14" s="72"/>
      <c r="B14" s="820"/>
      <c r="C14" s="279" t="s">
        <v>125</v>
      </c>
      <c r="D14" s="278"/>
      <c r="E14" s="278"/>
      <c r="F14" s="279" t="s">
        <v>125</v>
      </c>
      <c r="G14" s="279" t="s">
        <v>125</v>
      </c>
      <c r="H14" s="279"/>
      <c r="I14" s="278"/>
      <c r="J14" s="279" t="s">
        <v>125</v>
      </c>
      <c r="K14" s="941" t="s">
        <v>124</v>
      </c>
      <c r="L14" s="813"/>
    </row>
    <row r="15" spans="1:12" ht="12.75">
      <c r="A15" s="72"/>
      <c r="B15" s="818"/>
      <c r="C15" s="277"/>
      <c r="D15" s="275"/>
      <c r="E15" s="275"/>
      <c r="F15" s="277"/>
      <c r="G15" s="277"/>
      <c r="H15" s="277"/>
      <c r="I15" s="275"/>
      <c r="J15" s="277"/>
      <c r="K15" s="936"/>
      <c r="L15" s="813"/>
    </row>
    <row r="16" spans="1:12" ht="12.75">
      <c r="A16" s="72"/>
      <c r="B16" s="821" t="s">
        <v>127</v>
      </c>
      <c r="C16" s="280"/>
      <c r="D16" s="280"/>
      <c r="E16" s="280"/>
      <c r="F16" s="280"/>
      <c r="G16" s="280"/>
      <c r="H16" s="280"/>
      <c r="I16" s="280"/>
      <c r="J16" s="280"/>
      <c r="K16" s="942"/>
      <c r="L16" s="813"/>
    </row>
    <row r="17" spans="1:13" ht="12.75">
      <c r="A17" s="72"/>
      <c r="B17" s="720" t="s">
        <v>168</v>
      </c>
      <c r="C17" s="281">
        <v>54104002</v>
      </c>
      <c r="D17" s="281">
        <v>0</v>
      </c>
      <c r="E17" s="281">
        <v>0</v>
      </c>
      <c r="F17" s="281">
        <f aca="true" t="shared" si="0" ref="F17:F22">+C17+D17-E17</f>
        <v>54104002</v>
      </c>
      <c r="G17" s="281">
        <v>54104002</v>
      </c>
      <c r="H17" s="281">
        <v>0</v>
      </c>
      <c r="I17" s="281">
        <v>0</v>
      </c>
      <c r="J17" s="281">
        <f aca="true" t="shared" si="1" ref="J17:J22">+G17+H17-I17</f>
        <v>54104002</v>
      </c>
      <c r="K17" s="943">
        <f aca="true" t="shared" si="2" ref="K17:K22">+F17-J17</f>
        <v>0</v>
      </c>
      <c r="L17" s="813"/>
      <c r="M17" s="135"/>
    </row>
    <row r="18" spans="1:12" ht="12.75">
      <c r="A18" s="72"/>
      <c r="B18" s="720" t="s">
        <v>169</v>
      </c>
      <c r="C18" s="281">
        <v>43068550</v>
      </c>
      <c r="D18" s="281">
        <v>0</v>
      </c>
      <c r="E18" s="281">
        <v>0</v>
      </c>
      <c r="F18" s="281">
        <f t="shared" si="0"/>
        <v>43068550</v>
      </c>
      <c r="G18" s="281">
        <v>43068550</v>
      </c>
      <c r="H18" s="281">
        <v>0</v>
      </c>
      <c r="I18" s="281">
        <v>0</v>
      </c>
      <c r="J18" s="281">
        <f t="shared" si="1"/>
        <v>43068550</v>
      </c>
      <c r="K18" s="943">
        <f t="shared" si="2"/>
        <v>0</v>
      </c>
      <c r="L18" s="813"/>
    </row>
    <row r="19" spans="1:13" ht="12.75">
      <c r="A19" s="72"/>
      <c r="B19" s="720" t="s">
        <v>170</v>
      </c>
      <c r="C19" s="281">
        <v>2634371699</v>
      </c>
      <c r="D19" s="281">
        <f>4256000+12151566+553713+562278+896933+579097+579097+579097+10017000+2872756+1147284+8906310+15666750+4417000+160165026+571824+571824+1143648+2265477+2876688+4357500+565915+565915+70736744+43890028+7067051+549096+4270000+6414020+2468733+10967422+40412972+224399+1270494+224399+1270494+224399+1270494+224399+1270494+1270494+224399+1270494+448860+2540989+224399+1270494+224399+1270494+4487000+2553031+450988+1023388+1154658+65500990+6432756+1136301+1031433+2327407+2585145+456660+584559+684958+3877717+1753741+4501000+2581131+455951+1167367+1290565+583651+227944+124276+590913+63957600+4532500+1180075+2609230+460915+230425+590005+1304615+587736+229539+1299597+123799+5218460+2360085+921830+4550000+20399040+229362+1298594+587282+1298594+587282+229362+587282+8590909+1529136+1175536+1529136+587736</f>
        <v>674118550</v>
      </c>
      <c r="E19" s="281">
        <v>0</v>
      </c>
      <c r="F19" s="281">
        <f>+C19+D19-E19</f>
        <v>3308490249</v>
      </c>
      <c r="G19" s="281">
        <v>1307085500</v>
      </c>
      <c r="H19" s="281">
        <v>517863395</v>
      </c>
      <c r="I19" s="281">
        <v>0</v>
      </c>
      <c r="J19" s="281">
        <f>+G19+H19-I19</f>
        <v>1824948895</v>
      </c>
      <c r="K19" s="943">
        <f t="shared" si="2"/>
        <v>1483541354</v>
      </c>
      <c r="L19" s="813"/>
      <c r="M19" s="135"/>
    </row>
    <row r="20" spans="1:13" ht="12.75">
      <c r="A20" s="72"/>
      <c r="B20" s="720" t="s">
        <v>171</v>
      </c>
      <c r="C20" s="282">
        <v>2515626978</v>
      </c>
      <c r="D20" s="282">
        <f>3488102+11136364+11136364+11136364+11136364+95635500+11136364+11136364+6361873+18181818+13636364+18181818+13636364+11363636</f>
        <v>247303659</v>
      </c>
      <c r="E20" s="282">
        <v>0</v>
      </c>
      <c r="F20" s="281">
        <f t="shared" si="0"/>
        <v>2762930637</v>
      </c>
      <c r="G20" s="282">
        <v>1184883312</v>
      </c>
      <c r="H20" s="281">
        <v>597908044</v>
      </c>
      <c r="I20" s="282">
        <v>0</v>
      </c>
      <c r="J20" s="281">
        <f t="shared" si="1"/>
        <v>1782791356</v>
      </c>
      <c r="K20" s="943">
        <f t="shared" si="2"/>
        <v>980139281</v>
      </c>
      <c r="L20" s="813"/>
      <c r="M20" s="135"/>
    </row>
    <row r="21" spans="1:14" ht="12.75">
      <c r="A21" s="72"/>
      <c r="B21" s="720" t="s">
        <v>172</v>
      </c>
      <c r="C21" s="282">
        <v>264297427</v>
      </c>
      <c r="D21" s="282">
        <f>5765482+38457600+10254610+4530857+1628750+20446260</f>
        <v>81083559</v>
      </c>
      <c r="E21" s="282">
        <v>0</v>
      </c>
      <c r="F21" s="281">
        <f t="shared" si="0"/>
        <v>345380986</v>
      </c>
      <c r="G21" s="282">
        <v>113198288</v>
      </c>
      <c r="H21" s="281">
        <v>64961517</v>
      </c>
      <c r="I21" s="282">
        <v>0</v>
      </c>
      <c r="J21" s="281">
        <f t="shared" si="1"/>
        <v>178159805</v>
      </c>
      <c r="K21" s="943">
        <f t="shared" si="2"/>
        <v>167221181</v>
      </c>
      <c r="L21" s="813"/>
      <c r="M21" s="135"/>
      <c r="N21" s="135"/>
    </row>
    <row r="22" spans="1:14" ht="12.75">
      <c r="A22" s="72"/>
      <c r="B22" s="720" t="s">
        <v>173</v>
      </c>
      <c r="C22" s="282">
        <v>342316500</v>
      </c>
      <c r="D22" s="282">
        <v>0</v>
      </c>
      <c r="E22" s="282">
        <v>0</v>
      </c>
      <c r="F22" s="281">
        <f t="shared" si="0"/>
        <v>342316500</v>
      </c>
      <c r="G22" s="282">
        <v>276383865</v>
      </c>
      <c r="H22" s="281">
        <v>57768552</v>
      </c>
      <c r="I22" s="282">
        <v>0</v>
      </c>
      <c r="J22" s="281">
        <f t="shared" si="1"/>
        <v>334152417</v>
      </c>
      <c r="K22" s="943">
        <f t="shared" si="2"/>
        <v>8164083</v>
      </c>
      <c r="L22" s="813"/>
      <c r="M22" s="135"/>
      <c r="N22" s="135"/>
    </row>
    <row r="23" spans="1:14" ht="12.75">
      <c r="A23" s="72"/>
      <c r="B23" s="720"/>
      <c r="C23" s="281"/>
      <c r="D23" s="281"/>
      <c r="E23" s="281"/>
      <c r="F23" s="281"/>
      <c r="G23" s="281"/>
      <c r="H23" s="281"/>
      <c r="I23" s="281"/>
      <c r="J23" s="281"/>
      <c r="K23" s="943"/>
      <c r="L23" s="813"/>
      <c r="N23" s="135"/>
    </row>
    <row r="24" spans="1:14" ht="12.75">
      <c r="A24" s="72"/>
      <c r="B24" s="822" t="s">
        <v>144</v>
      </c>
      <c r="C24" s="281"/>
      <c r="D24" s="281"/>
      <c r="E24" s="281"/>
      <c r="F24" s="281"/>
      <c r="G24" s="281"/>
      <c r="H24" s="281"/>
      <c r="I24" s="281"/>
      <c r="J24" s="281"/>
      <c r="K24" s="943"/>
      <c r="L24" s="813"/>
      <c r="N24" s="135"/>
    </row>
    <row r="25" spans="1:14" ht="12.75">
      <c r="A25" s="72"/>
      <c r="B25" s="720" t="s">
        <v>174</v>
      </c>
      <c r="C25" s="281">
        <v>599465</v>
      </c>
      <c r="D25" s="282">
        <v>0</v>
      </c>
      <c r="E25" s="282">
        <v>0</v>
      </c>
      <c r="F25" s="281">
        <f>+C25+D25-E25</f>
        <v>599465</v>
      </c>
      <c r="G25" s="282">
        <v>599465</v>
      </c>
      <c r="H25" s="281">
        <v>0</v>
      </c>
      <c r="I25" s="282">
        <v>0</v>
      </c>
      <c r="J25" s="281">
        <f>+G25+H25-I25</f>
        <v>599465</v>
      </c>
      <c r="K25" s="943">
        <f>+F25-J25</f>
        <v>0</v>
      </c>
      <c r="L25" s="813"/>
      <c r="N25" s="135"/>
    </row>
    <row r="26" spans="1:14" ht="12.75">
      <c r="A26" s="72"/>
      <c r="B26" s="720" t="s">
        <v>170</v>
      </c>
      <c r="C26" s="281">
        <v>14269091</v>
      </c>
      <c r="D26" s="282">
        <v>0</v>
      </c>
      <c r="E26" s="282">
        <v>0</v>
      </c>
      <c r="F26" s="281">
        <f>+C26+D26-E26</f>
        <v>14269091</v>
      </c>
      <c r="G26" s="282">
        <v>12750341</v>
      </c>
      <c r="H26" s="281">
        <v>552273</v>
      </c>
      <c r="I26" s="282">
        <v>0</v>
      </c>
      <c r="J26" s="281">
        <f>+G26+H26-I26</f>
        <v>13302614</v>
      </c>
      <c r="K26" s="943">
        <f>+F26-J26</f>
        <v>966477</v>
      </c>
      <c r="L26" s="813"/>
      <c r="N26" s="135"/>
    </row>
    <row r="27" spans="1:14" ht="12.75">
      <c r="A27" s="72"/>
      <c r="B27" s="823"/>
      <c r="C27" s="280"/>
      <c r="D27" s="280"/>
      <c r="E27" s="280"/>
      <c r="F27" s="280"/>
      <c r="G27" s="280"/>
      <c r="H27" s="280"/>
      <c r="I27" s="280"/>
      <c r="J27" s="280"/>
      <c r="K27" s="942"/>
      <c r="L27" s="813"/>
      <c r="N27" s="135"/>
    </row>
    <row r="28" spans="1:14" ht="12.75">
      <c r="A28" s="72"/>
      <c r="B28" s="824" t="s">
        <v>582</v>
      </c>
      <c r="C28" s="283">
        <f aca="true" t="shared" si="3" ref="C28:I28">SUM(C17:C27)</f>
        <v>5868653712</v>
      </c>
      <c r="D28" s="283">
        <f t="shared" si="3"/>
        <v>1002505768</v>
      </c>
      <c r="E28" s="283">
        <f t="shared" si="3"/>
        <v>0</v>
      </c>
      <c r="F28" s="283">
        <f t="shared" si="3"/>
        <v>6871159480</v>
      </c>
      <c r="G28" s="283">
        <f t="shared" si="3"/>
        <v>2992073323</v>
      </c>
      <c r="H28" s="283">
        <f t="shared" si="3"/>
        <v>1239053781</v>
      </c>
      <c r="I28" s="283">
        <f t="shared" si="3"/>
        <v>0</v>
      </c>
      <c r="J28" s="283">
        <f>SUM(J17:J27)</f>
        <v>4231127104</v>
      </c>
      <c r="K28" s="944">
        <f>SUM(K16:K27)</f>
        <v>2640032376</v>
      </c>
      <c r="L28" s="813"/>
      <c r="M28" s="135"/>
      <c r="N28" s="682"/>
    </row>
    <row r="29" spans="1:15" s="69" customFormat="1" ht="12.75">
      <c r="A29" s="72"/>
      <c r="B29" s="945" t="s">
        <v>547</v>
      </c>
      <c r="C29" s="946">
        <v>4342408034</v>
      </c>
      <c r="D29" s="946">
        <v>1526245678</v>
      </c>
      <c r="E29" s="946">
        <v>0</v>
      </c>
      <c r="F29" s="946">
        <v>5868653712</v>
      </c>
      <c r="G29" s="946">
        <v>1997562930</v>
      </c>
      <c r="H29" s="946">
        <v>994510393</v>
      </c>
      <c r="I29" s="946">
        <v>0</v>
      </c>
      <c r="J29" s="946">
        <v>2992073323</v>
      </c>
      <c r="K29" s="947">
        <v>2876580389</v>
      </c>
      <c r="L29" s="813"/>
      <c r="M29" s="284"/>
      <c r="N29" s="284"/>
      <c r="O29" s="284"/>
    </row>
    <row r="30" spans="1:13" ht="12.75">
      <c r="A30" s="72"/>
      <c r="B30" s="825"/>
      <c r="C30" s="258"/>
      <c r="D30" s="285"/>
      <c r="E30" s="258"/>
      <c r="F30" s="258"/>
      <c r="G30" s="258"/>
      <c r="H30" s="258"/>
      <c r="I30" s="258"/>
      <c r="J30" s="258"/>
      <c r="K30" s="285"/>
      <c r="L30" s="813"/>
      <c r="M30" s="135"/>
    </row>
    <row r="31" spans="1:12" ht="12.75">
      <c r="A31" s="72"/>
      <c r="B31" s="825"/>
      <c r="C31" s="258"/>
      <c r="D31" s="258"/>
      <c r="E31" s="258"/>
      <c r="F31" s="258"/>
      <c r="G31" s="258"/>
      <c r="H31" s="258"/>
      <c r="I31" s="258"/>
      <c r="J31" s="258"/>
      <c r="K31" s="285"/>
      <c r="L31" s="813"/>
    </row>
    <row r="32" spans="1:12" ht="12.75">
      <c r="A32" s="72"/>
      <c r="B32" s="825"/>
      <c r="C32" s="258"/>
      <c r="D32" s="258"/>
      <c r="E32" s="258"/>
      <c r="F32" s="258"/>
      <c r="G32" s="258"/>
      <c r="H32" s="258"/>
      <c r="I32" s="258"/>
      <c r="J32" s="258"/>
      <c r="K32" s="285"/>
      <c r="L32" s="813"/>
    </row>
    <row r="33" spans="1:12" ht="12.75">
      <c r="A33" s="286"/>
      <c r="B33" s="826"/>
      <c r="C33" s="827"/>
      <c r="D33" s="827"/>
      <c r="E33" s="827"/>
      <c r="F33" s="827"/>
      <c r="G33" s="827"/>
      <c r="H33" s="827"/>
      <c r="I33" s="827"/>
      <c r="J33" s="827"/>
      <c r="K33" s="827"/>
      <c r="L33" s="828"/>
    </row>
    <row r="35" ht="12.75">
      <c r="K35" s="69"/>
    </row>
    <row r="37" spans="8:15" ht="12.75">
      <c r="H37" s="87"/>
      <c r="J37" s="271"/>
      <c r="K37" s="271"/>
      <c r="L37" s="271"/>
      <c r="M37"/>
      <c r="N37"/>
      <c r="O37"/>
    </row>
    <row r="38" spans="10:15" ht="12.75">
      <c r="J38" s="271"/>
      <c r="K38" s="271"/>
      <c r="L38" s="271"/>
      <c r="M38"/>
      <c r="N38"/>
      <c r="O38"/>
    </row>
    <row r="39" spans="10:15" ht="12.75">
      <c r="J39" s="271"/>
      <c r="K39" s="271"/>
      <c r="L39" s="271"/>
      <c r="M39"/>
      <c r="N39"/>
      <c r="O39"/>
    </row>
    <row r="40" spans="10:15" ht="12.75">
      <c r="J40" s="271"/>
      <c r="K40" s="271"/>
      <c r="L40" s="271"/>
      <c r="M40"/>
      <c r="N40"/>
      <c r="O40"/>
    </row>
    <row r="41" spans="10:15" ht="12.75">
      <c r="J41" s="271"/>
      <c r="K41" s="271"/>
      <c r="L41" s="271"/>
      <c r="M41"/>
      <c r="N41"/>
      <c r="O41"/>
    </row>
    <row r="42" spans="10:15" ht="12.75">
      <c r="J42" s="271"/>
      <c r="K42" s="271"/>
      <c r="L42" s="271"/>
      <c r="M42"/>
      <c r="N42"/>
      <c r="O42"/>
    </row>
    <row r="43" spans="10:15" ht="12.75">
      <c r="J43" s="271"/>
      <c r="K43" s="271"/>
      <c r="L43" s="271"/>
      <c r="M43"/>
      <c r="N43"/>
      <c r="O43"/>
    </row>
    <row r="44" spans="10:15" ht="12.75">
      <c r="J44" s="271"/>
      <c r="K44" s="271"/>
      <c r="L44" s="271"/>
      <c r="M44"/>
      <c r="N44"/>
      <c r="O44"/>
    </row>
    <row r="45" spans="10:15" ht="12.75">
      <c r="J45" s="271"/>
      <c r="K45" s="271"/>
      <c r="L45" s="271"/>
      <c r="M45"/>
      <c r="N45"/>
      <c r="O45"/>
    </row>
    <row r="46" spans="10:15" ht="12.75">
      <c r="J46" s="271"/>
      <c r="K46" s="271"/>
      <c r="L46" s="271"/>
      <c r="M46"/>
      <c r="N46"/>
      <c r="O46"/>
    </row>
    <row r="47" spans="10:15" ht="12.75" customHeight="1">
      <c r="J47" s="271"/>
      <c r="K47" s="271"/>
      <c r="L47" s="271"/>
      <c r="M47"/>
      <c r="N47"/>
      <c r="O47"/>
    </row>
    <row r="48" spans="10:15" ht="12.75" customHeight="1">
      <c r="J48" s="271"/>
      <c r="K48" s="271"/>
      <c r="L48" s="271"/>
      <c r="M48"/>
      <c r="N48"/>
      <c r="O48"/>
    </row>
    <row r="49" spans="10:15" ht="12.75">
      <c r="J49" s="271"/>
      <c r="K49" s="271"/>
      <c r="L49" s="271"/>
      <c r="M49"/>
      <c r="N49"/>
      <c r="O49"/>
    </row>
    <row r="50" spans="10:15" ht="12.75">
      <c r="J50" s="271"/>
      <c r="K50" s="271"/>
      <c r="L50" s="271"/>
      <c r="M50"/>
      <c r="N50"/>
      <c r="O50"/>
    </row>
    <row r="51" spans="10:15" ht="12.75">
      <c r="J51" s="271"/>
      <c r="K51" s="271"/>
      <c r="L51" s="271"/>
      <c r="M51"/>
      <c r="N51"/>
      <c r="O51"/>
    </row>
    <row r="52" spans="10:15" ht="12.75">
      <c r="J52" s="271"/>
      <c r="K52" s="271"/>
      <c r="L52" s="271"/>
      <c r="M52"/>
      <c r="N52"/>
      <c r="O52"/>
    </row>
    <row r="53" spans="10:15" ht="12.75">
      <c r="J53" s="271"/>
      <c r="K53" s="271"/>
      <c r="L53" s="271"/>
      <c r="M53"/>
      <c r="N53"/>
      <c r="O53"/>
    </row>
    <row r="54" spans="10:15" ht="12.75">
      <c r="J54" s="271"/>
      <c r="K54" s="271"/>
      <c r="L54" s="271"/>
      <c r="M54"/>
      <c r="N54"/>
      <c r="O54"/>
    </row>
    <row r="55" spans="10:15" ht="12.75">
      <c r="J55" s="271"/>
      <c r="K55" s="271"/>
      <c r="L55" s="271"/>
      <c r="M55"/>
      <c r="N55"/>
      <c r="O55"/>
    </row>
    <row r="56" spans="10:15" ht="12.75">
      <c r="J56" s="271"/>
      <c r="K56" s="271"/>
      <c r="L56" s="271"/>
      <c r="M56"/>
      <c r="N56"/>
      <c r="O56"/>
    </row>
    <row r="57" spans="10:15" ht="12.75">
      <c r="J57" s="271"/>
      <c r="K57" s="271"/>
      <c r="L57" s="271"/>
      <c r="M57"/>
      <c r="N57"/>
      <c r="O57"/>
    </row>
    <row r="58" spans="10:15" ht="12.75">
      <c r="J58" s="271"/>
      <c r="K58" s="271"/>
      <c r="L58" s="271"/>
      <c r="M58"/>
      <c r="N58"/>
      <c r="O58"/>
    </row>
    <row r="59" spans="10:15" ht="12.75">
      <c r="J59" s="271"/>
      <c r="K59" s="271"/>
      <c r="L59" s="271"/>
      <c r="M59"/>
      <c r="N59"/>
      <c r="O59"/>
    </row>
  </sheetData>
  <sheetProtection selectLockedCells="1" selectUnlockedCells="1"/>
  <mergeCells count="5">
    <mergeCell ref="B2:K2"/>
    <mergeCell ref="B3:K3"/>
    <mergeCell ref="B6:K6"/>
    <mergeCell ref="C10:F10"/>
    <mergeCell ref="G10:J10"/>
  </mergeCells>
  <printOptions/>
  <pageMargins left="0.7874015748031497" right="2.362204724409449" top="1.5748031496062993" bottom="1.5748031496062993" header="0.5118110236220472" footer="0.5118110236220472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Q166"/>
  <sheetViews>
    <sheetView zoomScalePageLayoutView="0" workbookViewId="0" topLeftCell="A8">
      <selection activeCell="H36" sqref="H36"/>
    </sheetView>
  </sheetViews>
  <sheetFormatPr defaultColWidth="11.421875" defaultRowHeight="12.75"/>
  <cols>
    <col min="1" max="1" width="1.8515625" style="0" customWidth="1"/>
    <col min="2" max="2" width="31.00390625" style="0" customWidth="1"/>
    <col min="3" max="3" width="8.57421875" style="0" customWidth="1"/>
    <col min="4" max="5" width="9.00390625" style="0" customWidth="1"/>
    <col min="6" max="6" width="12.7109375" style="0" customWidth="1"/>
    <col min="7" max="7" width="9.140625" style="0" customWidth="1"/>
    <col min="8" max="8" width="13.421875" style="69" customWidth="1"/>
    <col min="9" max="9" width="8.7109375" style="0" customWidth="1"/>
    <col min="10" max="10" width="8.28125" style="0" customWidth="1"/>
    <col min="11" max="11" width="8.8515625" style="0" customWidth="1"/>
    <col min="12" max="12" width="8.57421875" style="0" customWidth="1"/>
    <col min="13" max="13" width="9.28125" style="0" customWidth="1"/>
    <col min="14" max="14" width="10.7109375" style="0" customWidth="1"/>
    <col min="15" max="15" width="2.140625" style="0" customWidth="1"/>
  </cols>
  <sheetData>
    <row r="1" spans="1:15" ht="12.75">
      <c r="A1" s="287"/>
      <c r="B1" s="829"/>
      <c r="C1" s="830"/>
      <c r="D1" s="830"/>
      <c r="E1" s="830"/>
      <c r="F1" s="830"/>
      <c r="G1" s="830"/>
      <c r="H1" s="811"/>
      <c r="I1" s="830"/>
      <c r="J1" s="830"/>
      <c r="K1" s="830"/>
      <c r="L1" s="830"/>
      <c r="M1" s="830"/>
      <c r="N1" s="948"/>
      <c r="O1" s="831"/>
    </row>
    <row r="2" spans="1:15" ht="12.75">
      <c r="A2" s="180"/>
      <c r="B2" s="1040" t="s">
        <v>580</v>
      </c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2"/>
      <c r="O2" s="832"/>
    </row>
    <row r="3" spans="1:15" ht="12.75">
      <c r="A3" s="180"/>
      <c r="B3" s="1043" t="s">
        <v>25</v>
      </c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5"/>
      <c r="O3" s="832"/>
    </row>
    <row r="4" spans="1:15" ht="12.75">
      <c r="A4" s="180"/>
      <c r="B4" s="833"/>
      <c r="C4" s="289"/>
      <c r="D4" s="289"/>
      <c r="E4" s="289"/>
      <c r="F4" s="289"/>
      <c r="G4" s="289"/>
      <c r="H4" s="272"/>
      <c r="I4" s="289"/>
      <c r="J4" s="289"/>
      <c r="K4" s="289"/>
      <c r="L4" s="289"/>
      <c r="M4" s="289"/>
      <c r="N4" s="949" t="s">
        <v>175</v>
      </c>
      <c r="O4" s="832"/>
    </row>
    <row r="5" spans="1:15" ht="12.75">
      <c r="A5" s="180"/>
      <c r="B5" s="833"/>
      <c r="C5" s="289"/>
      <c r="D5" s="289"/>
      <c r="E5" s="289"/>
      <c r="F5" s="289"/>
      <c r="G5" s="289"/>
      <c r="H5" s="272"/>
      <c r="I5" s="289"/>
      <c r="J5" s="289"/>
      <c r="K5" s="289"/>
      <c r="L5" s="289"/>
      <c r="M5" s="289"/>
      <c r="N5" s="949"/>
      <c r="O5" s="832"/>
    </row>
    <row r="6" spans="1:15" ht="15">
      <c r="A6" s="180"/>
      <c r="B6" s="1046" t="s">
        <v>176</v>
      </c>
      <c r="C6" s="1047"/>
      <c r="D6" s="1047"/>
      <c r="E6" s="1047"/>
      <c r="F6" s="1047"/>
      <c r="G6" s="1047"/>
      <c r="H6" s="1047"/>
      <c r="I6" s="1047"/>
      <c r="J6" s="1047"/>
      <c r="K6" s="1047"/>
      <c r="L6" s="1047"/>
      <c r="M6" s="1047"/>
      <c r="N6" s="1048"/>
      <c r="O6" s="832"/>
    </row>
    <row r="7" spans="1:17" ht="15">
      <c r="A7" s="180"/>
      <c r="B7" s="1046" t="s">
        <v>177</v>
      </c>
      <c r="C7" s="1047"/>
      <c r="D7" s="1047"/>
      <c r="E7" s="1047"/>
      <c r="F7" s="1047"/>
      <c r="G7" s="1047"/>
      <c r="H7" s="1047"/>
      <c r="I7" s="1047"/>
      <c r="J7" s="1047"/>
      <c r="K7" s="1047"/>
      <c r="L7" s="1047"/>
      <c r="M7" s="1047"/>
      <c r="N7" s="1048"/>
      <c r="O7" s="832"/>
      <c r="Q7" s="87"/>
    </row>
    <row r="8" spans="1:17" ht="12.75">
      <c r="A8" s="180"/>
      <c r="B8" s="834"/>
      <c r="C8" s="289"/>
      <c r="D8" s="289"/>
      <c r="E8" s="289"/>
      <c r="F8" s="289"/>
      <c r="G8" s="289"/>
      <c r="H8" s="272"/>
      <c r="I8" s="289"/>
      <c r="J8" s="289"/>
      <c r="K8" s="289"/>
      <c r="L8" s="289"/>
      <c r="M8" s="289"/>
      <c r="N8" s="949"/>
      <c r="O8" s="832"/>
      <c r="Q8" s="87"/>
    </row>
    <row r="9" spans="1:17" ht="12.75">
      <c r="A9" s="180"/>
      <c r="B9" s="835" t="s">
        <v>178</v>
      </c>
      <c r="C9" s="290"/>
      <c r="D9" s="290"/>
      <c r="E9" s="290"/>
      <c r="F9" s="290"/>
      <c r="G9" s="290"/>
      <c r="H9" s="291"/>
      <c r="I9" s="290"/>
      <c r="J9" s="1049" t="s">
        <v>179</v>
      </c>
      <c r="K9" s="1049"/>
      <c r="L9" s="1049"/>
      <c r="M9" s="1049"/>
      <c r="N9" s="1050"/>
      <c r="O9" s="836"/>
      <c r="Q9" s="87"/>
    </row>
    <row r="10" spans="1:17" ht="12.75">
      <c r="A10" s="180"/>
      <c r="B10" s="837" t="s">
        <v>180</v>
      </c>
      <c r="C10" s="292"/>
      <c r="D10" s="292" t="s">
        <v>181</v>
      </c>
      <c r="E10" s="292"/>
      <c r="F10" s="292" t="s">
        <v>181</v>
      </c>
      <c r="G10" s="292" t="s">
        <v>181</v>
      </c>
      <c r="H10" s="153" t="s">
        <v>181</v>
      </c>
      <c r="I10" s="292" t="s">
        <v>182</v>
      </c>
      <c r="J10" s="290"/>
      <c r="K10" s="290"/>
      <c r="L10" s="290"/>
      <c r="M10" s="1051" t="s">
        <v>183</v>
      </c>
      <c r="N10" s="1052"/>
      <c r="O10" s="836"/>
      <c r="Q10" s="87"/>
    </row>
    <row r="11" spans="1:17" ht="12.75">
      <c r="A11" s="180"/>
      <c r="B11" s="837" t="s">
        <v>184</v>
      </c>
      <c r="C11" s="292" t="s">
        <v>185</v>
      </c>
      <c r="D11" s="292" t="s">
        <v>186</v>
      </c>
      <c r="E11" s="292" t="s">
        <v>187</v>
      </c>
      <c r="F11" s="292" t="s">
        <v>186</v>
      </c>
      <c r="G11" s="292" t="s">
        <v>188</v>
      </c>
      <c r="H11" s="153" t="s">
        <v>189</v>
      </c>
      <c r="I11" s="292" t="s">
        <v>81</v>
      </c>
      <c r="J11" s="292" t="s">
        <v>190</v>
      </c>
      <c r="K11" s="292" t="s">
        <v>191</v>
      </c>
      <c r="L11" s="293"/>
      <c r="M11" s="294"/>
      <c r="N11" s="950"/>
      <c r="O11" s="836"/>
      <c r="Q11" s="87"/>
    </row>
    <row r="12" spans="1:17" ht="12.75">
      <c r="A12" s="180"/>
      <c r="B12" s="838" t="s">
        <v>192</v>
      </c>
      <c r="C12" s="295"/>
      <c r="D12" s="295" t="s">
        <v>193</v>
      </c>
      <c r="E12" s="295"/>
      <c r="F12" s="295" t="s">
        <v>76</v>
      </c>
      <c r="G12" s="295" t="s">
        <v>194</v>
      </c>
      <c r="H12" s="164" t="s">
        <v>195</v>
      </c>
      <c r="I12" s="295" t="s">
        <v>196</v>
      </c>
      <c r="J12" s="295" t="s">
        <v>197</v>
      </c>
      <c r="K12" s="295" t="s">
        <v>198</v>
      </c>
      <c r="L12" s="295" t="s">
        <v>77</v>
      </c>
      <c r="M12" s="296" t="s">
        <v>199</v>
      </c>
      <c r="N12" s="951" t="s">
        <v>200</v>
      </c>
      <c r="O12" s="836"/>
      <c r="Q12" s="87"/>
    </row>
    <row r="13" spans="1:17" ht="12.75">
      <c r="A13" s="180"/>
      <c r="B13" s="839"/>
      <c r="C13" s="297"/>
      <c r="D13" s="297"/>
      <c r="E13" s="297"/>
      <c r="F13" s="297"/>
      <c r="G13" s="297"/>
      <c r="H13" s="143"/>
      <c r="I13" s="297"/>
      <c r="J13" s="297"/>
      <c r="K13" s="297"/>
      <c r="L13" s="297"/>
      <c r="M13" s="297"/>
      <c r="N13" s="952"/>
      <c r="O13" s="836"/>
      <c r="Q13" s="87"/>
    </row>
    <row r="14" spans="1:15" ht="15" customHeight="1">
      <c r="A14" s="180"/>
      <c r="B14" s="840" t="s">
        <v>9</v>
      </c>
      <c r="C14" s="299"/>
      <c r="D14" s="299"/>
      <c r="E14" s="299"/>
      <c r="F14" s="300"/>
      <c r="G14" s="300"/>
      <c r="H14" s="158"/>
      <c r="I14" s="299"/>
      <c r="J14" s="299"/>
      <c r="K14" s="299"/>
      <c r="L14" s="299"/>
      <c r="M14" s="299"/>
      <c r="N14" s="953"/>
      <c r="O14" s="836"/>
    </row>
    <row r="15" spans="1:15" ht="15" customHeight="1" hidden="1">
      <c r="A15" s="180"/>
      <c r="B15" s="841" t="s">
        <v>201</v>
      </c>
      <c r="C15" s="299">
        <v>0</v>
      </c>
      <c r="D15" s="299">
        <v>0</v>
      </c>
      <c r="E15" s="299">
        <v>0</v>
      </c>
      <c r="F15" s="301">
        <v>0</v>
      </c>
      <c r="G15" s="300"/>
      <c r="H15" s="301">
        <f aca="true" t="shared" si="0" ref="H15:H20">SUM(C15:G15)</f>
        <v>0</v>
      </c>
      <c r="I15" s="299"/>
      <c r="J15" s="299"/>
      <c r="K15" s="299"/>
      <c r="L15" s="299"/>
      <c r="M15" s="299"/>
      <c r="N15" s="953"/>
      <c r="O15" s="836"/>
    </row>
    <row r="16" spans="1:15" ht="15" customHeight="1" hidden="1">
      <c r="A16" s="180"/>
      <c r="B16" s="841" t="s">
        <v>202</v>
      </c>
      <c r="C16" s="299">
        <v>0</v>
      </c>
      <c r="D16" s="299">
        <v>0</v>
      </c>
      <c r="E16" s="299">
        <v>0</v>
      </c>
      <c r="F16" s="301">
        <v>0</v>
      </c>
      <c r="G16" s="300"/>
      <c r="H16" s="301">
        <f t="shared" si="0"/>
        <v>0</v>
      </c>
      <c r="I16" s="299"/>
      <c r="J16" s="299"/>
      <c r="K16" s="299"/>
      <c r="L16" s="299"/>
      <c r="M16" s="299"/>
      <c r="N16" s="953"/>
      <c r="O16" s="836"/>
    </row>
    <row r="17" spans="1:15" ht="15" customHeight="1" hidden="1">
      <c r="A17" s="180"/>
      <c r="B17" s="841" t="s">
        <v>203</v>
      </c>
      <c r="C17" s="299">
        <v>0</v>
      </c>
      <c r="D17" s="299">
        <v>0</v>
      </c>
      <c r="E17" s="299">
        <v>0</v>
      </c>
      <c r="F17" s="301">
        <v>0</v>
      </c>
      <c r="G17" s="300"/>
      <c r="H17" s="301">
        <f t="shared" si="0"/>
        <v>0</v>
      </c>
      <c r="I17" s="299"/>
      <c r="J17" s="299"/>
      <c r="K17" s="299"/>
      <c r="L17" s="299"/>
      <c r="M17" s="299"/>
      <c r="N17" s="953"/>
      <c r="O17" s="836"/>
    </row>
    <row r="18" spans="1:15" ht="15" customHeight="1" hidden="1">
      <c r="A18" s="180"/>
      <c r="B18" s="841" t="s">
        <v>204</v>
      </c>
      <c r="C18" s="299">
        <v>0</v>
      </c>
      <c r="D18" s="299">
        <v>0</v>
      </c>
      <c r="E18" s="299">
        <v>0</v>
      </c>
      <c r="F18" s="301">
        <v>0</v>
      </c>
      <c r="G18" s="300"/>
      <c r="H18" s="301">
        <f t="shared" si="0"/>
        <v>0</v>
      </c>
      <c r="I18" s="299"/>
      <c r="J18" s="299"/>
      <c r="K18" s="299"/>
      <c r="L18" s="299"/>
      <c r="M18" s="299"/>
      <c r="N18" s="953"/>
      <c r="O18" s="836"/>
    </row>
    <row r="19" spans="1:15" ht="15" customHeight="1">
      <c r="A19" s="180"/>
      <c r="B19" s="841" t="s">
        <v>205</v>
      </c>
      <c r="C19" s="299">
        <v>0</v>
      </c>
      <c r="D19" s="299">
        <v>0</v>
      </c>
      <c r="E19" s="299">
        <v>0</v>
      </c>
      <c r="F19" s="301">
        <v>13354381956</v>
      </c>
      <c r="G19" s="300">
        <v>0</v>
      </c>
      <c r="H19" s="301">
        <f t="shared" si="0"/>
        <v>13354381956</v>
      </c>
      <c r="I19" s="299">
        <v>0</v>
      </c>
      <c r="J19" s="299">
        <v>0</v>
      </c>
      <c r="K19" s="299">
        <v>0</v>
      </c>
      <c r="L19" s="299">
        <v>0</v>
      </c>
      <c r="M19" s="299">
        <v>0</v>
      </c>
      <c r="N19" s="953">
        <v>0</v>
      </c>
      <c r="O19" s="836"/>
    </row>
    <row r="20" spans="1:15" ht="15" customHeight="1">
      <c r="A20" s="180"/>
      <c r="B20" s="841" t="s">
        <v>553</v>
      </c>
      <c r="C20" s="299">
        <v>0</v>
      </c>
      <c r="D20" s="299">
        <v>0</v>
      </c>
      <c r="E20" s="299">
        <v>0</v>
      </c>
      <c r="F20" s="301">
        <v>30921600000</v>
      </c>
      <c r="G20" s="300">
        <v>0</v>
      </c>
      <c r="H20" s="301">
        <f t="shared" si="0"/>
        <v>30921600000</v>
      </c>
      <c r="I20" s="299"/>
      <c r="J20" s="299"/>
      <c r="K20" s="299"/>
      <c r="L20" s="299"/>
      <c r="M20" s="299"/>
      <c r="N20" s="953"/>
      <c r="O20" s="836"/>
    </row>
    <row r="21" spans="1:15" ht="15" customHeight="1">
      <c r="A21" s="180"/>
      <c r="B21" s="841"/>
      <c r="C21" s="299"/>
      <c r="D21" s="299"/>
      <c r="E21" s="299"/>
      <c r="F21" s="301"/>
      <c r="G21" s="300"/>
      <c r="H21" s="301"/>
      <c r="I21" s="299"/>
      <c r="J21" s="299"/>
      <c r="K21" s="299"/>
      <c r="L21" s="299"/>
      <c r="M21" s="299"/>
      <c r="N21" s="953"/>
      <c r="O21" s="836"/>
    </row>
    <row r="22" spans="1:15" ht="15" customHeight="1">
      <c r="A22" s="180"/>
      <c r="B22" s="840" t="s">
        <v>207</v>
      </c>
      <c r="C22" s="302">
        <f aca="true" t="shared" si="1" ref="C22:N22">SUM(C15:C20)</f>
        <v>0</v>
      </c>
      <c r="D22" s="302">
        <f t="shared" si="1"/>
        <v>0</v>
      </c>
      <c r="E22" s="302">
        <f t="shared" si="1"/>
        <v>0</v>
      </c>
      <c r="F22" s="303">
        <f t="shared" si="1"/>
        <v>44275981956</v>
      </c>
      <c r="G22" s="303">
        <f t="shared" si="1"/>
        <v>0</v>
      </c>
      <c r="H22" s="303">
        <f t="shared" si="1"/>
        <v>44275981956</v>
      </c>
      <c r="I22" s="302">
        <f t="shared" si="1"/>
        <v>0</v>
      </c>
      <c r="J22" s="302">
        <f t="shared" si="1"/>
        <v>0</v>
      </c>
      <c r="K22" s="302">
        <f t="shared" si="1"/>
        <v>0</v>
      </c>
      <c r="L22" s="302">
        <f t="shared" si="1"/>
        <v>0</v>
      </c>
      <c r="M22" s="302">
        <f t="shared" si="1"/>
        <v>0</v>
      </c>
      <c r="N22" s="954">
        <f t="shared" si="1"/>
        <v>0</v>
      </c>
      <c r="O22" s="836"/>
    </row>
    <row r="23" spans="1:15" ht="15" customHeight="1">
      <c r="A23" s="180"/>
      <c r="B23" s="840"/>
      <c r="C23" s="298"/>
      <c r="D23" s="298"/>
      <c r="E23" s="298"/>
      <c r="F23" s="304"/>
      <c r="G23" s="304"/>
      <c r="H23" s="170"/>
      <c r="I23" s="298"/>
      <c r="J23" s="298"/>
      <c r="K23" s="298"/>
      <c r="L23" s="298"/>
      <c r="M23" s="298"/>
      <c r="N23" s="955"/>
      <c r="O23" s="836"/>
    </row>
    <row r="24" spans="1:15" ht="15" customHeight="1">
      <c r="A24" s="180"/>
      <c r="B24" s="840" t="s">
        <v>208</v>
      </c>
      <c r="C24" s="299"/>
      <c r="D24" s="299"/>
      <c r="E24" s="299"/>
      <c r="F24" s="305"/>
      <c r="G24" s="306"/>
      <c r="H24" s="301"/>
      <c r="I24" s="299"/>
      <c r="J24" s="299"/>
      <c r="K24" s="299"/>
      <c r="L24" s="299"/>
      <c r="M24" s="299"/>
      <c r="N24" s="953"/>
      <c r="O24" s="836"/>
    </row>
    <row r="25" spans="1:15" ht="7.5" customHeight="1">
      <c r="A25" s="180"/>
      <c r="B25" s="840"/>
      <c r="C25" s="299"/>
      <c r="D25" s="299"/>
      <c r="E25" s="299"/>
      <c r="F25" s="305"/>
      <c r="G25" s="306"/>
      <c r="H25" s="301"/>
      <c r="I25" s="299"/>
      <c r="J25" s="299"/>
      <c r="K25" s="299"/>
      <c r="L25" s="299"/>
      <c r="M25" s="299"/>
      <c r="N25" s="953"/>
      <c r="O25" s="836"/>
    </row>
    <row r="26" spans="1:15" ht="15" customHeight="1">
      <c r="A26" s="180"/>
      <c r="B26" s="840" t="s">
        <v>207</v>
      </c>
      <c r="C26" s="307">
        <f>+C25</f>
        <v>0</v>
      </c>
      <c r="D26" s="307">
        <f>+D25</f>
        <v>0</v>
      </c>
      <c r="E26" s="307">
        <f>+E25</f>
        <v>0</v>
      </c>
      <c r="F26" s="307">
        <f>+F25</f>
        <v>0</v>
      </c>
      <c r="G26" s="303"/>
      <c r="H26" s="308">
        <f aca="true" t="shared" si="2" ref="H26:N26">+H25</f>
        <v>0</v>
      </c>
      <c r="I26" s="307">
        <f t="shared" si="2"/>
        <v>0</v>
      </c>
      <c r="J26" s="307">
        <f t="shared" si="2"/>
        <v>0</v>
      </c>
      <c r="K26" s="307">
        <f t="shared" si="2"/>
        <v>0</v>
      </c>
      <c r="L26" s="307">
        <f t="shared" si="2"/>
        <v>0</v>
      </c>
      <c r="M26" s="307">
        <f t="shared" si="2"/>
        <v>0</v>
      </c>
      <c r="N26" s="956">
        <f t="shared" si="2"/>
        <v>0</v>
      </c>
      <c r="O26" s="836"/>
    </row>
    <row r="27" spans="1:15" ht="15" customHeight="1">
      <c r="A27" s="180"/>
      <c r="B27" s="841"/>
      <c r="C27" s="299"/>
      <c r="D27" s="299"/>
      <c r="E27" s="299"/>
      <c r="F27" s="305"/>
      <c r="G27" s="306"/>
      <c r="H27" s="301"/>
      <c r="I27" s="309"/>
      <c r="J27" s="309"/>
      <c r="K27" s="309"/>
      <c r="L27" s="309"/>
      <c r="M27" s="309"/>
      <c r="N27" s="957"/>
      <c r="O27" s="836"/>
    </row>
    <row r="28" spans="1:16" ht="15" customHeight="1">
      <c r="A28" s="180"/>
      <c r="B28" s="842" t="s">
        <v>582</v>
      </c>
      <c r="C28" s="310"/>
      <c r="D28" s="310"/>
      <c r="E28" s="310"/>
      <c r="F28" s="311"/>
      <c r="G28" s="312" t="s">
        <v>631</v>
      </c>
      <c r="H28" s="313">
        <f>+H26+H22</f>
        <v>44275981956</v>
      </c>
      <c r="I28" s="314"/>
      <c r="J28" s="314"/>
      <c r="K28" s="314"/>
      <c r="L28" s="314"/>
      <c r="M28" s="314"/>
      <c r="N28" s="958"/>
      <c r="O28" s="843"/>
      <c r="P28" s="82"/>
    </row>
    <row r="29" spans="1:16" ht="15" customHeight="1">
      <c r="A29" s="180"/>
      <c r="B29" s="844" t="s">
        <v>547</v>
      </c>
      <c r="C29" s="315"/>
      <c r="D29" s="316"/>
      <c r="E29" s="316"/>
      <c r="F29" s="189"/>
      <c r="G29" s="317"/>
      <c r="H29" s="313">
        <v>53427204160</v>
      </c>
      <c r="I29" s="316"/>
      <c r="J29" s="317"/>
      <c r="K29" s="316"/>
      <c r="L29" s="316"/>
      <c r="M29" s="316"/>
      <c r="N29" s="885"/>
      <c r="O29" s="843"/>
      <c r="P29" s="82"/>
    </row>
    <row r="30" spans="1:16" ht="15" customHeight="1">
      <c r="A30" s="180"/>
      <c r="B30" s="845" t="s">
        <v>632</v>
      </c>
      <c r="C30" s="315"/>
      <c r="D30" s="316"/>
      <c r="E30" s="316"/>
      <c r="F30" s="189"/>
      <c r="G30" s="317"/>
      <c r="H30" s="194"/>
      <c r="I30" s="316"/>
      <c r="J30" s="317"/>
      <c r="K30" s="316"/>
      <c r="L30" s="316"/>
      <c r="M30" s="316"/>
      <c r="N30" s="885"/>
      <c r="O30" s="843"/>
      <c r="P30" s="82"/>
    </row>
    <row r="31" spans="1:16" ht="15" customHeight="1">
      <c r="A31" s="180"/>
      <c r="B31" s="846"/>
      <c r="C31" s="315"/>
      <c r="D31" s="316"/>
      <c r="E31" s="316"/>
      <c r="F31" s="189"/>
      <c r="G31" s="317"/>
      <c r="H31" s="194"/>
      <c r="I31" s="316"/>
      <c r="J31" s="317"/>
      <c r="K31" s="316"/>
      <c r="L31" s="316"/>
      <c r="M31" s="316"/>
      <c r="N31" s="885"/>
      <c r="O31" s="843"/>
      <c r="P31" s="82"/>
    </row>
    <row r="32" spans="1:15" ht="15" customHeight="1">
      <c r="A32" s="180"/>
      <c r="B32" s="839"/>
      <c r="C32" s="319"/>
      <c r="D32" s="320"/>
      <c r="E32" s="321"/>
      <c r="F32" s="321"/>
      <c r="G32" s="321"/>
      <c r="H32" s="161"/>
      <c r="I32" s="320"/>
      <c r="J32" s="320"/>
      <c r="K32" s="320"/>
      <c r="L32" s="320"/>
      <c r="M32" s="320"/>
      <c r="N32" s="959"/>
      <c r="O32" s="836"/>
    </row>
    <row r="33" spans="1:15" ht="15" customHeight="1">
      <c r="A33" s="180"/>
      <c r="B33" s="841" t="s">
        <v>209</v>
      </c>
      <c r="C33" s="322"/>
      <c r="D33" s="322"/>
      <c r="E33" s="322"/>
      <c r="F33" s="322"/>
      <c r="G33" s="322"/>
      <c r="H33" s="148"/>
      <c r="I33" s="322"/>
      <c r="J33" s="322"/>
      <c r="K33" s="322"/>
      <c r="L33" s="322"/>
      <c r="M33" s="322"/>
      <c r="N33" s="960"/>
      <c r="O33" s="836"/>
    </row>
    <row r="34" spans="1:15" ht="15" customHeight="1">
      <c r="A34" s="180"/>
      <c r="B34" s="841" t="s">
        <v>210</v>
      </c>
      <c r="C34" s="322"/>
      <c r="D34" s="322">
        <v>0</v>
      </c>
      <c r="E34" s="322">
        <v>0</v>
      </c>
      <c r="F34" s="168">
        <v>32213537431</v>
      </c>
      <c r="G34" s="323">
        <v>0</v>
      </c>
      <c r="H34" s="301">
        <f>+F34</f>
        <v>32213537431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961">
        <v>0</v>
      </c>
      <c r="O34" s="836"/>
    </row>
    <row r="35" spans="1:15" ht="15" customHeight="1">
      <c r="A35" s="180"/>
      <c r="B35" s="847"/>
      <c r="C35" s="324"/>
      <c r="D35" s="324"/>
      <c r="E35" s="324"/>
      <c r="F35" s="324"/>
      <c r="G35" s="324"/>
      <c r="H35" s="163"/>
      <c r="I35" s="324"/>
      <c r="J35" s="324"/>
      <c r="K35" s="324"/>
      <c r="L35" s="324"/>
      <c r="M35" s="324"/>
      <c r="N35" s="962"/>
      <c r="O35" s="836"/>
    </row>
    <row r="36" spans="1:15" ht="15" customHeight="1">
      <c r="A36" s="180"/>
      <c r="B36" s="842" t="s">
        <v>582</v>
      </c>
      <c r="C36" s="310"/>
      <c r="D36" s="310"/>
      <c r="E36" s="310"/>
      <c r="F36" s="311"/>
      <c r="G36" s="312"/>
      <c r="H36" s="318">
        <f>SUM(H34:H35)</f>
        <v>32213537431</v>
      </c>
      <c r="I36" s="314"/>
      <c r="J36" s="314"/>
      <c r="K36" s="314"/>
      <c r="L36" s="314"/>
      <c r="M36" s="314"/>
      <c r="N36" s="958"/>
      <c r="O36" s="836"/>
    </row>
    <row r="37" spans="1:15" ht="15" customHeight="1">
      <c r="A37" s="180"/>
      <c r="B37" s="844" t="s">
        <v>547</v>
      </c>
      <c r="C37" s="315"/>
      <c r="D37" s="316"/>
      <c r="E37" s="316"/>
      <c r="F37" s="189"/>
      <c r="G37" s="317"/>
      <c r="H37" s="318">
        <v>15780918418</v>
      </c>
      <c r="I37" s="316"/>
      <c r="J37" s="317"/>
      <c r="K37" s="316"/>
      <c r="L37" s="316"/>
      <c r="M37" s="316"/>
      <c r="N37" s="885"/>
      <c r="O37" s="836"/>
    </row>
    <row r="38" spans="1:15" ht="15" customHeight="1">
      <c r="A38" s="325"/>
      <c r="B38" s="848"/>
      <c r="C38" s="849"/>
      <c r="D38" s="850"/>
      <c r="E38" s="850"/>
      <c r="F38" s="851"/>
      <c r="G38" s="668"/>
      <c r="H38" s="852"/>
      <c r="I38" s="850"/>
      <c r="J38" s="668"/>
      <c r="K38" s="850"/>
      <c r="L38" s="850"/>
      <c r="M38" s="850"/>
      <c r="N38" s="963"/>
      <c r="O38" s="853"/>
    </row>
    <row r="40" ht="12.75">
      <c r="F40" s="3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spans="6:8" ht="12.75">
      <c r="F133" s="69"/>
      <c r="H133"/>
    </row>
    <row r="134" spans="6:8" ht="12.75">
      <c r="F134" s="69"/>
      <c r="H134"/>
    </row>
    <row r="135" spans="6:8" ht="12.75">
      <c r="F135" s="69"/>
      <c r="H135"/>
    </row>
    <row r="136" spans="6:8" ht="12.75">
      <c r="F136" s="69"/>
      <c r="H136"/>
    </row>
    <row r="137" spans="6:8" ht="12.75">
      <c r="F137" s="69"/>
      <c r="H137"/>
    </row>
    <row r="138" spans="6:8" ht="12.75">
      <c r="F138" s="69"/>
      <c r="H138"/>
    </row>
    <row r="139" spans="6:8" ht="12.75">
      <c r="F139" s="69"/>
      <c r="H139"/>
    </row>
    <row r="140" spans="6:8" ht="12.75">
      <c r="F140" s="69"/>
      <c r="H140"/>
    </row>
    <row r="141" spans="6:8" ht="12.75">
      <c r="F141" s="69"/>
      <c r="H141"/>
    </row>
    <row r="142" spans="6:8" ht="12.75">
      <c r="F142" s="69"/>
      <c r="H142"/>
    </row>
    <row r="143" spans="6:8" ht="12.75">
      <c r="F143" s="69"/>
      <c r="H143"/>
    </row>
    <row r="144" spans="6:8" ht="12.75">
      <c r="F144" s="69"/>
      <c r="H144"/>
    </row>
    <row r="145" spans="6:8" ht="12.75">
      <c r="F145" s="69"/>
      <c r="H145"/>
    </row>
    <row r="146" spans="6:8" ht="12.75">
      <c r="F146" s="69"/>
      <c r="H146"/>
    </row>
    <row r="147" spans="6:8" ht="12.75">
      <c r="F147" s="69"/>
      <c r="H147"/>
    </row>
    <row r="148" spans="6:8" ht="12.75">
      <c r="F148" s="69"/>
      <c r="H148"/>
    </row>
    <row r="149" spans="6:8" ht="12.75">
      <c r="F149" s="69"/>
      <c r="H149"/>
    </row>
    <row r="150" spans="6:8" ht="12.75">
      <c r="F150" s="69"/>
      <c r="H150"/>
    </row>
    <row r="151" spans="6:8" ht="12.75">
      <c r="F151" s="69"/>
      <c r="H151"/>
    </row>
    <row r="152" spans="6:8" ht="12.75">
      <c r="F152" s="69"/>
      <c r="H152"/>
    </row>
    <row r="153" spans="6:8" ht="12.75">
      <c r="F153" s="69"/>
      <c r="H153"/>
    </row>
    <row r="154" spans="6:8" ht="12.75">
      <c r="F154" s="69"/>
      <c r="H154"/>
    </row>
    <row r="155" spans="6:8" ht="12.75">
      <c r="F155" s="69"/>
      <c r="H155"/>
    </row>
    <row r="156" spans="6:8" ht="12.75">
      <c r="F156" s="69"/>
      <c r="H156"/>
    </row>
    <row r="157" spans="6:8" ht="12.75">
      <c r="F157" s="69"/>
      <c r="H157"/>
    </row>
    <row r="158" spans="6:8" ht="12.75">
      <c r="F158" s="69"/>
      <c r="H158"/>
    </row>
    <row r="159" spans="6:8" ht="12.75">
      <c r="F159" s="69"/>
      <c r="H159"/>
    </row>
    <row r="160" spans="6:8" ht="12.75">
      <c r="F160" s="69"/>
      <c r="H160"/>
    </row>
    <row r="161" spans="6:8" ht="12.75">
      <c r="F161" s="69"/>
      <c r="H161"/>
    </row>
    <row r="162" spans="6:8" ht="12.75">
      <c r="F162" s="69"/>
      <c r="H162"/>
    </row>
    <row r="163" spans="6:8" ht="12.75">
      <c r="F163" s="69"/>
      <c r="H163"/>
    </row>
    <row r="164" spans="6:8" ht="12.75">
      <c r="F164" s="69"/>
      <c r="H164"/>
    </row>
    <row r="165" spans="6:8" ht="12.75">
      <c r="F165" s="69"/>
      <c r="H165"/>
    </row>
    <row r="166" spans="6:8" ht="12.75">
      <c r="F166" s="69"/>
      <c r="H166"/>
    </row>
  </sheetData>
  <sheetProtection selectLockedCells="1" selectUnlockedCells="1"/>
  <mergeCells count="6">
    <mergeCell ref="B2:N2"/>
    <mergeCell ref="B3:N3"/>
    <mergeCell ref="B6:N6"/>
    <mergeCell ref="B7:N7"/>
    <mergeCell ref="J9:N9"/>
    <mergeCell ref="M10:N10"/>
  </mergeCells>
  <printOptions/>
  <pageMargins left="0.984251968503937" right="2.362204724409449" top="1.5748031496062993" bottom="1.5748031496062993" header="0.5118110236220472" footer="0.5118110236220472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I87"/>
  <sheetViews>
    <sheetView zoomScalePageLayoutView="0" workbookViewId="0" topLeftCell="A56">
      <selection activeCell="G72" sqref="G72"/>
    </sheetView>
  </sheetViews>
  <sheetFormatPr defaultColWidth="11.421875" defaultRowHeight="12.75"/>
  <cols>
    <col min="1" max="1" width="2.28125" style="0" customWidth="1"/>
    <col min="2" max="2" width="75.57421875" style="0" customWidth="1"/>
    <col min="3" max="3" width="13.7109375" style="595" customWidth="1"/>
    <col min="4" max="4" width="12.7109375" style="69" customWidth="1"/>
    <col min="5" max="5" width="10.28125" style="0" customWidth="1"/>
    <col min="6" max="6" width="14.7109375" style="0" customWidth="1"/>
    <col min="7" max="7" width="14.8515625" style="69" customWidth="1"/>
    <col min="8" max="8" width="6.140625" style="0" customWidth="1"/>
    <col min="9" max="9" width="12.7109375" style="0" customWidth="1"/>
    <col min="10" max="10" width="16.421875" style="87" customWidth="1"/>
  </cols>
  <sheetData>
    <row r="1" spans="1:8" ht="12.75">
      <c r="A1" s="327"/>
      <c r="B1" s="1053" t="s">
        <v>580</v>
      </c>
      <c r="C1" s="1054"/>
      <c r="D1" s="1054"/>
      <c r="E1" s="1054"/>
      <c r="F1" s="1054"/>
      <c r="G1" s="1055"/>
      <c r="H1" s="175"/>
    </row>
    <row r="2" spans="1:8" ht="12" customHeight="1">
      <c r="A2" s="327"/>
      <c r="B2" s="1043" t="s">
        <v>25</v>
      </c>
      <c r="C2" s="1056"/>
      <c r="D2" s="1056"/>
      <c r="E2" s="1056"/>
      <c r="F2" s="1056"/>
      <c r="G2" s="1057"/>
      <c r="H2" s="175"/>
    </row>
    <row r="3" spans="1:8" ht="12.75">
      <c r="A3" s="327"/>
      <c r="B3" s="882"/>
      <c r="C3" s="880"/>
      <c r="D3" s="331"/>
      <c r="E3" s="329"/>
      <c r="F3" s="329"/>
      <c r="G3" s="883" t="s">
        <v>211</v>
      </c>
      <c r="H3" s="175"/>
    </row>
    <row r="4" spans="1:8" ht="15.75">
      <c r="A4" s="327"/>
      <c r="B4" s="1058" t="s">
        <v>212</v>
      </c>
      <c r="C4" s="1059"/>
      <c r="D4" s="1059"/>
      <c r="E4" s="1059"/>
      <c r="F4" s="1059"/>
      <c r="G4" s="1060"/>
      <c r="H4" s="175"/>
    </row>
    <row r="5" spans="1:8" ht="1.5" customHeight="1" hidden="1">
      <c r="A5" s="327"/>
      <c r="B5" s="884"/>
      <c r="C5" s="880"/>
      <c r="D5" s="331"/>
      <c r="E5" s="329"/>
      <c r="F5" s="329"/>
      <c r="G5" s="886"/>
      <c r="H5" s="175"/>
    </row>
    <row r="6" spans="1:8" ht="12.75">
      <c r="A6" s="327"/>
      <c r="B6" s="895"/>
      <c r="C6" s="898" t="s">
        <v>181</v>
      </c>
      <c r="D6" s="907"/>
      <c r="E6" s="914" t="s">
        <v>182</v>
      </c>
      <c r="F6" s="914" t="s">
        <v>213</v>
      </c>
      <c r="G6" s="881" t="s">
        <v>214</v>
      </c>
      <c r="H6" s="175"/>
    </row>
    <row r="7" spans="1:8" ht="12.75">
      <c r="A7" s="327"/>
      <c r="B7" s="877" t="s">
        <v>215</v>
      </c>
      <c r="C7" s="899" t="s">
        <v>81</v>
      </c>
      <c r="D7" s="908" t="s">
        <v>216</v>
      </c>
      <c r="E7" s="915" t="s">
        <v>81</v>
      </c>
      <c r="F7" s="915" t="s">
        <v>217</v>
      </c>
      <c r="G7" s="887" t="s">
        <v>217</v>
      </c>
      <c r="H7" s="175"/>
    </row>
    <row r="8" spans="1:8" ht="10.5" customHeight="1">
      <c r="A8" s="327"/>
      <c r="B8" s="896"/>
      <c r="C8" s="900" t="s">
        <v>218</v>
      </c>
      <c r="D8" s="909"/>
      <c r="E8" s="916" t="s">
        <v>196</v>
      </c>
      <c r="F8" s="916" t="s">
        <v>584</v>
      </c>
      <c r="G8" s="897" t="s">
        <v>548</v>
      </c>
      <c r="H8" s="175"/>
    </row>
    <row r="9" spans="1:8" ht="12.75">
      <c r="A9" s="327"/>
      <c r="B9" s="888" t="s">
        <v>209</v>
      </c>
      <c r="C9" s="901"/>
      <c r="D9" s="910"/>
      <c r="E9" s="917"/>
      <c r="F9" s="917"/>
      <c r="G9" s="889"/>
      <c r="H9" s="175"/>
    </row>
    <row r="10" spans="1:8" ht="11.25" customHeight="1">
      <c r="A10" s="327"/>
      <c r="B10" s="888" t="s">
        <v>219</v>
      </c>
      <c r="C10" s="902">
        <v>0</v>
      </c>
      <c r="D10" s="911">
        <v>0</v>
      </c>
      <c r="E10" s="918">
        <v>0</v>
      </c>
      <c r="F10" s="918">
        <v>0</v>
      </c>
      <c r="G10" s="890">
        <v>0</v>
      </c>
      <c r="H10" s="175"/>
    </row>
    <row r="11" spans="1:8" ht="12" customHeight="1">
      <c r="A11" s="327"/>
      <c r="B11" s="922" t="s">
        <v>220</v>
      </c>
      <c r="C11" s="861">
        <v>0</v>
      </c>
      <c r="D11" s="862">
        <v>0</v>
      </c>
      <c r="E11" s="863">
        <v>0</v>
      </c>
      <c r="F11" s="864">
        <v>0</v>
      </c>
      <c r="G11" s="923">
        <v>0</v>
      </c>
      <c r="H11" s="175"/>
    </row>
    <row r="12" spans="1:8" ht="12.75">
      <c r="A12" s="327"/>
      <c r="B12" s="888" t="s">
        <v>209</v>
      </c>
      <c r="C12" s="903"/>
      <c r="D12" s="872"/>
      <c r="E12" s="919"/>
      <c r="F12" s="919"/>
      <c r="G12" s="891"/>
      <c r="H12" s="175"/>
    </row>
    <row r="13" spans="1:8" ht="9.75" customHeight="1">
      <c r="A13" s="327"/>
      <c r="B13" s="888" t="s">
        <v>221</v>
      </c>
      <c r="C13" s="904"/>
      <c r="D13" s="912"/>
      <c r="E13" s="920"/>
      <c r="F13" s="921"/>
      <c r="G13" s="892"/>
      <c r="H13" s="175"/>
    </row>
    <row r="14" spans="1:8" ht="12.75">
      <c r="A14" s="327"/>
      <c r="B14" s="893" t="s">
        <v>222</v>
      </c>
      <c r="C14" s="904"/>
      <c r="D14" s="912"/>
      <c r="E14" s="920"/>
      <c r="F14" s="921"/>
      <c r="G14" s="892"/>
      <c r="H14" s="175"/>
    </row>
    <row r="15" spans="1:9" ht="12.75">
      <c r="A15" s="327"/>
      <c r="B15" s="825" t="s">
        <v>223</v>
      </c>
      <c r="C15" s="904">
        <v>941083777</v>
      </c>
      <c r="D15" s="912">
        <v>10368890</v>
      </c>
      <c r="E15" s="920"/>
      <c r="F15" s="912">
        <f>C15-D15</f>
        <v>930714887</v>
      </c>
      <c r="G15" s="741">
        <v>919069185</v>
      </c>
      <c r="H15" s="175"/>
      <c r="I15" s="87"/>
    </row>
    <row r="16" spans="1:8" ht="12.75">
      <c r="A16" s="327"/>
      <c r="B16" s="825" t="s">
        <v>224</v>
      </c>
      <c r="C16" s="904">
        <v>1513240775</v>
      </c>
      <c r="D16" s="912">
        <v>39615978</v>
      </c>
      <c r="E16" s="920"/>
      <c r="F16" s="912">
        <f>C16-D16</f>
        <v>1473624797</v>
      </c>
      <c r="G16" s="741">
        <v>1486046389</v>
      </c>
      <c r="H16" s="175"/>
    </row>
    <row r="17" spans="1:8" ht="12.75">
      <c r="A17" s="327"/>
      <c r="B17" s="825" t="s">
        <v>225</v>
      </c>
      <c r="C17" s="904">
        <v>1035979448</v>
      </c>
      <c r="D17" s="912">
        <v>11414492</v>
      </c>
      <c r="E17" s="920"/>
      <c r="F17" s="912">
        <f aca="true" t="shared" si="0" ref="F17:F68">C17-D17</f>
        <v>1024564956</v>
      </c>
      <c r="G17" s="741">
        <v>1011744994</v>
      </c>
      <c r="H17" s="175"/>
    </row>
    <row r="18" spans="1:9" ht="12.75">
      <c r="A18" s="327"/>
      <c r="B18" s="825" t="s">
        <v>557</v>
      </c>
      <c r="C18" s="904">
        <v>29641835</v>
      </c>
      <c r="D18" s="912">
        <v>0</v>
      </c>
      <c r="E18" s="920"/>
      <c r="F18" s="912">
        <f t="shared" si="0"/>
        <v>29641835</v>
      </c>
      <c r="G18" s="741">
        <v>28831637</v>
      </c>
      <c r="H18" s="175"/>
      <c r="I18" s="87"/>
    </row>
    <row r="19" spans="1:8" ht="12.75">
      <c r="A19" s="327"/>
      <c r="B19" s="825" t="s">
        <v>226</v>
      </c>
      <c r="C19" s="904">
        <v>1723039655</v>
      </c>
      <c r="D19" s="912">
        <v>19439306</v>
      </c>
      <c r="E19" s="920"/>
      <c r="F19" s="912">
        <f t="shared" si="0"/>
        <v>1703600349</v>
      </c>
      <c r="G19" s="741">
        <v>1675943953</v>
      </c>
      <c r="H19" s="175"/>
    </row>
    <row r="20" spans="1:8" ht="12.75">
      <c r="A20" s="327"/>
      <c r="B20" s="825" t="s">
        <v>227</v>
      </c>
      <c r="C20" s="904">
        <v>723423968</v>
      </c>
      <c r="D20" s="912">
        <v>2915110</v>
      </c>
      <c r="E20" s="920"/>
      <c r="F20" s="912">
        <f>C20-D20</f>
        <v>720508858</v>
      </c>
      <c r="G20" s="741">
        <v>703650680</v>
      </c>
      <c r="H20" s="175"/>
    </row>
    <row r="21" spans="1:8" ht="12.75">
      <c r="A21" s="327"/>
      <c r="B21" s="825" t="s">
        <v>228</v>
      </c>
      <c r="C21" s="904">
        <v>1222881768</v>
      </c>
      <c r="D21" s="912">
        <v>13796534</v>
      </c>
      <c r="E21" s="920"/>
      <c r="F21" s="912">
        <f t="shared" si="0"/>
        <v>1209085234</v>
      </c>
      <c r="G21" s="741">
        <v>1189456841</v>
      </c>
      <c r="H21" s="175"/>
    </row>
    <row r="22" spans="1:8" ht="12.75">
      <c r="A22" s="327"/>
      <c r="B22" s="825" t="s">
        <v>229</v>
      </c>
      <c r="C22" s="904">
        <v>882616751</v>
      </c>
      <c r="D22" s="912">
        <v>24922202</v>
      </c>
      <c r="E22" s="920"/>
      <c r="F22" s="912">
        <f t="shared" si="0"/>
        <v>857694549</v>
      </c>
      <c r="G22" s="741">
        <v>858492261</v>
      </c>
      <c r="H22" s="175"/>
    </row>
    <row r="23" spans="1:8" ht="12.75">
      <c r="A23" s="327"/>
      <c r="B23" s="825" t="s">
        <v>230</v>
      </c>
      <c r="C23" s="904">
        <v>6520129759</v>
      </c>
      <c r="D23" s="912">
        <v>123277777</v>
      </c>
      <c r="E23" s="920"/>
      <c r="F23" s="912">
        <f t="shared" si="0"/>
        <v>6396851982</v>
      </c>
      <c r="G23" s="741">
        <v>6341915589</v>
      </c>
      <c r="H23" s="175"/>
    </row>
    <row r="24" spans="1:8" ht="12.75" hidden="1">
      <c r="A24" s="327"/>
      <c r="B24" s="825" t="s">
        <v>231</v>
      </c>
      <c r="C24" s="904">
        <v>0</v>
      </c>
      <c r="D24" s="912">
        <v>0</v>
      </c>
      <c r="E24" s="920"/>
      <c r="F24" s="912">
        <f t="shared" si="0"/>
        <v>0</v>
      </c>
      <c r="G24" s="741">
        <v>0</v>
      </c>
      <c r="H24" s="175"/>
    </row>
    <row r="25" spans="1:8" ht="12.75">
      <c r="A25" s="327"/>
      <c r="B25" s="825" t="s">
        <v>232</v>
      </c>
      <c r="C25" s="904">
        <v>824093459</v>
      </c>
      <c r="D25" s="912">
        <v>7628223</v>
      </c>
      <c r="E25" s="920"/>
      <c r="F25" s="912">
        <f t="shared" si="0"/>
        <v>816465236</v>
      </c>
      <c r="G25" s="741">
        <v>801568580</v>
      </c>
      <c r="H25" s="175"/>
    </row>
    <row r="26" spans="1:8" ht="12.75">
      <c r="A26" s="327"/>
      <c r="B26" s="825" t="s">
        <v>233</v>
      </c>
      <c r="C26" s="904">
        <v>404941204</v>
      </c>
      <c r="D26" s="912">
        <v>0</v>
      </c>
      <c r="E26" s="920"/>
      <c r="F26" s="912">
        <f t="shared" si="0"/>
        <v>404941204</v>
      </c>
      <c r="G26" s="741">
        <v>393872980</v>
      </c>
      <c r="H26" s="175"/>
    </row>
    <row r="27" spans="1:8" ht="12.75">
      <c r="A27" s="327"/>
      <c r="B27" s="825" t="s">
        <v>234</v>
      </c>
      <c r="C27" s="904">
        <v>101215081</v>
      </c>
      <c r="D27" s="912">
        <v>0</v>
      </c>
      <c r="E27" s="920"/>
      <c r="F27" s="912">
        <f t="shared" si="0"/>
        <v>101215081</v>
      </c>
      <c r="G27" s="741">
        <v>98448578</v>
      </c>
      <c r="H27" s="175"/>
    </row>
    <row r="28" spans="1:8" ht="12.75">
      <c r="A28" s="327"/>
      <c r="B28" s="825" t="s">
        <v>558</v>
      </c>
      <c r="C28" s="904">
        <v>4565216</v>
      </c>
      <c r="D28" s="912">
        <v>0</v>
      </c>
      <c r="E28" s="920"/>
      <c r="F28" s="912">
        <f t="shared" si="0"/>
        <v>4565216</v>
      </c>
      <c r="G28" s="741">
        <v>4440436</v>
      </c>
      <c r="H28" s="175"/>
    </row>
    <row r="29" spans="1:8" ht="12.75">
      <c r="A29" s="327"/>
      <c r="B29" s="825" t="s">
        <v>235</v>
      </c>
      <c r="C29" s="904">
        <v>75722621</v>
      </c>
      <c r="D29" s="912">
        <v>0</v>
      </c>
      <c r="E29" s="920"/>
      <c r="F29" s="912">
        <f t="shared" si="0"/>
        <v>75722621</v>
      </c>
      <c r="G29" s="741">
        <v>73652901</v>
      </c>
      <c r="H29" s="175"/>
    </row>
    <row r="30" spans="1:8" ht="12.75">
      <c r="A30" s="327"/>
      <c r="B30" s="825" t="s">
        <v>236</v>
      </c>
      <c r="C30" s="904">
        <v>50481747</v>
      </c>
      <c r="D30" s="912">
        <v>0</v>
      </c>
      <c r="E30" s="920"/>
      <c r="F30" s="912">
        <f t="shared" si="0"/>
        <v>50481747</v>
      </c>
      <c r="G30" s="741">
        <v>49101934</v>
      </c>
      <c r="H30" s="175"/>
    </row>
    <row r="31" spans="1:8" ht="12.75">
      <c r="A31" s="327"/>
      <c r="B31" s="825" t="s">
        <v>237</v>
      </c>
      <c r="C31" s="904">
        <v>26683209</v>
      </c>
      <c r="D31" s="912">
        <v>0</v>
      </c>
      <c r="E31" s="921"/>
      <c r="F31" s="912">
        <f t="shared" si="0"/>
        <v>26683209</v>
      </c>
      <c r="G31" s="741">
        <v>25953879</v>
      </c>
      <c r="H31" s="175"/>
    </row>
    <row r="32" spans="1:8" ht="12.75">
      <c r="A32" s="327"/>
      <c r="B32" s="825" t="s">
        <v>238</v>
      </c>
      <c r="C32" s="904">
        <v>39914730</v>
      </c>
      <c r="D32" s="912">
        <v>0</v>
      </c>
      <c r="E32" s="921"/>
      <c r="F32" s="912">
        <f t="shared" si="0"/>
        <v>39914730</v>
      </c>
      <c r="G32" s="741">
        <v>38823744</v>
      </c>
      <c r="H32" s="175"/>
    </row>
    <row r="33" spans="1:8" ht="12.75">
      <c r="A33" s="327"/>
      <c r="B33" s="825" t="s">
        <v>239</v>
      </c>
      <c r="C33" s="904">
        <v>185685128</v>
      </c>
      <c r="D33" s="912">
        <v>0</v>
      </c>
      <c r="E33" s="921"/>
      <c r="F33" s="912">
        <f t="shared" si="0"/>
        <v>185685128</v>
      </c>
      <c r="G33" s="741">
        <v>180609812</v>
      </c>
      <c r="H33" s="175"/>
    </row>
    <row r="34" spans="1:8" ht="12.75">
      <c r="A34" s="327"/>
      <c r="B34" s="825" t="s">
        <v>240</v>
      </c>
      <c r="C34" s="904">
        <v>8922679</v>
      </c>
      <c r="D34" s="912">
        <v>0</v>
      </c>
      <c r="E34" s="921"/>
      <c r="F34" s="912">
        <f t="shared" si="0"/>
        <v>8922679</v>
      </c>
      <c r="G34" s="741">
        <v>8678796</v>
      </c>
      <c r="H34" s="175"/>
    </row>
    <row r="35" spans="1:8" ht="12.75">
      <c r="A35" s="327"/>
      <c r="B35" s="825" t="s">
        <v>241</v>
      </c>
      <c r="C35" s="904">
        <v>167947</v>
      </c>
      <c r="D35" s="912">
        <v>0</v>
      </c>
      <c r="E35" s="921"/>
      <c r="F35" s="912">
        <f t="shared" si="0"/>
        <v>167947</v>
      </c>
      <c r="G35" s="741">
        <v>163357</v>
      </c>
      <c r="H35" s="175"/>
    </row>
    <row r="36" spans="1:8" ht="12.75">
      <c r="A36" s="327"/>
      <c r="B36" s="825" t="s">
        <v>525</v>
      </c>
      <c r="C36" s="904">
        <v>8410059</v>
      </c>
      <c r="D36" s="912">
        <v>0</v>
      </c>
      <c r="E36" s="921"/>
      <c r="F36" s="912">
        <f t="shared" si="0"/>
        <v>8410059</v>
      </c>
      <c r="G36" s="741">
        <v>8180188</v>
      </c>
      <c r="H36" s="175"/>
    </row>
    <row r="37" spans="1:8" ht="12.75" hidden="1">
      <c r="A37" s="327"/>
      <c r="B37" s="825" t="s">
        <v>242</v>
      </c>
      <c r="C37" s="904">
        <v>0</v>
      </c>
      <c r="D37" s="912">
        <v>0</v>
      </c>
      <c r="E37" s="921"/>
      <c r="F37" s="912">
        <f t="shared" si="0"/>
        <v>0</v>
      </c>
      <c r="G37" s="741">
        <v>0</v>
      </c>
      <c r="H37" s="175"/>
    </row>
    <row r="38" spans="1:8" ht="12.75">
      <c r="A38" s="327"/>
      <c r="B38" s="825" t="s">
        <v>243</v>
      </c>
      <c r="C38" s="904">
        <v>1078697254</v>
      </c>
      <c r="D38" s="912">
        <v>14812572</v>
      </c>
      <c r="E38" s="921"/>
      <c r="F38" s="912">
        <f t="shared" si="0"/>
        <v>1063884682</v>
      </c>
      <c r="G38" s="741">
        <v>1049213311</v>
      </c>
      <c r="H38" s="175"/>
    </row>
    <row r="39" spans="1:8" ht="12.75">
      <c r="A39" s="327"/>
      <c r="B39" s="825" t="s">
        <v>244</v>
      </c>
      <c r="C39" s="904">
        <v>537812937</v>
      </c>
      <c r="D39" s="912">
        <v>11859481</v>
      </c>
      <c r="E39" s="921"/>
      <c r="F39" s="912">
        <f t="shared" si="0"/>
        <v>525953456</v>
      </c>
      <c r="G39" s="741">
        <v>523112940</v>
      </c>
      <c r="H39" s="175"/>
    </row>
    <row r="40" spans="1:8" ht="12.75">
      <c r="A40" s="327"/>
      <c r="B40" s="825" t="s">
        <v>245</v>
      </c>
      <c r="C40" s="904">
        <v>752438845</v>
      </c>
      <c r="D40" s="912">
        <v>0</v>
      </c>
      <c r="E40" s="921"/>
      <c r="F40" s="912">
        <f t="shared" si="0"/>
        <v>752438845</v>
      </c>
      <c r="G40" s="741">
        <v>731872496</v>
      </c>
      <c r="H40" s="175"/>
    </row>
    <row r="41" spans="1:8" ht="12.75">
      <c r="A41" s="327"/>
      <c r="B41" s="894" t="s">
        <v>246</v>
      </c>
      <c r="C41" s="905">
        <v>60075416</v>
      </c>
      <c r="D41" s="912">
        <v>0</v>
      </c>
      <c r="E41" s="921"/>
      <c r="F41" s="912">
        <f t="shared" si="0"/>
        <v>60075416</v>
      </c>
      <c r="G41" s="741">
        <v>58433379</v>
      </c>
      <c r="H41" s="175"/>
    </row>
    <row r="42" spans="1:8" ht="12.75">
      <c r="A42" s="327"/>
      <c r="B42" s="894" t="s">
        <v>247</v>
      </c>
      <c r="C42" s="906">
        <v>111608904</v>
      </c>
      <c r="D42" s="912">
        <v>0</v>
      </c>
      <c r="E42" s="921"/>
      <c r="F42" s="912">
        <f t="shared" si="0"/>
        <v>111608904</v>
      </c>
      <c r="G42" s="741">
        <v>108558307</v>
      </c>
      <c r="H42" s="175"/>
    </row>
    <row r="43" spans="1:8" ht="12.75">
      <c r="A43" s="327"/>
      <c r="B43" s="894" t="s">
        <v>248</v>
      </c>
      <c r="C43" s="905">
        <v>1593353653</v>
      </c>
      <c r="D43" s="912">
        <v>7705396</v>
      </c>
      <c r="E43" s="921"/>
      <c r="F43" s="912">
        <f t="shared" si="0"/>
        <v>1585648257</v>
      </c>
      <c r="G43" s="741">
        <v>1549802648</v>
      </c>
      <c r="H43" s="175"/>
    </row>
    <row r="44" spans="1:8" ht="12.75">
      <c r="A44" s="327"/>
      <c r="B44" s="894" t="s">
        <v>249</v>
      </c>
      <c r="C44" s="905">
        <v>105688018</v>
      </c>
      <c r="D44" s="912">
        <v>0</v>
      </c>
      <c r="E44" s="921"/>
      <c r="F44" s="912">
        <f t="shared" si="0"/>
        <v>105688018</v>
      </c>
      <c r="G44" s="741">
        <v>102799256</v>
      </c>
      <c r="H44" s="175"/>
    </row>
    <row r="45" spans="1:8" ht="12.75">
      <c r="A45" s="327"/>
      <c r="B45" s="894" t="s">
        <v>250</v>
      </c>
      <c r="C45" s="905">
        <v>1027199683</v>
      </c>
      <c r="D45" s="912">
        <v>0</v>
      </c>
      <c r="E45" s="921"/>
      <c r="F45" s="912">
        <f t="shared" si="0"/>
        <v>1027199683</v>
      </c>
      <c r="G45" s="741">
        <v>999123318</v>
      </c>
      <c r="H45" s="175"/>
    </row>
    <row r="46" spans="1:8" ht="12.75">
      <c r="A46" s="327"/>
      <c r="B46" s="894" t="s">
        <v>251</v>
      </c>
      <c r="C46" s="905">
        <v>69041422</v>
      </c>
      <c r="D46" s="912">
        <v>0</v>
      </c>
      <c r="E46" s="921"/>
      <c r="F46" s="912">
        <f t="shared" si="0"/>
        <v>69041422</v>
      </c>
      <c r="G46" s="741">
        <v>67154318</v>
      </c>
      <c r="H46" s="175"/>
    </row>
    <row r="47" spans="1:8" ht="12.75">
      <c r="A47" s="327"/>
      <c r="B47" s="894" t="s">
        <v>252</v>
      </c>
      <c r="C47" s="905">
        <v>28767259</v>
      </c>
      <c r="D47" s="912">
        <v>0</v>
      </c>
      <c r="E47" s="921"/>
      <c r="F47" s="912">
        <f t="shared" si="0"/>
        <v>28767259</v>
      </c>
      <c r="G47" s="741">
        <v>27980966</v>
      </c>
      <c r="H47" s="175"/>
    </row>
    <row r="48" spans="1:8" ht="12.75">
      <c r="A48" s="327"/>
      <c r="B48" s="894" t="s">
        <v>253</v>
      </c>
      <c r="C48" s="905">
        <v>63287970</v>
      </c>
      <c r="D48" s="912">
        <v>0</v>
      </c>
      <c r="E48" s="921"/>
      <c r="F48" s="912">
        <f t="shared" si="0"/>
        <v>63287970</v>
      </c>
      <c r="G48" s="741">
        <v>61558125</v>
      </c>
      <c r="H48" s="175"/>
    </row>
    <row r="49" spans="1:8" ht="12.75">
      <c r="A49" s="327"/>
      <c r="B49" s="894" t="s">
        <v>254</v>
      </c>
      <c r="C49" s="905">
        <v>1321553138</v>
      </c>
      <c r="D49" s="913">
        <v>16942741</v>
      </c>
      <c r="E49" s="921"/>
      <c r="F49" s="912">
        <f t="shared" si="0"/>
        <v>1304610397</v>
      </c>
      <c r="G49" s="741">
        <v>1285431235</v>
      </c>
      <c r="H49" s="175"/>
    </row>
    <row r="50" spans="1:9" ht="15" customHeight="1">
      <c r="A50" s="327"/>
      <c r="B50" s="894" t="s">
        <v>255</v>
      </c>
      <c r="C50" s="905">
        <v>48433169</v>
      </c>
      <c r="D50" s="912">
        <v>0</v>
      </c>
      <c r="E50" s="921"/>
      <c r="F50" s="912">
        <f t="shared" si="0"/>
        <v>48433169</v>
      </c>
      <c r="G50" s="741">
        <v>47109349</v>
      </c>
      <c r="H50" s="175"/>
      <c r="I50" s="87"/>
    </row>
    <row r="51" spans="1:8" ht="15" customHeight="1">
      <c r="A51" s="327"/>
      <c r="B51" s="894" t="s">
        <v>256</v>
      </c>
      <c r="C51" s="905">
        <v>1244775038</v>
      </c>
      <c r="D51" s="912">
        <v>33120400</v>
      </c>
      <c r="E51" s="921"/>
      <c r="F51" s="912">
        <f t="shared" si="0"/>
        <v>1211654638</v>
      </c>
      <c r="G51" s="741">
        <v>1210751704</v>
      </c>
      <c r="H51" s="175"/>
    </row>
    <row r="52" spans="1:8" ht="15" customHeight="1">
      <c r="A52" s="327"/>
      <c r="B52" s="894" t="s">
        <v>257</v>
      </c>
      <c r="C52" s="905">
        <v>305214087</v>
      </c>
      <c r="D52" s="912">
        <v>0</v>
      </c>
      <c r="E52" s="921"/>
      <c r="F52" s="912">
        <f t="shared" si="0"/>
        <v>305214087</v>
      </c>
      <c r="G52" s="741">
        <v>296871695</v>
      </c>
      <c r="H52" s="175"/>
    </row>
    <row r="53" spans="1:8" ht="15" customHeight="1">
      <c r="A53" s="327"/>
      <c r="B53" s="894" t="s">
        <v>258</v>
      </c>
      <c r="C53" s="905">
        <v>847277921</v>
      </c>
      <c r="D53" s="912">
        <v>0</v>
      </c>
      <c r="E53" s="921"/>
      <c r="F53" s="912">
        <f t="shared" si="0"/>
        <v>847277921</v>
      </c>
      <c r="G53" s="741">
        <v>824119343</v>
      </c>
      <c r="H53" s="175"/>
    </row>
    <row r="54" spans="1:8" ht="15" customHeight="1">
      <c r="A54" s="327"/>
      <c r="B54" s="894" t="s">
        <v>259</v>
      </c>
      <c r="C54" s="905">
        <v>15377403</v>
      </c>
      <c r="D54" s="912">
        <v>0</v>
      </c>
      <c r="E54" s="921"/>
      <c r="F54" s="912">
        <f t="shared" si="0"/>
        <v>15377403</v>
      </c>
      <c r="G54" s="741">
        <v>14957093</v>
      </c>
      <c r="H54" s="175"/>
    </row>
    <row r="55" spans="1:8" ht="15" customHeight="1">
      <c r="A55" s="327"/>
      <c r="B55" s="894" t="s">
        <v>260</v>
      </c>
      <c r="C55" s="905">
        <v>322759697</v>
      </c>
      <c r="D55" s="912">
        <v>0</v>
      </c>
      <c r="E55" s="921"/>
      <c r="F55" s="912">
        <f t="shared" si="0"/>
        <v>322759697</v>
      </c>
      <c r="G55" s="741">
        <v>313937733</v>
      </c>
      <c r="H55" s="175"/>
    </row>
    <row r="56" spans="1:8" ht="15" customHeight="1">
      <c r="A56" s="327"/>
      <c r="B56" s="894" t="s">
        <v>261</v>
      </c>
      <c r="C56" s="905">
        <v>1700000</v>
      </c>
      <c r="D56" s="912">
        <v>0</v>
      </c>
      <c r="E56" s="921"/>
      <c r="F56" s="912">
        <f t="shared" si="0"/>
        <v>1700000</v>
      </c>
      <c r="G56" s="741">
        <v>1700000</v>
      </c>
      <c r="H56" s="175"/>
    </row>
    <row r="57" spans="1:8" ht="15" customHeight="1">
      <c r="A57" s="327"/>
      <c r="B57" s="894" t="s">
        <v>262</v>
      </c>
      <c r="C57" s="905">
        <v>3281493555</v>
      </c>
      <c r="D57" s="912">
        <v>30437352</v>
      </c>
      <c r="E57" s="921"/>
      <c r="F57" s="912">
        <f t="shared" si="0"/>
        <v>3251056203</v>
      </c>
      <c r="G57" s="741">
        <v>3202685332</v>
      </c>
      <c r="H57" s="175"/>
    </row>
    <row r="58" spans="1:7" ht="12.75">
      <c r="A58" s="327"/>
      <c r="B58" s="894" t="s">
        <v>526</v>
      </c>
      <c r="C58" s="905">
        <v>144329029</v>
      </c>
      <c r="D58" s="912">
        <v>0</v>
      </c>
      <c r="E58" s="921"/>
      <c r="F58" s="912">
        <f t="shared" si="0"/>
        <v>144329029</v>
      </c>
      <c r="G58" s="741">
        <v>140384096</v>
      </c>
    </row>
    <row r="59" spans="1:7" ht="12.75">
      <c r="A59" s="339"/>
      <c r="B59" s="894" t="s">
        <v>263</v>
      </c>
      <c r="C59" s="905">
        <v>5845010182</v>
      </c>
      <c r="D59" s="912">
        <v>65862386</v>
      </c>
      <c r="E59" s="921"/>
      <c r="F59" s="912">
        <f t="shared" si="0"/>
        <v>5779147796</v>
      </c>
      <c r="G59" s="741">
        <v>5685249000</v>
      </c>
    </row>
    <row r="60" spans="1:7" ht="12.75">
      <c r="A60" s="327"/>
      <c r="B60" s="894" t="s">
        <v>264</v>
      </c>
      <c r="C60" s="905">
        <v>151171716</v>
      </c>
      <c r="D60" s="912">
        <v>0</v>
      </c>
      <c r="E60" s="921"/>
      <c r="F60" s="912">
        <f t="shared" si="0"/>
        <v>151171716</v>
      </c>
      <c r="G60" s="741">
        <v>147039752</v>
      </c>
    </row>
    <row r="61" spans="1:7" ht="12.75">
      <c r="A61" s="327"/>
      <c r="B61" s="894" t="s">
        <v>265</v>
      </c>
      <c r="C61" s="905">
        <v>6245069</v>
      </c>
      <c r="D61" s="912">
        <v>0</v>
      </c>
      <c r="E61" s="921"/>
      <c r="F61" s="912">
        <f t="shared" si="0"/>
        <v>6245069</v>
      </c>
      <c r="G61" s="741">
        <v>6074373</v>
      </c>
    </row>
    <row r="62" spans="1:7" ht="12.75">
      <c r="A62" s="327"/>
      <c r="B62" s="894" t="s">
        <v>527</v>
      </c>
      <c r="C62" s="905">
        <v>1675060331</v>
      </c>
      <c r="D62" s="912">
        <v>42676696</v>
      </c>
      <c r="E62" s="921"/>
      <c r="F62" s="912">
        <f t="shared" si="0"/>
        <v>1632383635</v>
      </c>
      <c r="G62" s="741">
        <v>1629276045</v>
      </c>
    </row>
    <row r="63" spans="1:7" ht="12.75">
      <c r="A63" s="327"/>
      <c r="B63" s="894" t="s">
        <v>535</v>
      </c>
      <c r="C63" s="905">
        <v>10222686</v>
      </c>
      <c r="D63" s="912">
        <v>82228</v>
      </c>
      <c r="E63" s="921"/>
      <c r="F63" s="912">
        <f t="shared" si="0"/>
        <v>10140458</v>
      </c>
      <c r="G63" s="741">
        <v>9943271</v>
      </c>
    </row>
    <row r="64" spans="1:7" ht="12.75">
      <c r="A64" s="327"/>
      <c r="B64" s="894" t="s">
        <v>536</v>
      </c>
      <c r="C64" s="905">
        <v>577201193</v>
      </c>
      <c r="D64" s="912">
        <v>0</v>
      </c>
      <c r="E64" s="921"/>
      <c r="F64" s="912">
        <f t="shared" si="0"/>
        <v>577201193</v>
      </c>
      <c r="G64" s="741">
        <v>561424600</v>
      </c>
    </row>
    <row r="65" spans="1:7" ht="12.75">
      <c r="A65" s="327"/>
      <c r="B65" s="894" t="s">
        <v>537</v>
      </c>
      <c r="C65" s="905">
        <v>271659400</v>
      </c>
      <c r="D65" s="912">
        <v>0</v>
      </c>
      <c r="E65" s="921"/>
      <c r="F65" s="912">
        <f t="shared" si="0"/>
        <v>271659400</v>
      </c>
      <c r="G65" s="741">
        <v>264234156</v>
      </c>
    </row>
    <row r="66" spans="1:7" ht="12.75">
      <c r="A66" s="327"/>
      <c r="B66" s="894" t="s">
        <v>538</v>
      </c>
      <c r="C66" s="905">
        <v>2923946</v>
      </c>
      <c r="D66" s="912"/>
      <c r="E66" s="921"/>
      <c r="F66" s="912">
        <f t="shared" si="0"/>
        <v>2923946</v>
      </c>
      <c r="G66" s="741">
        <v>2844026</v>
      </c>
    </row>
    <row r="67" spans="1:7" ht="12.75">
      <c r="A67" s="327"/>
      <c r="B67" s="894" t="s">
        <v>554</v>
      </c>
      <c r="C67" s="905">
        <v>31483792</v>
      </c>
      <c r="D67" s="912">
        <v>0</v>
      </c>
      <c r="E67" s="921"/>
      <c r="F67" s="912">
        <f t="shared" si="0"/>
        <v>31483792</v>
      </c>
      <c r="G67" s="741">
        <v>0</v>
      </c>
    </row>
    <row r="68" spans="1:7" ht="12.75">
      <c r="A68" s="327"/>
      <c r="B68" s="894" t="s">
        <v>586</v>
      </c>
      <c r="C68" s="905">
        <v>125000000</v>
      </c>
      <c r="D68" s="912"/>
      <c r="E68" s="921"/>
      <c r="F68" s="912">
        <f t="shared" si="0"/>
        <v>125000000</v>
      </c>
      <c r="G68" s="741">
        <v>0</v>
      </c>
    </row>
    <row r="69" spans="1:7" ht="12.75">
      <c r="A69" s="56"/>
      <c r="B69" s="894" t="s">
        <v>585</v>
      </c>
      <c r="C69" s="905">
        <v>363742517</v>
      </c>
      <c r="D69" s="912">
        <v>786874</v>
      </c>
      <c r="E69" s="921"/>
      <c r="F69" s="912">
        <f>C69-D69</f>
        <v>362955643</v>
      </c>
      <c r="G69" s="741">
        <v>0</v>
      </c>
    </row>
    <row r="70" spans="1:7" ht="13.5" thickBot="1">
      <c r="A70" s="327"/>
      <c r="B70" s="894" t="s">
        <v>266</v>
      </c>
      <c r="C70" s="905">
        <v>2036153354</v>
      </c>
      <c r="D70" s="912">
        <v>0</v>
      </c>
      <c r="E70" s="921"/>
      <c r="F70" s="912">
        <f>C70-D70</f>
        <v>2036153354</v>
      </c>
      <c r="G70" s="741">
        <v>525009009</v>
      </c>
    </row>
    <row r="71" spans="2:7" ht="13.5" thickBot="1">
      <c r="B71" s="928" t="s">
        <v>220</v>
      </c>
      <c r="C71" s="925">
        <f>SUM(C15:C70)</f>
        <v>40379599400</v>
      </c>
      <c r="D71" s="926">
        <f>SUM(D15:D70)</f>
        <v>477664638</v>
      </c>
      <c r="E71" s="927">
        <v>0</v>
      </c>
      <c r="F71" s="926">
        <f>SUM(F15:F70)+2</f>
        <v>39901934764</v>
      </c>
      <c r="G71" s="929">
        <v>37347297591</v>
      </c>
    </row>
    <row r="72" spans="2:7" ht="12.75">
      <c r="B72" s="930" t="s">
        <v>583</v>
      </c>
      <c r="C72" s="931">
        <f>+C71</f>
        <v>40379599400</v>
      </c>
      <c r="D72" s="932">
        <f>+D71</f>
        <v>477664638</v>
      </c>
      <c r="E72" s="933">
        <v>0</v>
      </c>
      <c r="F72" s="932">
        <f>+F71+F11</f>
        <v>39901934764</v>
      </c>
      <c r="G72" s="934">
        <f>+G71</f>
        <v>37347297591</v>
      </c>
    </row>
    <row r="73" spans="2:7" ht="12.75">
      <c r="B73" s="56"/>
      <c r="C73" s="594"/>
      <c r="D73" s="74"/>
      <c r="E73" s="56"/>
      <c r="F73" s="56"/>
      <c r="G73" s="74"/>
    </row>
    <row r="74" spans="2:8" ht="12.75">
      <c r="B74" s="341"/>
      <c r="C74" s="924"/>
      <c r="D74" s="258"/>
      <c r="E74" s="341"/>
      <c r="F74" s="341"/>
      <c r="G74" s="258"/>
      <c r="H74" s="175"/>
    </row>
    <row r="75" spans="3:6" ht="12.75">
      <c r="C75" s="570"/>
      <c r="D75" s="3"/>
      <c r="F75" s="135"/>
    </row>
    <row r="76" spans="3:6" ht="12.75">
      <c r="C76" s="571"/>
      <c r="D76" s="136"/>
      <c r="F76" s="687"/>
    </row>
    <row r="77" spans="3:6" ht="12.75">
      <c r="C77" s="571"/>
      <c r="D77" s="69" t="s">
        <v>267</v>
      </c>
      <c r="F77" s="87"/>
    </row>
    <row r="78" spans="3:6" ht="12.75">
      <c r="C78" s="571"/>
      <c r="D78" s="136"/>
      <c r="F78" s="87"/>
    </row>
    <row r="79" ht="12.75">
      <c r="D79" s="136"/>
    </row>
    <row r="80" spans="4:6" ht="12.75">
      <c r="D80" s="136"/>
      <c r="E80" s="87"/>
      <c r="F80" s="87"/>
    </row>
    <row r="81" spans="4:6" ht="12.75">
      <c r="D81" s="136"/>
      <c r="E81" s="87"/>
      <c r="F81" s="87"/>
    </row>
    <row r="82" spans="4:6" ht="12.75">
      <c r="D82" s="136"/>
      <c r="E82" s="87"/>
      <c r="F82" s="87"/>
    </row>
    <row r="83" spans="4:6" ht="12.75">
      <c r="D83" s="66"/>
      <c r="E83" s="87"/>
      <c r="F83" s="87"/>
    </row>
    <row r="84" spans="4:6" ht="12.75">
      <c r="D84" s="136"/>
      <c r="E84" s="342"/>
      <c r="F84" s="87"/>
    </row>
    <row r="85" spans="4:6" ht="12.75">
      <c r="D85" s="136"/>
      <c r="E85" s="87"/>
      <c r="F85" s="87"/>
    </row>
    <row r="86" spans="4:6" ht="12.75">
      <c r="D86" s="136"/>
      <c r="E86" s="87"/>
      <c r="F86" s="87"/>
    </row>
    <row r="87" ht="12.75">
      <c r="D87" s="136"/>
    </row>
  </sheetData>
  <sheetProtection selectLockedCells="1" selectUnlockedCells="1"/>
  <mergeCells count="3">
    <mergeCell ref="B1:G1"/>
    <mergeCell ref="B2:G2"/>
    <mergeCell ref="B4:G4"/>
  </mergeCells>
  <printOptions/>
  <pageMargins left="1.0236220472440944" right="0.03937007874015748" top="1.5748031496062993" bottom="0" header="0.03937007874015748" footer="0.03937007874015748"/>
  <pageSetup horizontalDpi="600" verticalDpi="6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Z172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.28515625" style="0" customWidth="1"/>
    <col min="2" max="2" width="36.57421875" style="0" customWidth="1"/>
    <col min="3" max="3" width="13.8515625" style="0" customWidth="1"/>
    <col min="4" max="4" width="14.28125" style="0" customWidth="1"/>
    <col min="5" max="5" width="14.140625" style="0" customWidth="1"/>
    <col min="6" max="6" width="14.8515625" style="0" customWidth="1"/>
    <col min="7" max="7" width="14.421875" style="69" customWidth="1"/>
    <col min="8" max="8" width="0.71875" style="0" customWidth="1"/>
    <col min="9" max="9" width="13.7109375" style="271" customWidth="1"/>
    <col min="10" max="10" width="15.28125" style="271" customWidth="1"/>
    <col min="11" max="11" width="15.00390625" style="271" customWidth="1"/>
    <col min="15" max="15" width="12.7109375" style="0" customWidth="1"/>
  </cols>
  <sheetData>
    <row r="1" spans="1:8" ht="12.75">
      <c r="A1" s="70"/>
      <c r="B1" s="965"/>
      <c r="C1" s="966"/>
      <c r="D1" s="966"/>
      <c r="E1" s="966"/>
      <c r="F1" s="966"/>
      <c r="G1" s="966"/>
      <c r="H1" s="812"/>
    </row>
    <row r="2" spans="1:8" ht="12.75">
      <c r="A2" s="72"/>
      <c r="B2" s="1022" t="s">
        <v>580</v>
      </c>
      <c r="C2" s="1010"/>
      <c r="D2" s="1010"/>
      <c r="E2" s="1010"/>
      <c r="F2" s="1010"/>
      <c r="G2" s="1010"/>
      <c r="H2" s="813"/>
    </row>
    <row r="3" spans="1:8" ht="12.75">
      <c r="A3" s="72"/>
      <c r="B3" s="1032" t="s">
        <v>25</v>
      </c>
      <c r="C3" s="1061"/>
      <c r="D3" s="1061"/>
      <c r="E3" s="1061"/>
      <c r="F3" s="1061"/>
      <c r="G3" s="1061"/>
      <c r="H3" s="813"/>
    </row>
    <row r="4" spans="1:8" ht="12.75">
      <c r="A4" s="72"/>
      <c r="B4" s="814"/>
      <c r="C4" s="216"/>
      <c r="D4" s="216"/>
      <c r="E4" s="216"/>
      <c r="F4" s="216"/>
      <c r="G4" s="216"/>
      <c r="H4" s="813"/>
    </row>
    <row r="5" spans="1:8" ht="12.75">
      <c r="A5" s="72"/>
      <c r="B5" s="967"/>
      <c r="C5" s="169" t="s">
        <v>30</v>
      </c>
      <c r="D5" s="169"/>
      <c r="E5" s="169"/>
      <c r="F5" s="169"/>
      <c r="G5" s="331" t="s">
        <v>268</v>
      </c>
      <c r="H5" s="813"/>
    </row>
    <row r="6" spans="1:8" ht="12.75">
      <c r="A6" s="72"/>
      <c r="B6" s="967"/>
      <c r="C6" s="169"/>
      <c r="D6" s="169"/>
      <c r="E6" s="169"/>
      <c r="F6" s="169"/>
      <c r="G6" s="331"/>
      <c r="H6" s="813"/>
    </row>
    <row r="7" spans="1:23" ht="15">
      <c r="A7" s="72"/>
      <c r="B7" s="1019" t="s">
        <v>269</v>
      </c>
      <c r="C7" s="1020"/>
      <c r="D7" s="1020"/>
      <c r="E7" s="1020"/>
      <c r="F7" s="1020"/>
      <c r="G7" s="1020"/>
      <c r="H7" s="813"/>
      <c r="N7" s="87"/>
      <c r="O7" s="87"/>
      <c r="P7" s="87"/>
      <c r="Q7" s="87"/>
      <c r="R7" s="87"/>
      <c r="W7" s="157">
        <f>1973718340+10595396+776716538+827959713</f>
        <v>3588989987</v>
      </c>
    </row>
    <row r="8" spans="1:18" ht="12.75">
      <c r="A8" s="72"/>
      <c r="B8" s="968"/>
      <c r="C8" s="344"/>
      <c r="D8" s="344"/>
      <c r="E8" s="344"/>
      <c r="F8" s="344"/>
      <c r="G8" s="344"/>
      <c r="H8" s="813"/>
      <c r="N8" s="87"/>
      <c r="O8" s="87"/>
      <c r="P8" s="87"/>
      <c r="Q8" s="87"/>
      <c r="R8" s="87"/>
    </row>
    <row r="9" spans="1:17" ht="12.75">
      <c r="A9" s="72"/>
      <c r="B9" s="968"/>
      <c r="C9" s="344"/>
      <c r="D9" s="344"/>
      <c r="E9" s="344"/>
      <c r="F9" s="344"/>
      <c r="G9" s="344"/>
      <c r="H9" s="813"/>
      <c r="N9" s="87"/>
      <c r="O9" s="87"/>
      <c r="P9" s="87"/>
      <c r="Q9" s="87"/>
    </row>
    <row r="10" spans="1:17" ht="9.75" customHeight="1">
      <c r="A10" s="72"/>
      <c r="B10" s="968"/>
      <c r="C10" s="344"/>
      <c r="D10" s="344"/>
      <c r="E10" s="344"/>
      <c r="F10" s="344"/>
      <c r="G10" s="344"/>
      <c r="H10" s="813"/>
      <c r="N10" s="87"/>
      <c r="O10" s="87"/>
      <c r="P10" s="87"/>
      <c r="Q10" s="87"/>
    </row>
    <row r="11" spans="1:17" ht="12.75">
      <c r="A11" s="72"/>
      <c r="B11" s="967"/>
      <c r="C11" s="169"/>
      <c r="D11" s="169"/>
      <c r="E11" s="169"/>
      <c r="F11" s="169"/>
      <c r="G11" s="169"/>
      <c r="H11" s="813"/>
      <c r="J11" s="135"/>
      <c r="N11" s="87"/>
      <c r="O11" s="87"/>
      <c r="P11" s="87"/>
      <c r="Q11" s="87"/>
    </row>
    <row r="12" spans="1:17" s="271" customFormat="1" ht="12.75">
      <c r="A12" s="88"/>
      <c r="B12" s="969"/>
      <c r="C12" s="276" t="s">
        <v>270</v>
      </c>
      <c r="D12" s="159" t="s">
        <v>165</v>
      </c>
      <c r="E12" s="345"/>
      <c r="F12" s="276"/>
      <c r="G12" s="276"/>
      <c r="H12" s="970"/>
      <c r="J12" s="135"/>
      <c r="N12" s="135"/>
      <c r="O12" s="135"/>
      <c r="P12" s="135"/>
      <c r="Q12" s="44"/>
    </row>
    <row r="13" spans="1:17" s="271" customFormat="1" ht="12.75">
      <c r="A13" s="88"/>
      <c r="B13" s="819" t="s">
        <v>271</v>
      </c>
      <c r="C13" s="277" t="s">
        <v>272</v>
      </c>
      <c r="D13" s="153" t="s">
        <v>273</v>
      </c>
      <c r="E13" s="277" t="s">
        <v>274</v>
      </c>
      <c r="F13" s="277" t="s">
        <v>275</v>
      </c>
      <c r="G13" s="277" t="s">
        <v>275</v>
      </c>
      <c r="H13" s="970"/>
      <c r="J13" s="135"/>
      <c r="N13" s="135"/>
      <c r="O13" s="135"/>
      <c r="P13" s="135"/>
      <c r="Q13" s="44"/>
    </row>
    <row r="14" spans="1:17" s="271" customFormat="1" ht="12">
      <c r="A14" s="88"/>
      <c r="B14" s="971"/>
      <c r="C14" s="279" t="s">
        <v>125</v>
      </c>
      <c r="D14" s="166" t="s">
        <v>276</v>
      </c>
      <c r="E14" s="347"/>
      <c r="F14" s="279" t="s">
        <v>584</v>
      </c>
      <c r="G14" s="279" t="s">
        <v>548</v>
      </c>
      <c r="H14" s="970"/>
      <c r="J14" s="135"/>
      <c r="N14" s="135"/>
      <c r="O14" s="135"/>
      <c r="P14" s="135"/>
      <c r="Q14" s="135"/>
    </row>
    <row r="15" spans="1:17" ht="12.75">
      <c r="A15" s="72"/>
      <c r="B15" s="972"/>
      <c r="C15" s="71"/>
      <c r="D15" s="348"/>
      <c r="E15" s="348"/>
      <c r="F15" s="348"/>
      <c r="G15" s="348"/>
      <c r="H15" s="813"/>
      <c r="J15" s="135"/>
      <c r="N15" s="87"/>
      <c r="O15" s="87"/>
      <c r="P15" s="87"/>
      <c r="Q15" s="87"/>
    </row>
    <row r="16" spans="1:17" ht="12.75">
      <c r="A16" s="72"/>
      <c r="B16" s="973" t="s">
        <v>277</v>
      </c>
      <c r="C16" s="75"/>
      <c r="D16" s="335"/>
      <c r="E16" s="335"/>
      <c r="F16" s="336"/>
      <c r="G16" s="335"/>
      <c r="H16" s="813"/>
      <c r="J16" s="135"/>
      <c r="N16" s="87"/>
      <c r="O16" s="87"/>
      <c r="P16" s="87"/>
      <c r="Q16" s="87"/>
    </row>
    <row r="17" spans="1:18" ht="12.75">
      <c r="A17" s="72"/>
      <c r="B17" s="974"/>
      <c r="C17" s="75"/>
      <c r="D17" s="336"/>
      <c r="E17" s="336"/>
      <c r="F17" s="336"/>
      <c r="G17" s="335"/>
      <c r="H17" s="813"/>
      <c r="J17" s="135"/>
      <c r="N17" s="118"/>
      <c r="O17" s="118"/>
      <c r="P17" s="87"/>
      <c r="Q17" s="87"/>
      <c r="R17" s="118"/>
    </row>
    <row r="18" spans="1:17" ht="12.75">
      <c r="A18" s="72"/>
      <c r="B18" s="974" t="s">
        <v>278</v>
      </c>
      <c r="C18" s="86">
        <f>2247652077+11147517+744852320+753348387+49923629+266500642+35864121</f>
        <v>4109288693</v>
      </c>
      <c r="D18" s="336">
        <f>8249691467+3743372669+1570134560+15751361</f>
        <v>13578950057</v>
      </c>
      <c r="E18" s="336">
        <v>1304451153</v>
      </c>
      <c r="F18" s="336">
        <f>+C18+D18-E18</f>
        <v>16383787597</v>
      </c>
      <c r="G18" s="86">
        <v>4109288693</v>
      </c>
      <c r="H18" s="813"/>
      <c r="I18" s="688"/>
      <c r="J18" s="688"/>
      <c r="K18" s="135"/>
      <c r="L18" s="87"/>
      <c r="M18" s="87"/>
      <c r="N18" s="87"/>
      <c r="O18" s="87"/>
      <c r="P18" s="87"/>
      <c r="Q18" s="87"/>
    </row>
    <row r="19" spans="1:24" ht="13.5" customHeight="1">
      <c r="A19" s="72"/>
      <c r="B19" s="974" t="s">
        <v>279</v>
      </c>
      <c r="C19" s="86">
        <v>9094949249</v>
      </c>
      <c r="D19" s="336">
        <f>86556310+13838787538+28321563+46846200</f>
        <v>14000511611</v>
      </c>
      <c r="E19" s="336">
        <f>5062613+20252000+21377350+16734972</f>
        <v>63426935</v>
      </c>
      <c r="F19" s="336">
        <f>+C19+D19-E19</f>
        <v>23032033925</v>
      </c>
      <c r="G19" s="86">
        <v>9094949249</v>
      </c>
      <c r="H19" s="813"/>
      <c r="I19" s="964"/>
      <c r="J19" s="688"/>
      <c r="K19" s="135"/>
      <c r="L19" s="87"/>
      <c r="M19" s="87"/>
      <c r="N19" s="87"/>
      <c r="O19" s="87"/>
      <c r="P19" s="87"/>
      <c r="Q19" s="87"/>
      <c r="X19">
        <v>287142357</v>
      </c>
    </row>
    <row r="20" spans="1:24" ht="13.5" customHeight="1">
      <c r="A20" s="72"/>
      <c r="B20" s="974" t="s">
        <v>280</v>
      </c>
      <c r="C20" s="86">
        <v>53004240196</v>
      </c>
      <c r="D20" s="336">
        <v>3853734049</v>
      </c>
      <c r="E20" s="336">
        <v>27864024172</v>
      </c>
      <c r="F20" s="336">
        <f>+C20+D20-E20</f>
        <v>28993950073</v>
      </c>
      <c r="G20" s="86">
        <v>53004240196</v>
      </c>
      <c r="H20" s="813"/>
      <c r="I20" s="964"/>
      <c r="J20" s="688"/>
      <c r="K20" s="135"/>
      <c r="L20" s="87"/>
      <c r="M20" s="87"/>
      <c r="N20" s="87"/>
      <c r="O20" s="87"/>
      <c r="P20" s="87"/>
      <c r="Q20" s="87"/>
      <c r="X20">
        <v>11927142</v>
      </c>
    </row>
    <row r="21" spans="1:17" ht="18" customHeight="1">
      <c r="A21" s="72"/>
      <c r="B21" s="973" t="s">
        <v>281</v>
      </c>
      <c r="C21" s="340">
        <f>SUM(C18:C20)</f>
        <v>66208478138</v>
      </c>
      <c r="D21" s="340">
        <f>SUM(D18:D20)</f>
        <v>31433195717</v>
      </c>
      <c r="E21" s="340">
        <f>SUM(E18:E20)</f>
        <v>29231902260</v>
      </c>
      <c r="F21" s="340">
        <f>SUM(F18:F20)</f>
        <v>68409771595</v>
      </c>
      <c r="G21" s="340">
        <f>SUM(G18:G20)</f>
        <v>66208478138</v>
      </c>
      <c r="H21" s="813"/>
      <c r="I21" s="135"/>
      <c r="J21" s="135"/>
      <c r="K21" s="135"/>
      <c r="L21" s="87"/>
      <c r="M21" s="87"/>
      <c r="N21" s="87"/>
      <c r="O21" s="87"/>
      <c r="P21" s="87"/>
      <c r="Q21" s="87"/>
    </row>
    <row r="22" spans="1:17" ht="15" customHeight="1">
      <c r="A22" s="72"/>
      <c r="B22" s="973"/>
      <c r="C22" s="86"/>
      <c r="D22" s="336"/>
      <c r="E22" s="336"/>
      <c r="F22" s="336"/>
      <c r="G22" s="336"/>
      <c r="H22" s="813"/>
      <c r="I22" s="135"/>
      <c r="J22" s="135"/>
      <c r="K22" s="135"/>
      <c r="L22" s="87"/>
      <c r="M22" s="87"/>
      <c r="N22" s="87"/>
      <c r="O22" s="87"/>
      <c r="P22" s="87"/>
      <c r="Q22" s="87"/>
    </row>
    <row r="23" spans="1:26" ht="12.75">
      <c r="A23" s="72"/>
      <c r="B23" s="973" t="s">
        <v>282</v>
      </c>
      <c r="C23" s="333" t="s">
        <v>283</v>
      </c>
      <c r="D23" s="333" t="s">
        <v>283</v>
      </c>
      <c r="E23" s="333" t="s">
        <v>283</v>
      </c>
      <c r="F23" s="333" t="s">
        <v>283</v>
      </c>
      <c r="G23" s="333" t="s">
        <v>283</v>
      </c>
      <c r="H23" s="813"/>
      <c r="J23" s="135"/>
      <c r="K23" s="135"/>
      <c r="L23" s="87"/>
      <c r="M23" s="87"/>
      <c r="N23" s="87"/>
      <c r="O23" s="87"/>
      <c r="P23" s="87"/>
      <c r="Q23" s="87"/>
      <c r="X23">
        <v>15781800</v>
      </c>
      <c r="Z23">
        <v>44436972</v>
      </c>
    </row>
    <row r="24" spans="1:26" ht="12.75">
      <c r="A24" s="72"/>
      <c r="B24" s="975"/>
      <c r="C24" s="351"/>
      <c r="D24" s="352"/>
      <c r="E24" s="352"/>
      <c r="F24" s="352"/>
      <c r="G24" s="352"/>
      <c r="H24" s="813"/>
      <c r="J24" s="135"/>
      <c r="K24" s="135"/>
      <c r="L24" s="87"/>
      <c r="M24" s="87"/>
      <c r="N24" s="87"/>
      <c r="O24" s="87"/>
      <c r="P24" s="87"/>
      <c r="Q24" s="87"/>
      <c r="Z24">
        <v>16600877</v>
      </c>
    </row>
    <row r="25" spans="1:26" ht="18" customHeight="1">
      <c r="A25" s="72"/>
      <c r="B25" s="976" t="s">
        <v>281</v>
      </c>
      <c r="C25" s="353" t="s">
        <v>283</v>
      </c>
      <c r="D25" s="353" t="s">
        <v>283</v>
      </c>
      <c r="E25" s="353" t="s">
        <v>283</v>
      </c>
      <c r="F25" s="353" t="s">
        <v>283</v>
      </c>
      <c r="G25" s="353" t="s">
        <v>283</v>
      </c>
      <c r="H25" s="813"/>
      <c r="J25" s="354"/>
      <c r="K25" s="354"/>
      <c r="N25" s="87"/>
      <c r="O25" s="87"/>
      <c r="P25" s="87"/>
      <c r="Q25" s="87"/>
      <c r="X25" s="157">
        <f>SUM(X19:X23)</f>
        <v>314851299</v>
      </c>
      <c r="Z25">
        <v>3243767</v>
      </c>
    </row>
    <row r="26" spans="1:26" ht="12.75">
      <c r="A26" s="72"/>
      <c r="B26" s="967"/>
      <c r="C26" s="184"/>
      <c r="D26" s="184"/>
      <c r="E26" s="184"/>
      <c r="F26" s="184"/>
      <c r="G26" s="184"/>
      <c r="H26" s="813"/>
      <c r="N26" s="87"/>
      <c r="O26" s="87"/>
      <c r="P26" s="87"/>
      <c r="Q26" s="87"/>
      <c r="Z26">
        <v>59840400</v>
      </c>
    </row>
    <row r="27" spans="1:26" ht="12.75">
      <c r="A27" s="72"/>
      <c r="B27" s="967"/>
      <c r="C27" s="184"/>
      <c r="D27" s="184"/>
      <c r="E27" s="184"/>
      <c r="F27" s="184"/>
      <c r="G27" s="184"/>
      <c r="H27" s="813"/>
      <c r="N27" s="87"/>
      <c r="O27" s="87"/>
      <c r="P27" s="87"/>
      <c r="Q27" s="87"/>
      <c r="Z27">
        <v>800000</v>
      </c>
    </row>
    <row r="28" spans="1:17" ht="12.75">
      <c r="A28" s="72"/>
      <c r="B28" s="967"/>
      <c r="C28" s="184"/>
      <c r="D28" s="193"/>
      <c r="E28" s="184"/>
      <c r="F28" s="184"/>
      <c r="G28" s="184"/>
      <c r="H28" s="813"/>
      <c r="J28" s="135"/>
      <c r="P28" s="87"/>
      <c r="Q28" s="87"/>
    </row>
    <row r="29" spans="1:17" ht="12.75">
      <c r="A29" s="286"/>
      <c r="B29" s="826"/>
      <c r="C29" s="827"/>
      <c r="D29" s="827"/>
      <c r="E29" s="626"/>
      <c r="F29" s="827"/>
      <c r="G29" s="827"/>
      <c r="H29" s="828"/>
      <c r="P29" s="87"/>
      <c r="Q29" s="87"/>
    </row>
    <row r="30" spans="4:17" ht="12.75">
      <c r="D30" s="87"/>
      <c r="E30" s="87"/>
      <c r="F30" s="355"/>
      <c r="P30" s="87"/>
      <c r="Q30" s="87"/>
    </row>
    <row r="31" spans="3:7" ht="12.75">
      <c r="C31" s="87"/>
      <c r="D31" s="87"/>
      <c r="E31" s="87"/>
      <c r="F31" s="136"/>
      <c r="G31" s="136"/>
    </row>
    <row r="32" spans="2:11" ht="12.75">
      <c r="B32" s="69"/>
      <c r="C32" s="69"/>
      <c r="D32" s="356"/>
      <c r="E32" s="44"/>
      <c r="F32" s="356"/>
      <c r="J32" s="135"/>
      <c r="K32" s="135"/>
    </row>
    <row r="33" spans="2:11" ht="12.75">
      <c r="B33" s="69"/>
      <c r="C33" s="69"/>
      <c r="D33" s="357"/>
      <c r="E33" s="357"/>
      <c r="F33" s="357"/>
      <c r="G33" s="357"/>
      <c r="J33" s="356"/>
      <c r="K33" s="87"/>
    </row>
    <row r="34" spans="4:11" ht="12.75">
      <c r="D34" s="57"/>
      <c r="E34" s="57"/>
      <c r="F34" s="57"/>
      <c r="G34" s="193"/>
      <c r="J34" s="357"/>
      <c r="K34" s="357"/>
    </row>
    <row r="35" spans="4:11" ht="12.75">
      <c r="D35" s="693"/>
      <c r="E35" s="693"/>
      <c r="F35" s="693"/>
      <c r="G35" s="693"/>
      <c r="J35" s="135"/>
      <c r="K35" s="135"/>
    </row>
    <row r="36" spans="4:11" ht="12.75">
      <c r="D36" s="693"/>
      <c r="E36" s="693"/>
      <c r="F36" s="693"/>
      <c r="G36" s="693"/>
      <c r="J36" s="135"/>
      <c r="K36" s="135"/>
    </row>
    <row r="37" spans="4:11" ht="12.75">
      <c r="D37" s="693"/>
      <c r="E37" s="693"/>
      <c r="F37" s="693"/>
      <c r="G37" s="693"/>
      <c r="J37" s="135"/>
      <c r="K37" s="135"/>
    </row>
    <row r="38" spans="4:11" ht="12.75">
      <c r="D38" s="693"/>
      <c r="E38" s="694"/>
      <c r="F38" s="693"/>
      <c r="G38" s="693"/>
      <c r="J38" s="135"/>
      <c r="K38" s="135"/>
    </row>
    <row r="39" spans="4:11" ht="12.75">
      <c r="D39" s="693"/>
      <c r="E39" s="694"/>
      <c r="F39" s="103"/>
      <c r="G39" s="103"/>
      <c r="J39" s="135"/>
      <c r="K39" s="135"/>
    </row>
    <row r="40" spans="4:11" ht="12.75">
      <c r="D40" s="693"/>
      <c r="E40" s="693"/>
      <c r="F40" s="103"/>
      <c r="G40" s="103"/>
      <c r="J40" s="135"/>
      <c r="K40" s="135"/>
    </row>
    <row r="41" spans="4:11" ht="12.75">
      <c r="D41" s="694"/>
      <c r="E41" s="694"/>
      <c r="F41" s="103"/>
      <c r="G41" s="103"/>
      <c r="J41" s="135"/>
      <c r="K41" s="135"/>
    </row>
    <row r="42" spans="4:11" ht="12.75">
      <c r="D42" s="694"/>
      <c r="E42" s="694"/>
      <c r="F42" s="103"/>
      <c r="G42" s="103"/>
      <c r="J42" s="135"/>
      <c r="K42" s="135"/>
    </row>
    <row r="43" spans="4:11" ht="12.75">
      <c r="D43" s="693"/>
      <c r="E43" s="693"/>
      <c r="F43" s="103"/>
      <c r="G43" s="103"/>
      <c r="J43" s="135"/>
      <c r="K43" s="135"/>
    </row>
    <row r="44" spans="4:7" ht="12.75">
      <c r="D44" s="358"/>
      <c r="E44" s="358"/>
      <c r="F44" s="358"/>
      <c r="G44" s="358"/>
    </row>
    <row r="45" spans="4:7" ht="12.75">
      <c r="D45" s="358"/>
      <c r="E45" s="358"/>
      <c r="F45" s="358"/>
      <c r="G45" s="358"/>
    </row>
    <row r="46" spans="4:7" ht="12.75">
      <c r="D46" s="103"/>
      <c r="E46" s="103"/>
      <c r="F46" s="103"/>
      <c r="G46" s="136"/>
    </row>
    <row r="47" spans="4:6" ht="12.75">
      <c r="D47" s="271"/>
      <c r="E47" s="271"/>
      <c r="F47" s="271"/>
    </row>
    <row r="48" spans="4:6" ht="12.75">
      <c r="D48" s="271"/>
      <c r="E48" s="135"/>
      <c r="F48" s="271"/>
    </row>
    <row r="49" spans="4:6" ht="12.75">
      <c r="D49" s="271"/>
      <c r="E49" s="271"/>
      <c r="F49" s="271"/>
    </row>
    <row r="50" spans="4:6" ht="12.75">
      <c r="D50" s="271"/>
      <c r="E50" s="135"/>
      <c r="F50" s="271"/>
    </row>
    <row r="51" spans="4:6" ht="12.75">
      <c r="D51" s="271"/>
      <c r="E51" s="271"/>
      <c r="F51" s="271"/>
    </row>
    <row r="52" spans="4:6" ht="12.75">
      <c r="D52" s="271"/>
      <c r="E52" s="271"/>
      <c r="F52" s="271"/>
    </row>
    <row r="53" spans="4:6" ht="12.75">
      <c r="D53" s="271"/>
      <c r="E53" s="271"/>
      <c r="F53" s="271"/>
    </row>
    <row r="54" spans="4:6" ht="12.75">
      <c r="D54" s="271"/>
      <c r="E54" s="271"/>
      <c r="F54" s="271"/>
    </row>
    <row r="55" spans="4:6" ht="12.75">
      <c r="D55" s="271"/>
      <c r="E55" s="271"/>
      <c r="F55" s="271"/>
    </row>
    <row r="56" spans="4:6" ht="12.75">
      <c r="D56" s="271"/>
      <c r="E56" s="271"/>
      <c r="F56" s="271"/>
    </row>
    <row r="57" spans="4:6" ht="12.75">
      <c r="D57" s="271"/>
      <c r="E57" s="271"/>
      <c r="F57" s="271"/>
    </row>
    <row r="58" spans="4:6" ht="12.75">
      <c r="D58" s="271"/>
      <c r="E58" s="271"/>
      <c r="F58" s="271"/>
    </row>
    <row r="59" spans="4:6" ht="12.75">
      <c r="D59" s="271"/>
      <c r="E59" s="271"/>
      <c r="F59" s="271"/>
    </row>
    <row r="60" spans="4:6" ht="12.75">
      <c r="D60" s="271"/>
      <c r="E60" s="271"/>
      <c r="F60" s="271"/>
    </row>
    <row r="61" spans="4:6" ht="12.75">
      <c r="D61" s="271"/>
      <c r="E61" s="271"/>
      <c r="F61" s="271"/>
    </row>
    <row r="62" spans="4:6" ht="12.75">
      <c r="D62" s="271"/>
      <c r="E62" s="271"/>
      <c r="F62" s="271"/>
    </row>
    <row r="63" spans="4:6" ht="12.75">
      <c r="D63" s="271"/>
      <c r="E63" s="271"/>
      <c r="F63" s="271"/>
    </row>
    <row r="64" spans="4:6" ht="12.75">
      <c r="D64" s="271"/>
      <c r="E64" s="271"/>
      <c r="F64" s="271"/>
    </row>
    <row r="65" spans="4:6" ht="12.75">
      <c r="D65" s="271"/>
      <c r="E65" s="271"/>
      <c r="F65" s="271"/>
    </row>
    <row r="66" spans="4:6" ht="12.75">
      <c r="D66" s="271"/>
      <c r="E66" s="271"/>
      <c r="F66" s="271"/>
    </row>
    <row r="67" spans="4:6" ht="12.75">
      <c r="D67" s="271"/>
      <c r="E67" s="271"/>
      <c r="F67" s="271"/>
    </row>
    <row r="68" spans="4:6" ht="12.75">
      <c r="D68" s="271"/>
      <c r="E68" s="271"/>
      <c r="F68" s="271"/>
    </row>
    <row r="69" spans="4:6" ht="12.75">
      <c r="D69" s="271"/>
      <c r="E69" s="271"/>
      <c r="F69" s="271"/>
    </row>
    <row r="70" spans="4:6" ht="12.75">
      <c r="D70" s="271"/>
      <c r="E70" s="271"/>
      <c r="F70" s="271"/>
    </row>
    <row r="71" spans="4:6" ht="12.75">
      <c r="D71" s="271"/>
      <c r="E71" s="271"/>
      <c r="F71" s="271"/>
    </row>
    <row r="72" spans="4:6" ht="12.75">
      <c r="D72" s="271"/>
      <c r="E72" s="271"/>
      <c r="F72" s="271"/>
    </row>
    <row r="73" spans="4:6" ht="12.75">
      <c r="D73" s="271"/>
      <c r="E73" s="271"/>
      <c r="F73" s="271"/>
    </row>
    <row r="74" spans="4:6" ht="12.75">
      <c r="D74" s="271"/>
      <c r="E74" s="271"/>
      <c r="F74" s="271"/>
    </row>
    <row r="75" spans="4:6" ht="12.75">
      <c r="D75" s="271"/>
      <c r="E75" s="271"/>
      <c r="F75" s="271"/>
    </row>
    <row r="76" spans="4:6" ht="12.75">
      <c r="D76" s="271"/>
      <c r="E76" s="271"/>
      <c r="F76" s="271"/>
    </row>
    <row r="77" spans="4:6" ht="12.75">
      <c r="D77" s="271"/>
      <c r="E77" s="271"/>
      <c r="F77" s="271"/>
    </row>
    <row r="78" spans="4:6" ht="12.75">
      <c r="D78" s="271"/>
      <c r="E78" s="271"/>
      <c r="F78" s="271"/>
    </row>
    <row r="79" spans="4:6" ht="12.75">
      <c r="D79" s="271"/>
      <c r="E79" s="271"/>
      <c r="F79" s="271"/>
    </row>
    <row r="80" spans="4:6" ht="12.75">
      <c r="D80" s="271"/>
      <c r="E80" s="271"/>
      <c r="F80" s="271"/>
    </row>
    <row r="81" spans="4:6" ht="12.75">
      <c r="D81" s="271"/>
      <c r="E81" s="271"/>
      <c r="F81" s="271"/>
    </row>
    <row r="82" spans="4:6" ht="12.75">
      <c r="D82" s="271"/>
      <c r="E82" s="271"/>
      <c r="F82" s="271"/>
    </row>
    <row r="83" spans="4:6" ht="12.75">
      <c r="D83" s="271"/>
      <c r="E83" s="271"/>
      <c r="F83" s="271"/>
    </row>
    <row r="84" spans="4:6" ht="12.75">
      <c r="D84" s="271"/>
      <c r="E84" s="271"/>
      <c r="F84" s="271"/>
    </row>
    <row r="85" spans="4:6" ht="12.75">
      <c r="D85" s="271"/>
      <c r="E85" s="271"/>
      <c r="F85" s="271"/>
    </row>
    <row r="86" spans="4:6" ht="12.75">
      <c r="D86" s="271"/>
      <c r="E86" s="271"/>
      <c r="F86" s="271"/>
    </row>
    <row r="87" spans="4:6" ht="12.75">
      <c r="D87" s="271"/>
      <c r="E87" s="271"/>
      <c r="F87" s="271"/>
    </row>
    <row r="88" spans="4:6" ht="12.75">
      <c r="D88" s="271"/>
      <c r="E88" s="271"/>
      <c r="F88" s="271"/>
    </row>
    <row r="89" spans="4:6" ht="12.75">
      <c r="D89" s="271"/>
      <c r="E89" s="271"/>
      <c r="F89" s="271"/>
    </row>
    <row r="90" spans="4:6" ht="12.75">
      <c r="D90" s="271"/>
      <c r="E90" s="271"/>
      <c r="F90" s="271"/>
    </row>
    <row r="91" spans="4:6" ht="12.75">
      <c r="D91" s="271"/>
      <c r="E91" s="271"/>
      <c r="F91" s="271"/>
    </row>
    <row r="92" spans="4:6" ht="12.75">
      <c r="D92" s="271"/>
      <c r="E92" s="271"/>
      <c r="F92" s="271"/>
    </row>
    <row r="93" spans="4:6" ht="12.75">
      <c r="D93" s="271"/>
      <c r="E93" s="271"/>
      <c r="F93" s="271"/>
    </row>
    <row r="94" spans="4:6" ht="12.75">
      <c r="D94" s="271"/>
      <c r="E94" s="271"/>
      <c r="F94" s="271"/>
    </row>
    <row r="95" spans="4:6" ht="12.75">
      <c r="D95" s="271"/>
      <c r="E95" s="271"/>
      <c r="F95" s="271"/>
    </row>
    <row r="96" spans="4:6" ht="12.75">
      <c r="D96" s="271"/>
      <c r="E96" s="271"/>
      <c r="F96" s="271"/>
    </row>
    <row r="97" spans="4:6" ht="12.75">
      <c r="D97" s="271"/>
      <c r="E97" s="271"/>
      <c r="F97" s="271"/>
    </row>
    <row r="98" spans="4:6" ht="12.75">
      <c r="D98" s="271"/>
      <c r="E98" s="271"/>
      <c r="F98" s="271"/>
    </row>
    <row r="99" spans="4:6" ht="12.75">
      <c r="D99" s="271"/>
      <c r="E99" s="271"/>
      <c r="F99" s="271"/>
    </row>
    <row r="100" spans="4:6" ht="12.75">
      <c r="D100" s="271"/>
      <c r="E100" s="271"/>
      <c r="F100" s="271"/>
    </row>
    <row r="101" spans="4:6" ht="12.75">
      <c r="D101" s="271"/>
      <c r="E101" s="271"/>
      <c r="F101" s="271"/>
    </row>
    <row r="102" spans="4:6" ht="12.75">
      <c r="D102" s="271"/>
      <c r="E102" s="271"/>
      <c r="F102" s="271"/>
    </row>
    <row r="103" spans="4:6" ht="12.75">
      <c r="D103" s="271"/>
      <c r="E103" s="271"/>
      <c r="F103" s="271"/>
    </row>
    <row r="104" spans="4:6" ht="12.75">
      <c r="D104" s="271"/>
      <c r="E104" s="271"/>
      <c r="F104" s="271"/>
    </row>
    <row r="105" spans="4:6" ht="12.75">
      <c r="D105" s="271"/>
      <c r="E105" s="271"/>
      <c r="F105" s="271"/>
    </row>
    <row r="106" spans="4:6" ht="12.75">
      <c r="D106" s="271"/>
      <c r="E106" s="271"/>
      <c r="F106" s="271"/>
    </row>
    <row r="107" spans="4:6" ht="12.75">
      <c r="D107" s="271"/>
      <c r="E107" s="271"/>
      <c r="F107" s="271"/>
    </row>
    <row r="108" spans="4:6" ht="12.75">
      <c r="D108" s="271"/>
      <c r="E108" s="271"/>
      <c r="F108" s="271"/>
    </row>
    <row r="109" spans="4:6" ht="12.75">
      <c r="D109" s="271"/>
      <c r="E109" s="271"/>
      <c r="F109" s="271"/>
    </row>
    <row r="110" spans="4:6" ht="12.75">
      <c r="D110" s="271"/>
      <c r="E110" s="271"/>
      <c r="F110" s="271"/>
    </row>
    <row r="111" spans="4:6" ht="12.75">
      <c r="D111" s="271"/>
      <c r="E111" s="271"/>
      <c r="F111" s="271"/>
    </row>
    <row r="112" spans="4:6" ht="12.75">
      <c r="D112" s="271"/>
      <c r="E112" s="271"/>
      <c r="F112" s="271"/>
    </row>
    <row r="113" spans="4:6" ht="12.75">
      <c r="D113" s="271"/>
      <c r="E113" s="271"/>
      <c r="F113" s="271"/>
    </row>
    <row r="114" spans="4:6" ht="12.75">
      <c r="D114" s="271"/>
      <c r="E114" s="271"/>
      <c r="F114" s="271"/>
    </row>
    <row r="115" spans="4:6" ht="12.75">
      <c r="D115" s="271"/>
      <c r="E115" s="271"/>
      <c r="F115" s="271"/>
    </row>
    <row r="116" spans="4:6" ht="12.75">
      <c r="D116" s="271"/>
      <c r="E116" s="271"/>
      <c r="F116" s="271"/>
    </row>
    <row r="117" spans="4:6" ht="12.75">
      <c r="D117" s="271"/>
      <c r="E117" s="271"/>
      <c r="F117" s="271"/>
    </row>
    <row r="118" spans="4:6" ht="12.75">
      <c r="D118" s="271"/>
      <c r="E118" s="271"/>
      <c r="F118" s="271"/>
    </row>
    <row r="119" spans="4:6" ht="12.75">
      <c r="D119" s="271"/>
      <c r="E119" s="271"/>
      <c r="F119" s="271"/>
    </row>
    <row r="120" spans="4:6" ht="12.75">
      <c r="D120" s="271"/>
      <c r="E120" s="271"/>
      <c r="F120" s="271"/>
    </row>
    <row r="121" spans="4:6" ht="12.75">
      <c r="D121" s="271"/>
      <c r="E121" s="271"/>
      <c r="F121" s="271"/>
    </row>
    <row r="122" spans="4:6" ht="12.75">
      <c r="D122" s="271"/>
      <c r="E122" s="271"/>
      <c r="F122" s="271"/>
    </row>
    <row r="123" spans="4:6" ht="12.75">
      <c r="D123" s="271"/>
      <c r="E123" s="271"/>
      <c r="F123" s="271"/>
    </row>
    <row r="124" spans="4:6" ht="12.75">
      <c r="D124" s="271"/>
      <c r="E124" s="271"/>
      <c r="F124" s="271"/>
    </row>
    <row r="125" spans="4:6" ht="12.75">
      <c r="D125" s="271"/>
      <c r="E125" s="271"/>
      <c r="F125" s="271"/>
    </row>
    <row r="126" spans="4:6" ht="12.75">
      <c r="D126" s="271"/>
      <c r="E126" s="271"/>
      <c r="F126" s="271"/>
    </row>
    <row r="127" spans="4:6" ht="12.75">
      <c r="D127" s="271"/>
      <c r="E127" s="271"/>
      <c r="F127" s="271"/>
    </row>
    <row r="128" spans="4:6" ht="12.75">
      <c r="D128" s="271"/>
      <c r="E128" s="271"/>
      <c r="F128" s="271"/>
    </row>
    <row r="129" spans="4:6" ht="12.75">
      <c r="D129" s="271"/>
      <c r="E129" s="271"/>
      <c r="F129" s="271"/>
    </row>
    <row r="130" spans="4:6" ht="12.75">
      <c r="D130" s="271"/>
      <c r="E130" s="271"/>
      <c r="F130" s="271"/>
    </row>
    <row r="131" spans="4:6" ht="12.75">
      <c r="D131" s="271"/>
      <c r="E131" s="271"/>
      <c r="F131" s="271"/>
    </row>
    <row r="132" spans="4:6" ht="12.75">
      <c r="D132" s="271"/>
      <c r="E132" s="271"/>
      <c r="F132" s="271"/>
    </row>
    <row r="133" spans="4:6" ht="12.75">
      <c r="D133" s="271"/>
      <c r="E133" s="271"/>
      <c r="F133" s="271"/>
    </row>
    <row r="134" spans="4:6" ht="12.75">
      <c r="D134" s="271"/>
      <c r="E134" s="271"/>
      <c r="F134" s="271"/>
    </row>
    <row r="135" spans="4:6" ht="12.75">
      <c r="D135" s="271"/>
      <c r="E135" s="271"/>
      <c r="F135" s="271"/>
    </row>
    <row r="136" spans="4:6" ht="12.75">
      <c r="D136" s="271"/>
      <c r="E136" s="271"/>
      <c r="F136" s="271"/>
    </row>
    <row r="137" spans="4:6" ht="12.75">
      <c r="D137" s="271"/>
      <c r="E137" s="271"/>
      <c r="F137" s="271"/>
    </row>
    <row r="138" spans="4:6" ht="12.75">
      <c r="D138" s="271"/>
      <c r="E138" s="271"/>
      <c r="F138" s="271"/>
    </row>
    <row r="139" spans="4:6" ht="12.75">
      <c r="D139" s="271"/>
      <c r="E139" s="271"/>
      <c r="F139" s="271"/>
    </row>
    <row r="140" spans="4:6" ht="12.75">
      <c r="D140" s="271"/>
      <c r="E140" s="271"/>
      <c r="F140" s="271"/>
    </row>
    <row r="141" spans="4:6" ht="12.75">
      <c r="D141" s="271"/>
      <c r="E141" s="271"/>
      <c r="F141" s="271"/>
    </row>
    <row r="142" spans="4:6" ht="12.75">
      <c r="D142" s="271"/>
      <c r="E142" s="271"/>
      <c r="F142" s="271"/>
    </row>
    <row r="143" spans="4:6" ht="12.75">
      <c r="D143" s="271"/>
      <c r="E143" s="271"/>
      <c r="F143" s="271"/>
    </row>
    <row r="144" spans="4:6" ht="12.75">
      <c r="D144" s="271"/>
      <c r="E144" s="271"/>
      <c r="F144" s="271"/>
    </row>
    <row r="145" spans="4:6" ht="12.75">
      <c r="D145" s="271"/>
      <c r="E145" s="271"/>
      <c r="F145" s="271"/>
    </row>
    <row r="146" spans="4:6" ht="12.75">
      <c r="D146" s="271"/>
      <c r="E146" s="271"/>
      <c r="F146" s="271"/>
    </row>
    <row r="147" spans="4:6" ht="12.75">
      <c r="D147" s="271"/>
      <c r="E147" s="271"/>
      <c r="F147" s="271"/>
    </row>
    <row r="148" spans="4:6" ht="12.75">
      <c r="D148" s="271"/>
      <c r="E148" s="271"/>
      <c r="F148" s="271"/>
    </row>
    <row r="149" spans="4:6" ht="12.75">
      <c r="D149" s="271"/>
      <c r="E149" s="271"/>
      <c r="F149" s="271"/>
    </row>
    <row r="150" spans="4:6" ht="12.75">
      <c r="D150" s="271"/>
      <c r="E150" s="271"/>
      <c r="F150" s="271"/>
    </row>
    <row r="151" spans="4:6" ht="12.75">
      <c r="D151" s="271"/>
      <c r="E151" s="271"/>
      <c r="F151" s="271"/>
    </row>
    <row r="152" spans="4:6" ht="12.75">
      <c r="D152" s="271"/>
      <c r="E152" s="271"/>
      <c r="F152" s="271"/>
    </row>
    <row r="153" spans="4:6" ht="12.75">
      <c r="D153" s="271"/>
      <c r="E153" s="271"/>
      <c r="F153" s="271"/>
    </row>
    <row r="154" spans="4:6" ht="12.75">
      <c r="D154" s="271"/>
      <c r="E154" s="271"/>
      <c r="F154" s="271"/>
    </row>
    <row r="155" spans="4:6" ht="12.75">
      <c r="D155" s="271"/>
      <c r="E155" s="271"/>
      <c r="F155" s="271"/>
    </row>
    <row r="156" spans="4:6" ht="12.75">
      <c r="D156" s="271"/>
      <c r="E156" s="271"/>
      <c r="F156" s="271"/>
    </row>
    <row r="157" spans="4:6" ht="12.75">
      <c r="D157" s="271"/>
      <c r="E157" s="271"/>
      <c r="F157" s="271"/>
    </row>
    <row r="158" spans="4:6" ht="12.75">
      <c r="D158" s="271"/>
      <c r="E158" s="271"/>
      <c r="F158" s="271"/>
    </row>
    <row r="159" spans="4:6" ht="12.75">
      <c r="D159" s="271"/>
      <c r="E159" s="271"/>
      <c r="F159" s="271"/>
    </row>
    <row r="160" spans="4:6" ht="12.75">
      <c r="D160" s="271"/>
      <c r="E160" s="271"/>
      <c r="F160" s="271"/>
    </row>
    <row r="161" spans="4:6" ht="12.75">
      <c r="D161" s="271"/>
      <c r="E161" s="271"/>
      <c r="F161" s="271"/>
    </row>
    <row r="162" spans="4:6" ht="12.75">
      <c r="D162" s="271"/>
      <c r="E162" s="271"/>
      <c r="F162" s="271"/>
    </row>
    <row r="163" spans="4:6" ht="12.75">
      <c r="D163" s="271"/>
      <c r="E163" s="271"/>
      <c r="F163" s="271"/>
    </row>
    <row r="164" spans="4:6" ht="12.75">
      <c r="D164" s="271"/>
      <c r="E164" s="271"/>
      <c r="F164" s="271"/>
    </row>
    <row r="165" spans="4:6" ht="12.75">
      <c r="D165" s="271"/>
      <c r="E165" s="271"/>
      <c r="F165" s="271"/>
    </row>
    <row r="166" spans="4:6" ht="12.75">
      <c r="D166" s="271"/>
      <c r="E166" s="271"/>
      <c r="F166" s="271"/>
    </row>
    <row r="167" spans="4:6" ht="12.75">
      <c r="D167" s="271"/>
      <c r="E167" s="271"/>
      <c r="F167" s="271"/>
    </row>
    <row r="168" spans="4:6" ht="12.75">
      <c r="D168" s="271"/>
      <c r="E168" s="271"/>
      <c r="F168" s="271"/>
    </row>
    <row r="169" spans="4:6" ht="12.75">
      <c r="D169" s="271"/>
      <c r="E169" s="271"/>
      <c r="F169" s="271"/>
    </row>
    <row r="170" spans="4:6" ht="12.75">
      <c r="D170" s="271"/>
      <c r="E170" s="271"/>
      <c r="F170" s="271"/>
    </row>
    <row r="171" spans="4:6" ht="12.75">
      <c r="D171" s="271"/>
      <c r="E171" s="271"/>
      <c r="F171" s="271"/>
    </row>
    <row r="172" spans="4:6" ht="12.75">
      <c r="D172" s="271"/>
      <c r="E172" s="271"/>
      <c r="F172" s="271"/>
    </row>
  </sheetData>
  <sheetProtection selectLockedCells="1" selectUnlockedCells="1"/>
  <mergeCells count="3">
    <mergeCell ref="B2:G2"/>
    <mergeCell ref="B3:G3"/>
    <mergeCell ref="B7:G7"/>
  </mergeCells>
  <printOptions/>
  <pageMargins left="1.968503937007874" right="1.6535433070866143" top="1.3779527559055118" bottom="0.98425196850393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Adorno - Contabilidad</dc:creator>
  <cp:keywords/>
  <dc:description/>
  <cp:lastModifiedBy>Monica Adorno - Contabilidad</cp:lastModifiedBy>
  <cp:lastPrinted>2020-06-04T15:08:19Z</cp:lastPrinted>
  <dcterms:created xsi:type="dcterms:W3CDTF">2018-03-12T15:19:36Z</dcterms:created>
  <dcterms:modified xsi:type="dcterms:W3CDTF">2020-06-29T17:13:33Z</dcterms:modified>
  <cp:category/>
  <cp:version/>
  <cp:contentType/>
  <cp:contentStatus/>
</cp:coreProperties>
</file>